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i_Szervezes_meghajto\ESZTER_KATA\KT_KIVONATOK\2020\Rendeletek\"/>
    </mc:Choice>
  </mc:AlternateContent>
  <xr:revisionPtr revIDLastSave="0" documentId="13_ncr:1_{6FC7D468-43B0-4CD6-9E0A-E2458BC7DB47}" xr6:coauthVersionLast="45" xr6:coauthVersionMax="45" xr10:uidLastSave="{00000000-0000-0000-0000-000000000000}"/>
  <bookViews>
    <workbookView xWindow="-120" yWindow="-120" windowWidth="20730" windowHeight="11160" firstSheet="19" activeTab="23" xr2:uid="{92315777-621D-4337-AF4F-F9E148775BC9}"/>
  </bookViews>
  <sheets>
    <sheet name="0.Mérleg" sheetId="1" r:id="rId1"/>
    <sheet name="1A. Fő bev" sheetId="2" r:id="rId2"/>
    <sheet name="1B. Fő kiad" sheetId="3" r:id="rId3"/>
    <sheet name="1C Bev kiad fel" sheetId="4" r:id="rId4"/>
    <sheet name="2A Önk bev" sheetId="5" r:id="rId5"/>
    <sheet name="2B Önk kiad" sheetId="6" r:id="rId6"/>
    <sheet name="2C Önk bev kiad fel" sheetId="7" r:id="rId7"/>
    <sheet name="2D Céltartalék" sheetId="8" r:id="rId8"/>
    <sheet name="2E VÉA" sheetId="9" r:id="rId9"/>
    <sheet name="3A PH" sheetId="10" r:id="rId10"/>
    <sheet name="3B PH fel" sheetId="11" r:id="rId11"/>
    <sheet name="4A Walla" sheetId="12" r:id="rId12"/>
    <sheet name="4B Nyitnikék" sheetId="13" r:id="rId13"/>
    <sheet name="4C Bóbita" sheetId="14" r:id="rId14"/>
    <sheet name="4D MMMH" sheetId="15" r:id="rId15"/>
    <sheet name="4E Könyvtár" sheetId="16" r:id="rId16"/>
    <sheet name="4F Segítő Kéz" sheetId="17" r:id="rId17"/>
    <sheet name="4G Szérüskert" sheetId="18" r:id="rId18"/>
    <sheet name="4H VG bev kiad" sheetId="19" r:id="rId19"/>
    <sheet name="5 GSZNR fel" sheetId="20" r:id="rId20"/>
    <sheet name="6. létszámkeret" sheetId="21" r:id="rId21"/>
    <sheet name="7. Fejlesztések" sheetId="22" r:id="rId22"/>
    <sheet name="8. stab tv" sheetId="23" r:id="rId23"/>
    <sheet name="9. Uniós tám" sheetId="24" r:id="rId24"/>
    <sheet name="10. címrend" sheetId="25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1999._Évi_felhalmozási_és_felújítási_kiadások">"$#HIV!.$A$29:$E$29"</definedName>
    <definedName name="_xlnm._FilterDatabase" localSheetId="3" hidden="1">'1C Bev kiad fel'!$A$4:$B$95</definedName>
    <definedName name="_xlnm._FilterDatabase" localSheetId="6" hidden="1">'2C Önk bev kiad fel'!$A$73:$L$227</definedName>
    <definedName name="_xlnm._FilterDatabase" localSheetId="10" hidden="1">'3B PH fel'!$A$5:$F$35</definedName>
    <definedName name="_xlnm._FilterDatabase" localSheetId="19" hidden="1">'5 GSZNR fel'!$A$6:$E$185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1">'1A. Fő bev'!$A:$B,'1A. Fő bev'!$1:$2</definedName>
    <definedName name="_xlnm.Print_Titles" localSheetId="2">'1B. Fő kiad'!$A:$B,'1B. Fő kiad'!$1:$2</definedName>
    <definedName name="_xlnm.Print_Titles" localSheetId="3">'1C Bev kiad fel'!$A:$B,'1C Bev kiad fel'!$1:$4</definedName>
    <definedName name="_xlnm.Print_Titles" localSheetId="4">'2A Önk bev'!$A:$B,'2A Önk bev'!$1:$4</definedName>
    <definedName name="_xlnm.Print_Titles" localSheetId="5">'2B Önk kiad'!$A:$B,'2B Önk kiad'!$1:$3</definedName>
    <definedName name="_xlnm.Print_Titles" localSheetId="6">'2C Önk bev kiad fel'!$A:$B,'2C Önk bev kiad fel'!$2:$5</definedName>
    <definedName name="_xlnm.Print_Titles" localSheetId="9">'3A PH'!$A:$B,'3A PH'!$1:$3</definedName>
    <definedName name="_xlnm.Print_Titles" localSheetId="10">'3B PH fel'!$A:$B,'3B PH fel'!$1:$4</definedName>
    <definedName name="_xlnm.Print_Titles" localSheetId="11">'4A Walla'!$A:$B,'4A Walla'!$1:$4</definedName>
    <definedName name="_xlnm.Print_Titles" localSheetId="12">'4B Nyitnikék'!$A:$B,'4B Nyitnikék'!$1:$4</definedName>
    <definedName name="_xlnm.Print_Titles" localSheetId="13">'4C Bóbita'!$A:$B,'4C Bóbita'!$1:$4</definedName>
    <definedName name="_xlnm.Print_Titles" localSheetId="14">'4D MMMH'!$A:$B,'4D MMMH'!$1:$4</definedName>
    <definedName name="_xlnm.Print_Titles" localSheetId="15">'4E Könyvtár'!$A:$B,'4E Könyvtár'!$1:$4</definedName>
    <definedName name="_xlnm.Print_Titles" localSheetId="16">'4F Segítő Kéz'!$A:$B,'4F Segítő Kéz'!$1:$4</definedName>
    <definedName name="_xlnm.Print_Titles" localSheetId="17">'4G Szérüskert'!$A:$B,'4G Szérüskert'!$1:$4</definedName>
    <definedName name="_xlnm.Print_Titles" localSheetId="18">'4H VG bev kiad'!$A:$B,'4H VG bev kiad'!$2:$4</definedName>
    <definedName name="_xlnm.Print_Titles" localSheetId="19">'5 GSZNR fel'!$A:$B,'5 GSZNR fel'!$1:$5</definedName>
    <definedName name="_xlnm.Print_Area" localSheetId="0">'0.Mérleg'!$A$1:$L$26</definedName>
    <definedName name="_xlnm.Print_Area" localSheetId="24">'10. címrend'!$A$1:$C$16</definedName>
    <definedName name="_xlnm.Print_Area" localSheetId="1">'1A. Fő bev'!$A$1:$K$61</definedName>
    <definedName name="_xlnm.Print_Area" localSheetId="2">'1B. Fő kiad'!$A$1:$K$35</definedName>
    <definedName name="_xlnm.Print_Area" localSheetId="3">'1C Bev kiad fel'!$A$1:$K$94</definedName>
    <definedName name="_xlnm.Print_Area" localSheetId="4">'2A Önk bev'!$A$1:$K$109</definedName>
    <definedName name="_xlnm.Print_Area" localSheetId="5">'2B Önk kiad'!$A$1:$K$44</definedName>
    <definedName name="_xlnm.Print_Area" localSheetId="6">'2C Önk bev kiad fel'!$A$1:$J$227</definedName>
    <definedName name="_xlnm.Print_Area" localSheetId="7">'2D Céltartalék'!$A$1:$D$34</definedName>
    <definedName name="_xlnm.Print_Area" localSheetId="8">'2E VÉA'!$A$1:$F$34</definedName>
    <definedName name="_xlnm.Print_Area" localSheetId="9">'3A PH'!$A$1:$K$49</definedName>
    <definedName name="_xlnm.Print_Area" localSheetId="10">'3B PH fel'!$A$1:$K$35</definedName>
    <definedName name="_xlnm.Print_Area" localSheetId="11">'4A Walla'!$A$1:$I$46</definedName>
    <definedName name="_xlnm.Print_Area" localSheetId="12">'4B Nyitnikék'!$A$1:$I$46</definedName>
    <definedName name="_xlnm.Print_Area" localSheetId="13">'4C Bóbita'!$A$1:$I$46</definedName>
    <definedName name="_xlnm.Print_Area" localSheetId="14">'4D MMMH'!$A$1:$I$46</definedName>
    <definedName name="_xlnm.Print_Area" localSheetId="15">'4E Könyvtár'!$A$1:$I$46</definedName>
    <definedName name="_xlnm.Print_Area" localSheetId="16">'4F Segítő Kéz'!$A$1:$I$46</definedName>
    <definedName name="_xlnm.Print_Area" localSheetId="17">'4G Szérüskert'!$A$1:$I$46</definedName>
    <definedName name="_xlnm.Print_Area" localSheetId="18">'4H VG bev kiad'!$A$1:$I$46</definedName>
    <definedName name="_xlnm.Print_Area" localSheetId="19">'5 GSZNR fel'!$A$1:$J$185</definedName>
    <definedName name="_xlnm.Print_Area" localSheetId="20">'6. létszámkeret'!$A$1:$I$19</definedName>
    <definedName name="_xlnm.Print_Area" localSheetId="21">'7. Fejlesztések'!$A$1:$J$88</definedName>
    <definedName name="_xlnm.Print_Area" localSheetId="22">'8. stab tv'!$A$1:$C$32</definedName>
    <definedName name="Print_Titles_1" localSheetId="24">[1]Bóbita!$A:$B,[1]Bóbita!$1:$1</definedName>
    <definedName name="Print_Titles_1" localSheetId="1">[2]Bóbita!$A$1:$B$65536,[2]Bóbita!$A$1:$IV$1</definedName>
    <definedName name="Print_Titles_1" localSheetId="2">[2]Bóbita!$A$1:$B$65536,[2]Bóbita!$A$1:$IV$1</definedName>
    <definedName name="Print_Titles_1" localSheetId="3">[3]Bóbita!$A$1:$B$65536,[3]Bóbita!$A$1:$IV$1</definedName>
    <definedName name="Print_Titles_1" localSheetId="4">[2]Bóbita!$A$1:$B$65536,[2]Bóbita!$A$1:$IV$1</definedName>
    <definedName name="Print_Titles_1" localSheetId="5">[2]Bóbita!$A$1:$B$65536,[2]Bóbita!$A$1:$IV$1</definedName>
    <definedName name="Print_Titles_1" localSheetId="6">[2]Bóbita!$A$1:$B$65536,[2]Bóbita!$A$1:$IV$1</definedName>
    <definedName name="Print_Titles_1" localSheetId="7">[2]Bóbita!$A$1:$B$65536,[2]Bóbita!$A$1:$IV$1</definedName>
    <definedName name="Print_Titles_1" localSheetId="8">[2]Bóbita!$A$1:$B$65536,[2]Bóbita!$A$1:$IV$1</definedName>
    <definedName name="Print_Titles_1" localSheetId="9">[2]Bóbita!$A$1:$B$65536,[2]Bóbita!$A$1:$IV$1</definedName>
    <definedName name="Print_Titles_1" localSheetId="10">[2]Bóbita!$A$1:$B$65536,[2]Bóbita!$A$1:$IV$1</definedName>
    <definedName name="Print_Titles_1" localSheetId="11">[2]Bóbita!$A$1:$B$65536,[2]Bóbita!$A$1:$IV$1</definedName>
    <definedName name="Print_Titles_1" localSheetId="12">[2]Bóbita!$A$1:$B$65536,[2]Bóbita!$A$1:$IV$1</definedName>
    <definedName name="Print_Titles_1" localSheetId="13">[2]Bóbita!$A$1:$B$65536,[2]Bóbita!$A$1:$IV$1</definedName>
    <definedName name="Print_Titles_1" localSheetId="14">[2]Bóbita!$A$1:$B$65536,[2]Bóbita!$A$1:$IV$1</definedName>
    <definedName name="Print_Titles_1" localSheetId="15">[2]Bóbita!$A$1:$B$65536,[2]Bóbita!$A$1:$IV$1</definedName>
    <definedName name="Print_Titles_1" localSheetId="16">[2]Bóbita!$A$1:$B$65536,[2]Bóbita!$A$1:$IV$1</definedName>
    <definedName name="Print_Titles_1" localSheetId="17">[2]Bóbita!$A$1:$B$65536,[2]Bóbita!$A$1:$IV$1</definedName>
    <definedName name="Print_Titles_1" localSheetId="18">[2]Bóbita!$A$1:$B$65536,[2]Bóbita!$A$1:$IV$1</definedName>
    <definedName name="Print_Titles_1" localSheetId="19">[2]Bóbita!$A$1:$B$65536,[2]Bóbita!$A$1:$IV$1</definedName>
    <definedName name="Print_Titles_1" localSheetId="20">[1]Bóbita!$A:$B,[1]Bóbita!$1:$1</definedName>
    <definedName name="Print_Titles_1" localSheetId="21">[2]Bóbita!$A$1:$B$65536,[2]Bóbita!$A$1:$IV$1</definedName>
    <definedName name="Print_Titles_1" localSheetId="22">[1]Bóbita!$A:$B,[1]Bóbita!$1:$1</definedName>
    <definedName name="Print_Titles_1" localSheetId="23">[1]Bóbita!$A:$B,[1]Bóbita!$1:$1</definedName>
    <definedName name="Print_Titles_1">[4]Bóbita!$A:$B,[4]Bóbita!$1:$1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G7" i="24"/>
  <c r="F7" i="24"/>
  <c r="E7" i="24"/>
  <c r="D7" i="24"/>
  <c r="C7" i="24"/>
  <c r="B7" i="24"/>
  <c r="I4" i="24"/>
  <c r="I7" i="24" s="1"/>
  <c r="C27" i="23"/>
  <c r="C22" i="23"/>
  <c r="C14" i="23"/>
  <c r="C13" i="23" s="1"/>
  <c r="C31" i="23" s="1"/>
  <c r="C7" i="23"/>
  <c r="C6" i="23"/>
  <c r="C5" i="23"/>
  <c r="C4" i="23"/>
  <c r="F82" i="22"/>
  <c r="J81" i="22"/>
  <c r="J83" i="22" s="1"/>
  <c r="I81" i="22"/>
  <c r="I83" i="22" s="1"/>
  <c r="F81" i="22"/>
  <c r="J77" i="22"/>
  <c r="I77" i="22"/>
  <c r="F77" i="22"/>
  <c r="J76" i="22"/>
  <c r="I76" i="22"/>
  <c r="F76" i="22"/>
  <c r="J75" i="22"/>
  <c r="I75" i="22"/>
  <c r="F75" i="22"/>
  <c r="J74" i="22"/>
  <c r="I74" i="22"/>
  <c r="F74" i="22"/>
  <c r="J73" i="22"/>
  <c r="I73" i="22"/>
  <c r="F73" i="22"/>
  <c r="J72" i="22"/>
  <c r="I72" i="22"/>
  <c r="F72" i="22"/>
  <c r="J71" i="22"/>
  <c r="I71" i="22"/>
  <c r="F71" i="22"/>
  <c r="J70" i="22"/>
  <c r="I70" i="22"/>
  <c r="F70" i="22"/>
  <c r="J69" i="22"/>
  <c r="J78" i="22" s="1"/>
  <c r="I69" i="22"/>
  <c r="F69" i="22"/>
  <c r="J64" i="22"/>
  <c r="J88" i="22" s="1"/>
  <c r="H62" i="22"/>
  <c r="I62" i="22" s="1"/>
  <c r="G62" i="22"/>
  <c r="I61" i="22"/>
  <c r="I59" i="22"/>
  <c r="F59" i="22"/>
  <c r="I58" i="22"/>
  <c r="I57" i="22"/>
  <c r="F57" i="22"/>
  <c r="I56" i="22"/>
  <c r="F56" i="22"/>
  <c r="I55" i="22"/>
  <c r="F55" i="22"/>
  <c r="I54" i="22"/>
  <c r="F54" i="22"/>
  <c r="I53" i="22"/>
  <c r="F53" i="22"/>
  <c r="I52" i="22"/>
  <c r="H52" i="22"/>
  <c r="G52" i="22"/>
  <c r="E52" i="22"/>
  <c r="F52" i="22" s="1"/>
  <c r="D52" i="22"/>
  <c r="D64" i="22" s="1"/>
  <c r="I51" i="22"/>
  <c r="F51" i="22"/>
  <c r="I50" i="22"/>
  <c r="F50" i="22"/>
  <c r="H49" i="22"/>
  <c r="H64" i="22" s="1"/>
  <c r="G49" i="22"/>
  <c r="I49" i="22" s="1"/>
  <c r="I64" i="22" s="1"/>
  <c r="E49" i="22"/>
  <c r="E64" i="22" s="1"/>
  <c r="J45" i="22"/>
  <c r="H45" i="22"/>
  <c r="I45" i="22" s="1"/>
  <c r="G45" i="22"/>
  <c r="I44" i="22"/>
  <c r="I43" i="22"/>
  <c r="I42" i="22"/>
  <c r="I41" i="22"/>
  <c r="I40" i="22"/>
  <c r="I39" i="22"/>
  <c r="I38" i="22"/>
  <c r="H38" i="22"/>
  <c r="G38" i="22"/>
  <c r="I37" i="22"/>
  <c r="I36" i="22"/>
  <c r="I35" i="22"/>
  <c r="I34" i="22"/>
  <c r="I33" i="22"/>
  <c r="I32" i="22"/>
  <c r="I31" i="22"/>
  <c r="H30" i="22"/>
  <c r="G30" i="22"/>
  <c r="I30" i="22" s="1"/>
  <c r="F30" i="22"/>
  <c r="I29" i="22"/>
  <c r="F29" i="22"/>
  <c r="I28" i="22"/>
  <c r="H28" i="22"/>
  <c r="G28" i="22"/>
  <c r="F28" i="22"/>
  <c r="I27" i="22"/>
  <c r="H27" i="22"/>
  <c r="E27" i="22"/>
  <c r="F27" i="22" s="1"/>
  <c r="I26" i="22"/>
  <c r="H26" i="22"/>
  <c r="E26" i="22"/>
  <c r="F26" i="22" s="1"/>
  <c r="G25" i="22"/>
  <c r="H25" i="22" s="1"/>
  <c r="I25" i="22" s="1"/>
  <c r="E25" i="22"/>
  <c r="F25" i="22" s="1"/>
  <c r="D25" i="22"/>
  <c r="H24" i="22"/>
  <c r="I24" i="22" s="1"/>
  <c r="F24" i="22"/>
  <c r="E24" i="22"/>
  <c r="G23" i="22"/>
  <c r="D23" i="22"/>
  <c r="G22" i="22"/>
  <c r="H22" i="22" s="1"/>
  <c r="I22" i="22" s="1"/>
  <c r="E22" i="22"/>
  <c r="F22" i="22" s="1"/>
  <c r="D22" i="22"/>
  <c r="I21" i="22"/>
  <c r="F21" i="22"/>
  <c r="I20" i="22"/>
  <c r="F20" i="22"/>
  <c r="I19" i="22"/>
  <c r="F19" i="22"/>
  <c r="G18" i="22"/>
  <c r="H18" i="22" s="1"/>
  <c r="I18" i="22" s="1"/>
  <c r="E18" i="22"/>
  <c r="D18" i="22"/>
  <c r="I17" i="22"/>
  <c r="F17" i="22"/>
  <c r="I16" i="22"/>
  <c r="H16" i="22"/>
  <c r="E16" i="22"/>
  <c r="F16" i="22" s="1"/>
  <c r="I15" i="22"/>
  <c r="F15" i="22"/>
  <c r="I14" i="22"/>
  <c r="F14" i="22"/>
  <c r="I13" i="22"/>
  <c r="H13" i="22"/>
  <c r="E13" i="22"/>
  <c r="F13" i="22" s="1"/>
  <c r="I12" i="22"/>
  <c r="H12" i="22"/>
  <c r="E12" i="22"/>
  <c r="F12" i="22" s="1"/>
  <c r="I11" i="22"/>
  <c r="H11" i="22"/>
  <c r="G11" i="22"/>
  <c r="F11" i="22"/>
  <c r="I10" i="22"/>
  <c r="F10" i="22"/>
  <c r="H9" i="22"/>
  <c r="G9" i="22"/>
  <c r="I9" i="22" s="1"/>
  <c r="E9" i="22"/>
  <c r="D9" i="22"/>
  <c r="D46" i="22" s="1"/>
  <c r="I8" i="22"/>
  <c r="F8" i="22"/>
  <c r="I7" i="22"/>
  <c r="F7" i="22"/>
  <c r="I6" i="22"/>
  <c r="H6" i="22"/>
  <c r="G6" i="22"/>
  <c r="F6" i="22"/>
  <c r="J5" i="22"/>
  <c r="J46" i="22" s="1"/>
  <c r="H5" i="22"/>
  <c r="G5" i="22"/>
  <c r="I5" i="22" s="1"/>
  <c r="F5" i="22"/>
  <c r="I18" i="21"/>
  <c r="H18" i="21"/>
  <c r="H19" i="21" s="1"/>
  <c r="G18" i="21"/>
  <c r="G19" i="21" s="1"/>
  <c r="F18" i="21"/>
  <c r="F19" i="21" s="1"/>
  <c r="E18" i="21"/>
  <c r="E19" i="21" s="1"/>
  <c r="C18" i="21"/>
  <c r="C19" i="21" s="1"/>
  <c r="B18" i="21"/>
  <c r="B19" i="21" s="1"/>
  <c r="D16" i="21"/>
  <c r="D14" i="21"/>
  <c r="D13" i="21"/>
  <c r="D12" i="21"/>
  <c r="D11" i="21"/>
  <c r="D10" i="21"/>
  <c r="G8" i="21"/>
  <c r="F8" i="21"/>
  <c r="E8" i="21"/>
  <c r="C8" i="21"/>
  <c r="B8" i="21"/>
  <c r="I7" i="21"/>
  <c r="I8" i="21" s="1"/>
  <c r="H7" i="21"/>
  <c r="H8" i="21" s="1"/>
  <c r="D7" i="21"/>
  <c r="D8" i="21" s="1"/>
  <c r="H6" i="21"/>
  <c r="D6" i="21"/>
  <c r="I197" i="20"/>
  <c r="H197" i="20"/>
  <c r="E197" i="20"/>
  <c r="I196" i="20"/>
  <c r="H196" i="20"/>
  <c r="E196" i="20"/>
  <c r="I195" i="20"/>
  <c r="E195" i="20"/>
  <c r="I194" i="20"/>
  <c r="I193" i="20"/>
  <c r="H183" i="20"/>
  <c r="J183" i="20" s="1"/>
  <c r="E183" i="20"/>
  <c r="J182" i="20"/>
  <c r="H182" i="20"/>
  <c r="E182" i="20"/>
  <c r="E180" i="20" s="1"/>
  <c r="J181" i="20"/>
  <c r="H181" i="20"/>
  <c r="E181" i="20"/>
  <c r="I180" i="20"/>
  <c r="J180" i="20" s="1"/>
  <c r="H180" i="20"/>
  <c r="H178" i="20"/>
  <c r="J178" i="20" s="1"/>
  <c r="E178" i="20"/>
  <c r="I177" i="20"/>
  <c r="J177" i="20" s="1"/>
  <c r="H177" i="20"/>
  <c r="E177" i="20"/>
  <c r="I176" i="20"/>
  <c r="J176" i="20" s="1"/>
  <c r="H176" i="20"/>
  <c r="H192" i="20" s="1"/>
  <c r="E176" i="20"/>
  <c r="I175" i="20"/>
  <c r="J175" i="20" s="1"/>
  <c r="H175" i="20"/>
  <c r="E175" i="20"/>
  <c r="H173" i="20"/>
  <c r="J173" i="20" s="1"/>
  <c r="H172" i="20"/>
  <c r="H168" i="20" s="1"/>
  <c r="J168" i="20" s="1"/>
  <c r="J171" i="20"/>
  <c r="H171" i="20"/>
  <c r="E171" i="20"/>
  <c r="J170" i="20"/>
  <c r="I170" i="20"/>
  <c r="H170" i="20"/>
  <c r="E170" i="20"/>
  <c r="J169" i="20"/>
  <c r="I169" i="20"/>
  <c r="I192" i="20" s="1"/>
  <c r="I198" i="20" s="1"/>
  <c r="H169" i="20"/>
  <c r="E169" i="20"/>
  <c r="I168" i="20"/>
  <c r="E168" i="20"/>
  <c r="J165" i="20"/>
  <c r="H165" i="20"/>
  <c r="E165" i="20"/>
  <c r="I164" i="20"/>
  <c r="J164" i="20" s="1"/>
  <c r="H164" i="20"/>
  <c r="E164" i="20"/>
  <c r="H162" i="20"/>
  <c r="J162" i="20" s="1"/>
  <c r="E162" i="20"/>
  <c r="H161" i="20"/>
  <c r="J161" i="20" s="1"/>
  <c r="E161" i="20"/>
  <c r="E159" i="20" s="1"/>
  <c r="J160" i="20"/>
  <c r="H160" i="20"/>
  <c r="E160" i="20"/>
  <c r="I159" i="20"/>
  <c r="J157" i="20"/>
  <c r="H157" i="20"/>
  <c r="E157" i="20"/>
  <c r="H156" i="20"/>
  <c r="J156" i="20" s="1"/>
  <c r="E156" i="20"/>
  <c r="H155" i="20"/>
  <c r="J155" i="20" s="1"/>
  <c r="E155" i="20"/>
  <c r="I154" i="20"/>
  <c r="E154" i="20"/>
  <c r="J152" i="20"/>
  <c r="H152" i="20"/>
  <c r="E152" i="20"/>
  <c r="J151" i="20"/>
  <c r="I151" i="20"/>
  <c r="H151" i="20"/>
  <c r="E151" i="20"/>
  <c r="J148" i="20"/>
  <c r="H148" i="20"/>
  <c r="E148" i="20"/>
  <c r="I147" i="20"/>
  <c r="J147" i="20" s="1"/>
  <c r="H147" i="20"/>
  <c r="E147" i="20"/>
  <c r="H145" i="20"/>
  <c r="J145" i="20" s="1"/>
  <c r="E145" i="20"/>
  <c r="I144" i="20"/>
  <c r="J144" i="20" s="1"/>
  <c r="H144" i="20"/>
  <c r="E144" i="20"/>
  <c r="H142" i="20"/>
  <c r="J142" i="20" s="1"/>
  <c r="E142" i="20"/>
  <c r="J141" i="20"/>
  <c r="H141" i="20"/>
  <c r="E141" i="20"/>
  <c r="E139" i="20" s="1"/>
  <c r="J140" i="20"/>
  <c r="H140" i="20"/>
  <c r="E140" i="20"/>
  <c r="I139" i="20"/>
  <c r="I133" i="20" s="1"/>
  <c r="H139" i="20"/>
  <c r="H137" i="20"/>
  <c r="H194" i="20" s="1"/>
  <c r="E137" i="20"/>
  <c r="E194" i="20" s="1"/>
  <c r="H136" i="20"/>
  <c r="H193" i="20" s="1"/>
  <c r="E136" i="20"/>
  <c r="E193" i="20" s="1"/>
  <c r="J135" i="20"/>
  <c r="H135" i="20"/>
  <c r="E135" i="20"/>
  <c r="E192" i="20" s="1"/>
  <c r="E198" i="20" s="1"/>
  <c r="I134" i="20"/>
  <c r="F133" i="20"/>
  <c r="F132" i="20" s="1"/>
  <c r="C133" i="20"/>
  <c r="C132" i="20"/>
  <c r="J129" i="20"/>
  <c r="H129" i="20"/>
  <c r="E129" i="20"/>
  <c r="J126" i="20"/>
  <c r="I126" i="20"/>
  <c r="I119" i="20" s="1"/>
  <c r="H126" i="20"/>
  <c r="E126" i="20"/>
  <c r="J125" i="20"/>
  <c r="H125" i="20"/>
  <c r="H123" i="20"/>
  <c r="J123" i="20" s="1"/>
  <c r="E123" i="20"/>
  <c r="J122" i="20"/>
  <c r="H122" i="20"/>
  <c r="H121" i="20"/>
  <c r="J121" i="20" s="1"/>
  <c r="I120" i="20"/>
  <c r="E120" i="20"/>
  <c r="E119" i="20"/>
  <c r="E118" i="20" s="1"/>
  <c r="J113" i="20"/>
  <c r="I113" i="20"/>
  <c r="H113" i="20"/>
  <c r="E113" i="20"/>
  <c r="J112" i="20"/>
  <c r="I112" i="20"/>
  <c r="H112" i="20"/>
  <c r="E112" i="20"/>
  <c r="H110" i="20"/>
  <c r="J110" i="20" s="1"/>
  <c r="E110" i="20"/>
  <c r="I107" i="20"/>
  <c r="J107" i="20" s="1"/>
  <c r="H107" i="20"/>
  <c r="E107" i="20"/>
  <c r="H105" i="20"/>
  <c r="J105" i="20" s="1"/>
  <c r="E105" i="20"/>
  <c r="J104" i="20"/>
  <c r="H104" i="20"/>
  <c r="J103" i="20"/>
  <c r="H103" i="20"/>
  <c r="J102" i="20"/>
  <c r="I102" i="20"/>
  <c r="H102" i="20"/>
  <c r="E102" i="20"/>
  <c r="J101" i="20"/>
  <c r="H99" i="20"/>
  <c r="J99" i="20" s="1"/>
  <c r="E99" i="20"/>
  <c r="J98" i="20"/>
  <c r="H98" i="20"/>
  <c r="J97" i="20"/>
  <c r="H97" i="20"/>
  <c r="J96" i="20"/>
  <c r="I96" i="20"/>
  <c r="H96" i="20"/>
  <c r="F96" i="20"/>
  <c r="E96" i="20"/>
  <c r="E95" i="20" s="1"/>
  <c r="E94" i="20" s="1"/>
  <c r="C96" i="20"/>
  <c r="I95" i="20"/>
  <c r="H95" i="20"/>
  <c r="J95" i="20" s="1"/>
  <c r="F95" i="20"/>
  <c r="C95" i="20"/>
  <c r="I94" i="20"/>
  <c r="F94" i="20"/>
  <c r="C94" i="20"/>
  <c r="H92" i="20"/>
  <c r="J92" i="20" s="1"/>
  <c r="E92" i="20"/>
  <c r="J91" i="20"/>
  <c r="H91" i="20"/>
  <c r="J90" i="20"/>
  <c r="H90" i="20"/>
  <c r="I89" i="20"/>
  <c r="H89" i="20"/>
  <c r="J89" i="20" s="1"/>
  <c r="E89" i="20"/>
  <c r="I88" i="20"/>
  <c r="H88" i="20"/>
  <c r="J88" i="20" s="1"/>
  <c r="F88" i="20"/>
  <c r="E88" i="20"/>
  <c r="C88" i="20"/>
  <c r="J87" i="20"/>
  <c r="J83" i="20" s="1"/>
  <c r="H87" i="20"/>
  <c r="E87" i="20"/>
  <c r="I83" i="20"/>
  <c r="I75" i="20" s="1"/>
  <c r="H83" i="20"/>
  <c r="E83" i="20"/>
  <c r="H79" i="20"/>
  <c r="J79" i="20" s="1"/>
  <c r="E79" i="20"/>
  <c r="J78" i="20"/>
  <c r="H78" i="20"/>
  <c r="J77" i="20"/>
  <c r="H77" i="20"/>
  <c r="I76" i="20"/>
  <c r="H76" i="20"/>
  <c r="J76" i="20" s="1"/>
  <c r="E76" i="20"/>
  <c r="H75" i="20"/>
  <c r="H74" i="20" s="1"/>
  <c r="F75" i="20"/>
  <c r="E75" i="20"/>
  <c r="E74" i="20" s="1"/>
  <c r="C75" i="20"/>
  <c r="F74" i="20"/>
  <c r="C74" i="20"/>
  <c r="J69" i="20"/>
  <c r="I69" i="20"/>
  <c r="H69" i="20"/>
  <c r="E69" i="20"/>
  <c r="J68" i="20"/>
  <c r="I68" i="20"/>
  <c r="H68" i="20"/>
  <c r="E68" i="20"/>
  <c r="H66" i="20"/>
  <c r="J66" i="20" s="1"/>
  <c r="J63" i="20" s="1"/>
  <c r="E66" i="20"/>
  <c r="I63" i="20"/>
  <c r="H63" i="20"/>
  <c r="E63" i="20"/>
  <c r="J62" i="20"/>
  <c r="H61" i="20"/>
  <c r="J61" i="20" s="1"/>
  <c r="E61" i="20"/>
  <c r="J60" i="20"/>
  <c r="H60" i="20"/>
  <c r="J59" i="20"/>
  <c r="H59" i="20"/>
  <c r="I58" i="20"/>
  <c r="H58" i="20"/>
  <c r="J58" i="20" s="1"/>
  <c r="E58" i="20"/>
  <c r="I55" i="20"/>
  <c r="H55" i="20"/>
  <c r="J54" i="20"/>
  <c r="H54" i="20"/>
  <c r="E54" i="20"/>
  <c r="H53" i="20"/>
  <c r="J53" i="20" s="1"/>
  <c r="H52" i="20"/>
  <c r="J52" i="20" s="1"/>
  <c r="I51" i="20"/>
  <c r="E51" i="20"/>
  <c r="I50" i="20"/>
  <c r="I49" i="20" s="1"/>
  <c r="E50" i="20"/>
  <c r="E49" i="20" s="1"/>
  <c r="J46" i="20"/>
  <c r="H46" i="20"/>
  <c r="E46" i="20"/>
  <c r="I43" i="20"/>
  <c r="J43" i="20" s="1"/>
  <c r="H43" i="20"/>
  <c r="E43" i="20"/>
  <c r="J42" i="20"/>
  <c r="J40" i="20"/>
  <c r="H40" i="20"/>
  <c r="E40" i="20"/>
  <c r="H39" i="20"/>
  <c r="J39" i="20" s="1"/>
  <c r="H38" i="20"/>
  <c r="J38" i="20" s="1"/>
  <c r="I37" i="20"/>
  <c r="E37" i="20"/>
  <c r="E36" i="20" s="1"/>
  <c r="E35" i="20" s="1"/>
  <c r="F36" i="20"/>
  <c r="F35" i="20" s="1"/>
  <c r="F5" i="20" s="1"/>
  <c r="C36" i="20"/>
  <c r="C35" i="20" s="1"/>
  <c r="C5" i="20" s="1"/>
  <c r="J32" i="20"/>
  <c r="H32" i="20"/>
  <c r="E32" i="20"/>
  <c r="I29" i="20"/>
  <c r="J29" i="20" s="1"/>
  <c r="H29" i="20"/>
  <c r="E29" i="20"/>
  <c r="H28" i="20"/>
  <c r="J28" i="20" s="1"/>
  <c r="J26" i="20"/>
  <c r="H26" i="20"/>
  <c r="K26" i="20" s="1"/>
  <c r="E26" i="20"/>
  <c r="E23" i="20" s="1"/>
  <c r="E22" i="20" s="1"/>
  <c r="E21" i="20" s="1"/>
  <c r="H25" i="20"/>
  <c r="J25" i="20" s="1"/>
  <c r="H24" i="20"/>
  <c r="J24" i="20" s="1"/>
  <c r="E24" i="20"/>
  <c r="I23" i="20"/>
  <c r="H23" i="20"/>
  <c r="J23" i="20" s="1"/>
  <c r="H22" i="20"/>
  <c r="H21" i="20" s="1"/>
  <c r="H18" i="20"/>
  <c r="J18" i="20" s="1"/>
  <c r="E18" i="20"/>
  <c r="I15" i="20"/>
  <c r="H15" i="20"/>
  <c r="J15" i="20" s="1"/>
  <c r="E15" i="20"/>
  <c r="J13" i="20"/>
  <c r="H13" i="20"/>
  <c r="J11" i="20"/>
  <c r="H11" i="20"/>
  <c r="E11" i="20"/>
  <c r="E8" i="20" s="1"/>
  <c r="E7" i="20" s="1"/>
  <c r="E6" i="20" s="1"/>
  <c r="H10" i="20"/>
  <c r="H8" i="20" s="1"/>
  <c r="H9" i="20"/>
  <c r="J9" i="20" s="1"/>
  <c r="E9" i="20"/>
  <c r="I8" i="20"/>
  <c r="I7" i="20"/>
  <c r="I6" i="20"/>
  <c r="G46" i="19"/>
  <c r="H45" i="19"/>
  <c r="E45" i="19"/>
  <c r="I44" i="19"/>
  <c r="H44" i="19"/>
  <c r="F44" i="19"/>
  <c r="E44" i="19"/>
  <c r="I43" i="19"/>
  <c r="H43" i="19"/>
  <c r="F43" i="19"/>
  <c r="C43" i="19"/>
  <c r="E43" i="19" s="1"/>
  <c r="I42" i="19"/>
  <c r="G42" i="19"/>
  <c r="F42" i="19"/>
  <c r="H42" i="19" s="1"/>
  <c r="D42" i="19"/>
  <c r="I41" i="19"/>
  <c r="H41" i="19"/>
  <c r="F41" i="19"/>
  <c r="C41" i="19"/>
  <c r="E41" i="19" s="1"/>
  <c r="H40" i="19"/>
  <c r="E40" i="19"/>
  <c r="I39" i="19"/>
  <c r="F39" i="19"/>
  <c r="H39" i="19" s="1"/>
  <c r="C39" i="19"/>
  <c r="E39" i="19" s="1"/>
  <c r="I38" i="19"/>
  <c r="F38" i="19"/>
  <c r="H38" i="19" s="1"/>
  <c r="C38" i="19"/>
  <c r="E38" i="19" s="1"/>
  <c r="I37" i="19"/>
  <c r="F37" i="19"/>
  <c r="H37" i="19" s="1"/>
  <c r="C37" i="19"/>
  <c r="E37" i="19" s="1"/>
  <c r="G36" i="19"/>
  <c r="D36" i="19"/>
  <c r="D46" i="19" s="1"/>
  <c r="D34" i="19" s="1"/>
  <c r="D32" i="19" s="1"/>
  <c r="D31" i="19" s="1"/>
  <c r="D35" i="19" s="1"/>
  <c r="H33" i="19"/>
  <c r="E33" i="19"/>
  <c r="I32" i="19"/>
  <c r="I31" i="19" s="1"/>
  <c r="I29" i="19"/>
  <c r="H29" i="19"/>
  <c r="E29" i="19"/>
  <c r="H28" i="19"/>
  <c r="G28" i="19"/>
  <c r="I28" i="19" s="1"/>
  <c r="F28" i="19"/>
  <c r="D28" i="19"/>
  <c r="D22" i="19" s="1"/>
  <c r="D30" i="19" s="1"/>
  <c r="C28" i="19"/>
  <c r="E28" i="19" s="1"/>
  <c r="H27" i="19"/>
  <c r="I27" i="19" s="1"/>
  <c r="E27" i="19"/>
  <c r="I26" i="19"/>
  <c r="H26" i="19"/>
  <c r="E26" i="19"/>
  <c r="G25" i="19"/>
  <c r="F25" i="19"/>
  <c r="H25" i="19" s="1"/>
  <c r="I25" i="19" s="1"/>
  <c r="E25" i="19"/>
  <c r="D25" i="19"/>
  <c r="C25" i="19"/>
  <c r="H24" i="19"/>
  <c r="I24" i="19" s="1"/>
  <c r="E24" i="19"/>
  <c r="G23" i="19"/>
  <c r="I23" i="19" s="1"/>
  <c r="F23" i="19"/>
  <c r="H23" i="19" s="1"/>
  <c r="D23" i="19"/>
  <c r="C23" i="19"/>
  <c r="E23" i="19" s="1"/>
  <c r="F22" i="19"/>
  <c r="H21" i="19"/>
  <c r="I21" i="19" s="1"/>
  <c r="E21" i="19"/>
  <c r="G20" i="19"/>
  <c r="F20" i="19"/>
  <c r="D20" i="19"/>
  <c r="C20" i="19"/>
  <c r="E20" i="19" s="1"/>
  <c r="I19" i="19"/>
  <c r="H19" i="19"/>
  <c r="E19" i="19"/>
  <c r="H18" i="19"/>
  <c r="E18" i="19"/>
  <c r="H17" i="19"/>
  <c r="E17" i="19"/>
  <c r="H16" i="19"/>
  <c r="E16" i="19"/>
  <c r="H15" i="19"/>
  <c r="E15" i="19"/>
  <c r="H14" i="19"/>
  <c r="E14" i="19"/>
  <c r="I13" i="19"/>
  <c r="H13" i="19"/>
  <c r="E13" i="19"/>
  <c r="H12" i="19"/>
  <c r="E12" i="19"/>
  <c r="I11" i="19"/>
  <c r="H11" i="19"/>
  <c r="G11" i="19"/>
  <c r="F11" i="19"/>
  <c r="D11" i="19"/>
  <c r="D8" i="19" s="1"/>
  <c r="C11" i="19"/>
  <c r="C8" i="19" s="1"/>
  <c r="E8" i="19" s="1"/>
  <c r="H10" i="19"/>
  <c r="I10" i="19" s="1"/>
  <c r="E10" i="19"/>
  <c r="G9" i="19"/>
  <c r="F9" i="19"/>
  <c r="H9" i="19" s="1"/>
  <c r="I9" i="19" s="1"/>
  <c r="E9" i="19"/>
  <c r="D9" i="19"/>
  <c r="C9" i="19"/>
  <c r="H7" i="19"/>
  <c r="E7" i="19"/>
  <c r="F6" i="19"/>
  <c r="H6" i="19" s="1"/>
  <c r="C6" i="19"/>
  <c r="E6" i="19" s="1"/>
  <c r="F45" i="18"/>
  <c r="H45" i="18" s="1"/>
  <c r="C45" i="18"/>
  <c r="E45" i="18" s="1"/>
  <c r="H44" i="18"/>
  <c r="E44" i="18"/>
  <c r="I43" i="18"/>
  <c r="G43" i="18"/>
  <c r="F43" i="18"/>
  <c r="D43" i="18"/>
  <c r="D42" i="18" s="1"/>
  <c r="C43" i="18"/>
  <c r="E43" i="18" s="1"/>
  <c r="I42" i="18"/>
  <c r="I46" i="18" s="1"/>
  <c r="I41" i="18"/>
  <c r="H41" i="18"/>
  <c r="F41" i="18"/>
  <c r="C41" i="18"/>
  <c r="E41" i="18" s="1"/>
  <c r="H40" i="18"/>
  <c r="E40" i="18"/>
  <c r="I39" i="18"/>
  <c r="G39" i="18"/>
  <c r="F39" i="18"/>
  <c r="H39" i="18" s="1"/>
  <c r="D39" i="18"/>
  <c r="C39" i="18"/>
  <c r="I38" i="18"/>
  <c r="G38" i="18"/>
  <c r="F38" i="18"/>
  <c r="H38" i="18" s="1"/>
  <c r="D38" i="18"/>
  <c r="C38" i="18"/>
  <c r="I37" i="18"/>
  <c r="I36" i="18" s="1"/>
  <c r="G37" i="18"/>
  <c r="G36" i="18" s="1"/>
  <c r="F37" i="18"/>
  <c r="D37" i="18"/>
  <c r="C37" i="18"/>
  <c r="E37" i="18" s="1"/>
  <c r="F36" i="18"/>
  <c r="H33" i="18"/>
  <c r="E33" i="18"/>
  <c r="I32" i="18"/>
  <c r="I31" i="18"/>
  <c r="I29" i="18"/>
  <c r="H29" i="18"/>
  <c r="E29" i="18"/>
  <c r="H28" i="18"/>
  <c r="G28" i="18"/>
  <c r="I28" i="18" s="1"/>
  <c r="F28" i="18"/>
  <c r="D28" i="18"/>
  <c r="D22" i="18" s="1"/>
  <c r="C28" i="18"/>
  <c r="E28" i="18" s="1"/>
  <c r="I27" i="18"/>
  <c r="H27" i="18"/>
  <c r="E27" i="18"/>
  <c r="H26" i="18"/>
  <c r="I26" i="18" s="1"/>
  <c r="E26" i="18"/>
  <c r="G25" i="18"/>
  <c r="F25" i="18"/>
  <c r="H25" i="18" s="1"/>
  <c r="I25" i="18" s="1"/>
  <c r="E25" i="18"/>
  <c r="D25" i="18"/>
  <c r="C25" i="18"/>
  <c r="H24" i="18"/>
  <c r="I24" i="18" s="1"/>
  <c r="E24" i="18"/>
  <c r="G23" i="18"/>
  <c r="F23" i="18"/>
  <c r="H23" i="18" s="1"/>
  <c r="D23" i="18"/>
  <c r="C23" i="18"/>
  <c r="E23" i="18" s="1"/>
  <c r="F22" i="18"/>
  <c r="H21" i="18"/>
  <c r="I21" i="18" s="1"/>
  <c r="E21" i="18"/>
  <c r="G20" i="18"/>
  <c r="F20" i="18"/>
  <c r="D20" i="18"/>
  <c r="C20" i="18"/>
  <c r="E20" i="18" s="1"/>
  <c r="H19" i="18"/>
  <c r="E19" i="18"/>
  <c r="H18" i="18"/>
  <c r="E18" i="18"/>
  <c r="H17" i="18"/>
  <c r="E17" i="18"/>
  <c r="H16" i="18"/>
  <c r="E16" i="18"/>
  <c r="H15" i="18"/>
  <c r="E15" i="18"/>
  <c r="H14" i="18"/>
  <c r="E14" i="18"/>
  <c r="H13" i="18"/>
  <c r="E13" i="18"/>
  <c r="H12" i="18"/>
  <c r="E12" i="18"/>
  <c r="I11" i="18"/>
  <c r="G11" i="18"/>
  <c r="F11" i="18"/>
  <c r="H11" i="18" s="1"/>
  <c r="D11" i="18"/>
  <c r="C11" i="18"/>
  <c r="E11" i="18" s="1"/>
  <c r="I10" i="18"/>
  <c r="H10" i="18"/>
  <c r="E10" i="18"/>
  <c r="H9" i="18"/>
  <c r="I9" i="18" s="1"/>
  <c r="G9" i="18"/>
  <c r="F9" i="18"/>
  <c r="F8" i="18" s="1"/>
  <c r="D9" i="18"/>
  <c r="E9" i="18" s="1"/>
  <c r="C9" i="18"/>
  <c r="G8" i="18"/>
  <c r="C8" i="18"/>
  <c r="H7" i="18"/>
  <c r="E7" i="18"/>
  <c r="H6" i="18"/>
  <c r="E6" i="18"/>
  <c r="H45" i="17"/>
  <c r="E45" i="17"/>
  <c r="H44" i="17"/>
  <c r="E44" i="17"/>
  <c r="I43" i="17"/>
  <c r="G43" i="17"/>
  <c r="G42" i="17" s="1"/>
  <c r="F43" i="17"/>
  <c r="D43" i="17"/>
  <c r="C43" i="17"/>
  <c r="E43" i="17" s="1"/>
  <c r="I42" i="17"/>
  <c r="D42" i="17"/>
  <c r="C42" i="17"/>
  <c r="E42" i="17" s="1"/>
  <c r="I41" i="17"/>
  <c r="F41" i="17"/>
  <c r="H41" i="17" s="1"/>
  <c r="C41" i="17"/>
  <c r="E41" i="17" s="1"/>
  <c r="H40" i="17"/>
  <c r="E40" i="17"/>
  <c r="I39" i="17"/>
  <c r="G39" i="17"/>
  <c r="F39" i="17"/>
  <c r="D39" i="17"/>
  <c r="C39" i="17"/>
  <c r="E39" i="17" s="1"/>
  <c r="I38" i="17"/>
  <c r="G38" i="17"/>
  <c r="F38" i="17"/>
  <c r="H38" i="17" s="1"/>
  <c r="D38" i="17"/>
  <c r="C38" i="17"/>
  <c r="I37" i="17"/>
  <c r="G37" i="17"/>
  <c r="F37" i="17"/>
  <c r="H37" i="17" s="1"/>
  <c r="E37" i="17"/>
  <c r="D37" i="17"/>
  <c r="C37" i="17"/>
  <c r="D36" i="17"/>
  <c r="H33" i="17"/>
  <c r="E33" i="17"/>
  <c r="I32" i="17"/>
  <c r="I31" i="17"/>
  <c r="I29" i="17"/>
  <c r="H29" i="17"/>
  <c r="E29" i="17"/>
  <c r="G28" i="17"/>
  <c r="F28" i="17"/>
  <c r="F22" i="17" s="1"/>
  <c r="D28" i="17"/>
  <c r="D22" i="17" s="1"/>
  <c r="C28" i="17"/>
  <c r="E28" i="17" s="1"/>
  <c r="I27" i="17"/>
  <c r="H27" i="17"/>
  <c r="E27" i="17"/>
  <c r="H26" i="17"/>
  <c r="I26" i="17" s="1"/>
  <c r="E26" i="17"/>
  <c r="G25" i="17"/>
  <c r="F25" i="17"/>
  <c r="H25" i="17" s="1"/>
  <c r="D25" i="17"/>
  <c r="C25" i="17"/>
  <c r="E25" i="17" s="1"/>
  <c r="H24" i="17"/>
  <c r="I24" i="17" s="1"/>
  <c r="E24" i="17"/>
  <c r="G23" i="17"/>
  <c r="F23" i="17"/>
  <c r="H23" i="17" s="1"/>
  <c r="I23" i="17" s="1"/>
  <c r="E23" i="17"/>
  <c r="D23" i="17"/>
  <c r="C23" i="17"/>
  <c r="C22" i="17"/>
  <c r="C30" i="17" s="1"/>
  <c r="H21" i="17"/>
  <c r="I21" i="17" s="1"/>
  <c r="E21" i="17"/>
  <c r="G20" i="17"/>
  <c r="H20" i="17" s="1"/>
  <c r="I20" i="17" s="1"/>
  <c r="F20" i="17"/>
  <c r="E20" i="17"/>
  <c r="D20" i="17"/>
  <c r="C20" i="17"/>
  <c r="H19" i="17"/>
  <c r="E19" i="17"/>
  <c r="H18" i="17"/>
  <c r="E18" i="17"/>
  <c r="H17" i="17"/>
  <c r="E17" i="17"/>
  <c r="F16" i="17"/>
  <c r="H16" i="17" s="1"/>
  <c r="E16" i="17"/>
  <c r="H15" i="17"/>
  <c r="F15" i="17"/>
  <c r="E15" i="17"/>
  <c r="H14" i="17"/>
  <c r="E14" i="17"/>
  <c r="H13" i="17"/>
  <c r="E13" i="17"/>
  <c r="H12" i="17"/>
  <c r="E12" i="17"/>
  <c r="I11" i="17"/>
  <c r="G11" i="17"/>
  <c r="F11" i="17"/>
  <c r="H11" i="17" s="1"/>
  <c r="D11" i="17"/>
  <c r="C11" i="17"/>
  <c r="E11" i="17" s="1"/>
  <c r="I10" i="17"/>
  <c r="H10" i="17"/>
  <c r="E10" i="17"/>
  <c r="H9" i="17"/>
  <c r="I9" i="17" s="1"/>
  <c r="I8" i="17" s="1"/>
  <c r="G9" i="17"/>
  <c r="F9" i="17"/>
  <c r="F8" i="17" s="1"/>
  <c r="H8" i="17" s="1"/>
  <c r="D9" i="17"/>
  <c r="E9" i="17" s="1"/>
  <c r="C9" i="17"/>
  <c r="G8" i="17"/>
  <c r="C8" i="17"/>
  <c r="H7" i="17"/>
  <c r="E7" i="17"/>
  <c r="F6" i="17"/>
  <c r="H6" i="17" s="1"/>
  <c r="C6" i="17"/>
  <c r="E6" i="17" s="1"/>
  <c r="H45" i="16"/>
  <c r="E45" i="16"/>
  <c r="I44" i="16"/>
  <c r="F44" i="16"/>
  <c r="H44" i="16" s="1"/>
  <c r="C44" i="16"/>
  <c r="E44" i="16" s="1"/>
  <c r="I43" i="16"/>
  <c r="I42" i="16" s="1"/>
  <c r="G43" i="16"/>
  <c r="F43" i="16"/>
  <c r="E43" i="16"/>
  <c r="D43" i="16"/>
  <c r="C43" i="16"/>
  <c r="G42" i="16"/>
  <c r="D42" i="16"/>
  <c r="H41" i="16"/>
  <c r="F41" i="16"/>
  <c r="E41" i="16"/>
  <c r="C41" i="16"/>
  <c r="H40" i="16"/>
  <c r="E40" i="16"/>
  <c r="I39" i="16"/>
  <c r="G39" i="16"/>
  <c r="F39" i="16"/>
  <c r="H39" i="16" s="1"/>
  <c r="D39" i="16"/>
  <c r="C39" i="16"/>
  <c r="E39" i="16" s="1"/>
  <c r="I38" i="16"/>
  <c r="G38" i="16"/>
  <c r="F38" i="16"/>
  <c r="H38" i="16" s="1"/>
  <c r="D38" i="16"/>
  <c r="D36" i="16" s="1"/>
  <c r="C38" i="16"/>
  <c r="I37" i="16"/>
  <c r="G37" i="16"/>
  <c r="F37" i="16"/>
  <c r="F36" i="16" s="1"/>
  <c r="D37" i="16"/>
  <c r="C37" i="16"/>
  <c r="E37" i="16" s="1"/>
  <c r="H33" i="16"/>
  <c r="E33" i="16"/>
  <c r="I32" i="16"/>
  <c r="I31" i="16"/>
  <c r="I29" i="16"/>
  <c r="H29" i="16"/>
  <c r="E29" i="16"/>
  <c r="H28" i="16"/>
  <c r="I28" i="16" s="1"/>
  <c r="G28" i="16"/>
  <c r="F28" i="16"/>
  <c r="D28" i="16"/>
  <c r="E28" i="16" s="1"/>
  <c r="C28" i="16"/>
  <c r="I27" i="16"/>
  <c r="H27" i="16"/>
  <c r="E27" i="16"/>
  <c r="H26" i="16"/>
  <c r="I26" i="16" s="1"/>
  <c r="E26" i="16"/>
  <c r="G25" i="16"/>
  <c r="F25" i="16"/>
  <c r="H25" i="16" s="1"/>
  <c r="I25" i="16" s="1"/>
  <c r="E25" i="16"/>
  <c r="D25" i="16"/>
  <c r="C25" i="16"/>
  <c r="H24" i="16"/>
  <c r="I24" i="16" s="1"/>
  <c r="E24" i="16"/>
  <c r="G23" i="16"/>
  <c r="F23" i="16"/>
  <c r="D23" i="16"/>
  <c r="D22" i="16" s="1"/>
  <c r="C23" i="16"/>
  <c r="E23" i="16" s="1"/>
  <c r="F22" i="16"/>
  <c r="H21" i="16"/>
  <c r="I21" i="16" s="1"/>
  <c r="E21" i="16"/>
  <c r="G20" i="16"/>
  <c r="F20" i="16"/>
  <c r="D20" i="16"/>
  <c r="C20" i="16"/>
  <c r="E20" i="16" s="1"/>
  <c r="H19" i="16"/>
  <c r="E19" i="16"/>
  <c r="H18" i="16"/>
  <c r="E18" i="16"/>
  <c r="H17" i="16"/>
  <c r="E17" i="16"/>
  <c r="H16" i="16"/>
  <c r="E16" i="16"/>
  <c r="H15" i="16"/>
  <c r="E15" i="16"/>
  <c r="H14" i="16"/>
  <c r="E14" i="16"/>
  <c r="H13" i="16"/>
  <c r="E13" i="16"/>
  <c r="H12" i="16"/>
  <c r="E12" i="16"/>
  <c r="I11" i="16"/>
  <c r="G11" i="16"/>
  <c r="F11" i="16"/>
  <c r="H11" i="16" s="1"/>
  <c r="D11" i="16"/>
  <c r="C11" i="16"/>
  <c r="E11" i="16" s="1"/>
  <c r="I10" i="16"/>
  <c r="H10" i="16"/>
  <c r="E10" i="16"/>
  <c r="H9" i="16"/>
  <c r="I9" i="16" s="1"/>
  <c r="G9" i="16"/>
  <c r="F9" i="16"/>
  <c r="F8" i="16" s="1"/>
  <c r="D9" i="16"/>
  <c r="E9" i="16" s="1"/>
  <c r="C9" i="16"/>
  <c r="G8" i="16"/>
  <c r="C8" i="16"/>
  <c r="H7" i="16"/>
  <c r="E7" i="16"/>
  <c r="H6" i="16"/>
  <c r="E6" i="16"/>
  <c r="H45" i="15"/>
  <c r="E45" i="15"/>
  <c r="I44" i="15"/>
  <c r="F44" i="15"/>
  <c r="H44" i="15" s="1"/>
  <c r="C44" i="15"/>
  <c r="I43" i="15"/>
  <c r="G43" i="15"/>
  <c r="G42" i="15" s="1"/>
  <c r="F43" i="15"/>
  <c r="D43" i="15"/>
  <c r="D42" i="15" s="1"/>
  <c r="C43" i="15"/>
  <c r="E43" i="15" s="1"/>
  <c r="I42" i="15"/>
  <c r="I41" i="15"/>
  <c r="F41" i="15"/>
  <c r="H41" i="15" s="1"/>
  <c r="C41" i="15"/>
  <c r="E41" i="15" s="1"/>
  <c r="H40" i="15"/>
  <c r="E40" i="15"/>
  <c r="I39" i="15"/>
  <c r="G39" i="15"/>
  <c r="F39" i="15"/>
  <c r="H39" i="15" s="1"/>
  <c r="D39" i="15"/>
  <c r="C39" i="15"/>
  <c r="C36" i="15" s="1"/>
  <c r="I38" i="15"/>
  <c r="G38" i="15"/>
  <c r="F38" i="15"/>
  <c r="H38" i="15" s="1"/>
  <c r="D38" i="15"/>
  <c r="C38" i="15"/>
  <c r="I37" i="15"/>
  <c r="G37" i="15"/>
  <c r="F37" i="15"/>
  <c r="H37" i="15" s="1"/>
  <c r="D37" i="15"/>
  <c r="D36" i="15" s="1"/>
  <c r="C37" i="15"/>
  <c r="H33" i="15"/>
  <c r="E33" i="15"/>
  <c r="I32" i="15"/>
  <c r="I31" i="15"/>
  <c r="H29" i="15"/>
  <c r="I29" i="15" s="1"/>
  <c r="E29" i="15"/>
  <c r="G28" i="15"/>
  <c r="F28" i="15"/>
  <c r="F22" i="15" s="1"/>
  <c r="D28" i="15"/>
  <c r="C28" i="15"/>
  <c r="E28" i="15" s="1"/>
  <c r="I27" i="15"/>
  <c r="H27" i="15"/>
  <c r="E27" i="15"/>
  <c r="H26" i="15"/>
  <c r="I26" i="15" s="1"/>
  <c r="E26" i="15"/>
  <c r="G25" i="15"/>
  <c r="F25" i="15"/>
  <c r="H25" i="15" s="1"/>
  <c r="D25" i="15"/>
  <c r="C25" i="15"/>
  <c r="E25" i="15" s="1"/>
  <c r="I24" i="15"/>
  <c r="H24" i="15"/>
  <c r="E24" i="15"/>
  <c r="G23" i="15"/>
  <c r="F23" i="15"/>
  <c r="H23" i="15" s="1"/>
  <c r="I23" i="15" s="1"/>
  <c r="E23" i="15"/>
  <c r="D23" i="15"/>
  <c r="C23" i="15"/>
  <c r="G22" i="15"/>
  <c r="G30" i="15" s="1"/>
  <c r="D22" i="15"/>
  <c r="C22" i="15"/>
  <c r="C30" i="15" s="1"/>
  <c r="H21" i="15"/>
  <c r="I21" i="15" s="1"/>
  <c r="E21" i="15"/>
  <c r="G20" i="15"/>
  <c r="F20" i="15"/>
  <c r="H20" i="15" s="1"/>
  <c r="I20" i="15" s="1"/>
  <c r="E20" i="15"/>
  <c r="D20" i="15"/>
  <c r="C20" i="15"/>
  <c r="H19" i="15"/>
  <c r="E19" i="15"/>
  <c r="H18" i="15"/>
  <c r="E18" i="15"/>
  <c r="H17" i="15"/>
  <c r="E17" i="15"/>
  <c r="H16" i="15"/>
  <c r="E16" i="15"/>
  <c r="H15" i="15"/>
  <c r="E15" i="15"/>
  <c r="H14" i="15"/>
  <c r="E14" i="15"/>
  <c r="H13" i="15"/>
  <c r="E13" i="15"/>
  <c r="H12" i="15"/>
  <c r="E12" i="15"/>
  <c r="I11" i="15"/>
  <c r="H11" i="15"/>
  <c r="G11" i="15"/>
  <c r="F11" i="15"/>
  <c r="D11" i="15"/>
  <c r="C11" i="15"/>
  <c r="E11" i="15" s="1"/>
  <c r="I10" i="15"/>
  <c r="H10" i="15"/>
  <c r="E10" i="15"/>
  <c r="G9" i="15"/>
  <c r="F9" i="15"/>
  <c r="H9" i="15" s="1"/>
  <c r="I9" i="15" s="1"/>
  <c r="I8" i="15" s="1"/>
  <c r="D9" i="15"/>
  <c r="E9" i="15" s="1"/>
  <c r="C9" i="15"/>
  <c r="G8" i="15"/>
  <c r="C8" i="15"/>
  <c r="H7" i="15"/>
  <c r="E7" i="15"/>
  <c r="F6" i="15"/>
  <c r="H6" i="15" s="1"/>
  <c r="C6" i="15"/>
  <c r="E6" i="15" s="1"/>
  <c r="H45" i="14"/>
  <c r="E45" i="14"/>
  <c r="H44" i="14"/>
  <c r="E44" i="14"/>
  <c r="I43" i="14"/>
  <c r="G43" i="14"/>
  <c r="G42" i="14" s="1"/>
  <c r="F43" i="14"/>
  <c r="D43" i="14"/>
  <c r="C43" i="14"/>
  <c r="E43" i="14" s="1"/>
  <c r="I42" i="14"/>
  <c r="D42" i="14"/>
  <c r="I41" i="14"/>
  <c r="G41" i="14"/>
  <c r="F41" i="14"/>
  <c r="H41" i="14" s="1"/>
  <c r="D41" i="14"/>
  <c r="C41" i="14"/>
  <c r="H40" i="14"/>
  <c r="E40" i="14"/>
  <c r="I39" i="14"/>
  <c r="I36" i="14" s="1"/>
  <c r="G39" i="14"/>
  <c r="F39" i="14"/>
  <c r="H39" i="14" s="1"/>
  <c r="E39" i="14"/>
  <c r="D39" i="14"/>
  <c r="C39" i="14"/>
  <c r="I38" i="14"/>
  <c r="H38" i="14"/>
  <c r="G38" i="14"/>
  <c r="F38" i="14"/>
  <c r="D38" i="14"/>
  <c r="C38" i="14"/>
  <c r="E38" i="14" s="1"/>
  <c r="I37" i="14"/>
  <c r="G37" i="14"/>
  <c r="F37" i="14"/>
  <c r="H37" i="14" s="1"/>
  <c r="D37" i="14"/>
  <c r="C37" i="14"/>
  <c r="H33" i="14"/>
  <c r="E33" i="14"/>
  <c r="I32" i="14"/>
  <c r="I31" i="14"/>
  <c r="I29" i="14"/>
  <c r="H29" i="14"/>
  <c r="E29" i="14"/>
  <c r="H28" i="14"/>
  <c r="G28" i="14"/>
  <c r="I28" i="14" s="1"/>
  <c r="F28" i="14"/>
  <c r="D28" i="14"/>
  <c r="D22" i="14" s="1"/>
  <c r="C28" i="14"/>
  <c r="E28" i="14" s="1"/>
  <c r="H27" i="14"/>
  <c r="I27" i="14" s="1"/>
  <c r="E27" i="14"/>
  <c r="I26" i="14"/>
  <c r="H26" i="14"/>
  <c r="E26" i="14"/>
  <c r="I25" i="14"/>
  <c r="H25" i="14"/>
  <c r="G25" i="14"/>
  <c r="F25" i="14"/>
  <c r="E25" i="14"/>
  <c r="D25" i="14"/>
  <c r="C25" i="14"/>
  <c r="H24" i="14"/>
  <c r="I24" i="14" s="1"/>
  <c r="E24" i="14"/>
  <c r="G23" i="14"/>
  <c r="F23" i="14"/>
  <c r="H23" i="14" s="1"/>
  <c r="D23" i="14"/>
  <c r="C23" i="14"/>
  <c r="E23" i="14" s="1"/>
  <c r="H21" i="14"/>
  <c r="I21" i="14" s="1"/>
  <c r="E21" i="14"/>
  <c r="G20" i="14"/>
  <c r="F20" i="14"/>
  <c r="H20" i="14" s="1"/>
  <c r="D20" i="14"/>
  <c r="C20" i="14"/>
  <c r="E20" i="14" s="1"/>
  <c r="H19" i="14"/>
  <c r="E19" i="14"/>
  <c r="H18" i="14"/>
  <c r="E18" i="14"/>
  <c r="H17" i="14"/>
  <c r="E17" i="14"/>
  <c r="H16" i="14"/>
  <c r="E16" i="14"/>
  <c r="H15" i="14"/>
  <c r="E15" i="14"/>
  <c r="H14" i="14"/>
  <c r="E14" i="14"/>
  <c r="H13" i="14"/>
  <c r="E13" i="14"/>
  <c r="H12" i="14"/>
  <c r="E12" i="14"/>
  <c r="I11" i="14"/>
  <c r="G11" i="14"/>
  <c r="F11" i="14"/>
  <c r="F8" i="14" s="1"/>
  <c r="H8" i="14" s="1"/>
  <c r="E11" i="14"/>
  <c r="D11" i="14"/>
  <c r="C11" i="14"/>
  <c r="I10" i="14"/>
  <c r="H10" i="14"/>
  <c r="E10" i="14"/>
  <c r="H9" i="14"/>
  <c r="G9" i="14"/>
  <c r="I9" i="14" s="1"/>
  <c r="F9" i="14"/>
  <c r="D9" i="14"/>
  <c r="D8" i="14" s="1"/>
  <c r="C9" i="14"/>
  <c r="E9" i="14" s="1"/>
  <c r="G8" i="14"/>
  <c r="C8" i="14"/>
  <c r="H7" i="14"/>
  <c r="E7" i="14"/>
  <c r="F6" i="14"/>
  <c r="H6" i="14" s="1"/>
  <c r="C6" i="14"/>
  <c r="E6" i="14" s="1"/>
  <c r="H45" i="13"/>
  <c r="E45" i="13"/>
  <c r="H44" i="13"/>
  <c r="E44" i="13"/>
  <c r="I43" i="13"/>
  <c r="I42" i="13" s="1"/>
  <c r="G43" i="13"/>
  <c r="F43" i="13"/>
  <c r="H43" i="13" s="1"/>
  <c r="D43" i="13"/>
  <c r="C43" i="13"/>
  <c r="G42" i="13"/>
  <c r="D42" i="13"/>
  <c r="I41" i="13"/>
  <c r="H41" i="13"/>
  <c r="G41" i="13"/>
  <c r="F41" i="13"/>
  <c r="D41" i="13"/>
  <c r="C41" i="13"/>
  <c r="E41" i="13" s="1"/>
  <c r="H40" i="13"/>
  <c r="E40" i="13"/>
  <c r="I39" i="13"/>
  <c r="G39" i="13"/>
  <c r="F39" i="13"/>
  <c r="D39" i="13"/>
  <c r="C39" i="13"/>
  <c r="E39" i="13" s="1"/>
  <c r="I38" i="13"/>
  <c r="G38" i="13"/>
  <c r="F38" i="13"/>
  <c r="H38" i="13" s="1"/>
  <c r="D38" i="13"/>
  <c r="D36" i="13" s="1"/>
  <c r="C38" i="13"/>
  <c r="I37" i="13"/>
  <c r="G37" i="13"/>
  <c r="F37" i="13"/>
  <c r="H37" i="13" s="1"/>
  <c r="D37" i="13"/>
  <c r="C37" i="13"/>
  <c r="E37" i="13" s="1"/>
  <c r="H33" i="13"/>
  <c r="E33" i="13"/>
  <c r="I32" i="13"/>
  <c r="I31" i="13"/>
  <c r="I29" i="13"/>
  <c r="H29" i="13"/>
  <c r="E29" i="13"/>
  <c r="H28" i="13"/>
  <c r="G28" i="13"/>
  <c r="I28" i="13" s="1"/>
  <c r="F28" i="13"/>
  <c r="D28" i="13"/>
  <c r="D22" i="13" s="1"/>
  <c r="C28" i="13"/>
  <c r="E28" i="13" s="1"/>
  <c r="I27" i="13"/>
  <c r="H27" i="13"/>
  <c r="E27" i="13"/>
  <c r="H26" i="13"/>
  <c r="I26" i="13" s="1"/>
  <c r="E26" i="13"/>
  <c r="G25" i="13"/>
  <c r="F25" i="13"/>
  <c r="H25" i="13" s="1"/>
  <c r="I25" i="13" s="1"/>
  <c r="E25" i="13"/>
  <c r="D25" i="13"/>
  <c r="C25" i="13"/>
  <c r="H24" i="13"/>
  <c r="I24" i="13" s="1"/>
  <c r="E24" i="13"/>
  <c r="G23" i="13"/>
  <c r="F23" i="13"/>
  <c r="H23" i="13" s="1"/>
  <c r="D23" i="13"/>
  <c r="C23" i="13"/>
  <c r="E23" i="13" s="1"/>
  <c r="F22" i="13"/>
  <c r="H21" i="13"/>
  <c r="I21" i="13" s="1"/>
  <c r="E21" i="13"/>
  <c r="G20" i="13"/>
  <c r="F20" i="13"/>
  <c r="D20" i="13"/>
  <c r="C20" i="13"/>
  <c r="E20" i="13" s="1"/>
  <c r="H19" i="13"/>
  <c r="E19" i="13"/>
  <c r="H18" i="13"/>
  <c r="E18" i="13"/>
  <c r="H17" i="13"/>
  <c r="E17" i="13"/>
  <c r="H16" i="13"/>
  <c r="E16" i="13"/>
  <c r="H15" i="13"/>
  <c r="E15" i="13"/>
  <c r="H14" i="13"/>
  <c r="E14" i="13"/>
  <c r="H13" i="13"/>
  <c r="E13" i="13"/>
  <c r="H12" i="13"/>
  <c r="E12" i="13"/>
  <c r="I11" i="13"/>
  <c r="G11" i="13"/>
  <c r="F11" i="13"/>
  <c r="H11" i="13" s="1"/>
  <c r="D11" i="13"/>
  <c r="C11" i="13"/>
  <c r="E11" i="13" s="1"/>
  <c r="I10" i="13"/>
  <c r="H10" i="13"/>
  <c r="E10" i="13"/>
  <c r="H9" i="13"/>
  <c r="I9" i="13" s="1"/>
  <c r="G9" i="13"/>
  <c r="F9" i="13"/>
  <c r="F8" i="13" s="1"/>
  <c r="D9" i="13"/>
  <c r="E9" i="13" s="1"/>
  <c r="C9" i="13"/>
  <c r="G8" i="13"/>
  <c r="C8" i="13"/>
  <c r="H7" i="13"/>
  <c r="E7" i="13"/>
  <c r="H6" i="13"/>
  <c r="E6" i="13"/>
  <c r="H45" i="12"/>
  <c r="E45" i="12"/>
  <c r="I44" i="12"/>
  <c r="F44" i="12"/>
  <c r="C44" i="12"/>
  <c r="E44" i="12" s="1"/>
  <c r="I43" i="12"/>
  <c r="G43" i="12"/>
  <c r="G42" i="12" s="1"/>
  <c r="F43" i="12"/>
  <c r="D43" i="12"/>
  <c r="C43" i="12"/>
  <c r="D42" i="12"/>
  <c r="I41" i="12"/>
  <c r="G41" i="12"/>
  <c r="H41" i="12" s="1"/>
  <c r="F41" i="12"/>
  <c r="D41" i="12"/>
  <c r="C41" i="12"/>
  <c r="H40" i="12"/>
  <c r="E40" i="12"/>
  <c r="I39" i="12"/>
  <c r="G39" i="12"/>
  <c r="F39" i="12"/>
  <c r="H39" i="12" s="1"/>
  <c r="D39" i="12"/>
  <c r="C39" i="12"/>
  <c r="I38" i="12"/>
  <c r="G38" i="12"/>
  <c r="G36" i="12" s="1"/>
  <c r="F38" i="12"/>
  <c r="D38" i="12"/>
  <c r="C38" i="12"/>
  <c r="E38" i="12" s="1"/>
  <c r="I37" i="12"/>
  <c r="I36" i="12" s="1"/>
  <c r="G37" i="12"/>
  <c r="F37" i="12"/>
  <c r="D37" i="12"/>
  <c r="D36" i="12" s="1"/>
  <c r="D46" i="12" s="1"/>
  <c r="C37" i="12"/>
  <c r="E37" i="12" s="1"/>
  <c r="H33" i="12"/>
  <c r="E33" i="12"/>
  <c r="I32" i="12"/>
  <c r="I31" i="12" s="1"/>
  <c r="H29" i="12"/>
  <c r="I29" i="12" s="1"/>
  <c r="E29" i="12"/>
  <c r="G28" i="12"/>
  <c r="G22" i="12" s="1"/>
  <c r="F28" i="12"/>
  <c r="H28" i="12" s="1"/>
  <c r="D28" i="12"/>
  <c r="C28" i="12"/>
  <c r="C22" i="12" s="1"/>
  <c r="E22" i="12" s="1"/>
  <c r="H27" i="12"/>
  <c r="I27" i="12" s="1"/>
  <c r="E27" i="12"/>
  <c r="I26" i="12"/>
  <c r="H26" i="12"/>
  <c r="E26" i="12"/>
  <c r="H25" i="12"/>
  <c r="G25" i="12"/>
  <c r="I25" i="12" s="1"/>
  <c r="F25" i="12"/>
  <c r="D25" i="12"/>
  <c r="C25" i="12"/>
  <c r="E25" i="12" s="1"/>
  <c r="I24" i="12"/>
  <c r="H24" i="12"/>
  <c r="E24" i="12"/>
  <c r="G23" i="12"/>
  <c r="F23" i="12"/>
  <c r="H23" i="12" s="1"/>
  <c r="D23" i="12"/>
  <c r="E23" i="12" s="1"/>
  <c r="C23" i="12"/>
  <c r="D22" i="12"/>
  <c r="I21" i="12"/>
  <c r="H21" i="12"/>
  <c r="E21" i="12"/>
  <c r="G20" i="12"/>
  <c r="F20" i="12"/>
  <c r="H20" i="12" s="1"/>
  <c r="I20" i="12" s="1"/>
  <c r="D20" i="12"/>
  <c r="E20" i="12" s="1"/>
  <c r="C20" i="12"/>
  <c r="H19" i="12"/>
  <c r="E19" i="12"/>
  <c r="H18" i="12"/>
  <c r="E18" i="12"/>
  <c r="H17" i="12"/>
  <c r="E17" i="12"/>
  <c r="H16" i="12"/>
  <c r="E16" i="12"/>
  <c r="H15" i="12"/>
  <c r="E15" i="12"/>
  <c r="H14" i="12"/>
  <c r="E14" i="12"/>
  <c r="H13" i="12"/>
  <c r="E13" i="12"/>
  <c r="H12" i="12"/>
  <c r="E12" i="12"/>
  <c r="I11" i="12"/>
  <c r="G11" i="12"/>
  <c r="F11" i="12"/>
  <c r="H11" i="12" s="1"/>
  <c r="E11" i="12"/>
  <c r="D11" i="12"/>
  <c r="C11" i="12"/>
  <c r="H10" i="12"/>
  <c r="I10" i="12" s="1"/>
  <c r="E10" i="12"/>
  <c r="G9" i="12"/>
  <c r="F9" i="12"/>
  <c r="H9" i="12" s="1"/>
  <c r="D9" i="12"/>
  <c r="C9" i="12"/>
  <c r="E9" i="12" s="1"/>
  <c r="F8" i="12"/>
  <c r="D8" i="12"/>
  <c r="D30" i="12" s="1"/>
  <c r="H7" i="12"/>
  <c r="E7" i="12"/>
  <c r="H6" i="12"/>
  <c r="E6" i="12"/>
  <c r="J34" i="11"/>
  <c r="F34" i="11"/>
  <c r="F31" i="11" s="1"/>
  <c r="K31" i="11"/>
  <c r="J31" i="11"/>
  <c r="K29" i="11"/>
  <c r="K28" i="11" s="1"/>
  <c r="J29" i="11"/>
  <c r="J28" i="11" s="1"/>
  <c r="F29" i="11"/>
  <c r="J26" i="11"/>
  <c r="J23" i="11" s="1"/>
  <c r="F26" i="11"/>
  <c r="K25" i="11"/>
  <c r="J25" i="11"/>
  <c r="K24" i="11"/>
  <c r="K23" i="11" s="1"/>
  <c r="J24" i="11"/>
  <c r="F23" i="11"/>
  <c r="J21" i="11"/>
  <c r="F21" i="11"/>
  <c r="K20" i="11"/>
  <c r="J20" i="11"/>
  <c r="F20" i="11"/>
  <c r="K19" i="11"/>
  <c r="J19" i="11"/>
  <c r="J18" i="11" s="1"/>
  <c r="J17" i="11" s="1"/>
  <c r="K18" i="11"/>
  <c r="K17" i="11" s="1"/>
  <c r="F18" i="11"/>
  <c r="F17" i="11" s="1"/>
  <c r="K12" i="11"/>
  <c r="J12" i="11"/>
  <c r="F12" i="11"/>
  <c r="J11" i="11"/>
  <c r="F11" i="11"/>
  <c r="J9" i="11"/>
  <c r="F9" i="11"/>
  <c r="F6" i="11" s="1"/>
  <c r="F5" i="11" s="1"/>
  <c r="J8" i="11"/>
  <c r="J7" i="11"/>
  <c r="K6" i="11"/>
  <c r="J6" i="11"/>
  <c r="J5" i="11" s="1"/>
  <c r="J4" i="11" s="1"/>
  <c r="G6" i="11"/>
  <c r="C6" i="11"/>
  <c r="K5" i="11"/>
  <c r="K4" i="11" s="1"/>
  <c r="G5" i="11"/>
  <c r="C5" i="11"/>
  <c r="C4" i="11" s="1"/>
  <c r="G4" i="11"/>
  <c r="K48" i="10"/>
  <c r="I48" i="10"/>
  <c r="J48" i="10" s="1"/>
  <c r="H48" i="10"/>
  <c r="G48" i="10"/>
  <c r="E48" i="10"/>
  <c r="F48" i="10" s="1"/>
  <c r="D48" i="10"/>
  <c r="C48" i="10"/>
  <c r="K47" i="10"/>
  <c r="I47" i="10"/>
  <c r="H47" i="10"/>
  <c r="G47" i="10"/>
  <c r="E47" i="10"/>
  <c r="D47" i="10"/>
  <c r="D45" i="10" s="1"/>
  <c r="C47" i="10"/>
  <c r="K46" i="10"/>
  <c r="I46" i="10"/>
  <c r="H46" i="10"/>
  <c r="H45" i="10" s="1"/>
  <c r="G46" i="10"/>
  <c r="E46" i="10"/>
  <c r="D46" i="10"/>
  <c r="C46" i="10"/>
  <c r="F46" i="10" s="1"/>
  <c r="I44" i="10"/>
  <c r="H44" i="10"/>
  <c r="G44" i="10"/>
  <c r="E44" i="10"/>
  <c r="D44" i="10"/>
  <c r="C44" i="10"/>
  <c r="I43" i="10"/>
  <c r="H43" i="10"/>
  <c r="G43" i="10"/>
  <c r="J43" i="10" s="1"/>
  <c r="E43" i="10"/>
  <c r="D43" i="10"/>
  <c r="C43" i="10"/>
  <c r="F43" i="10" s="1"/>
  <c r="K42" i="10"/>
  <c r="I42" i="10"/>
  <c r="H42" i="10"/>
  <c r="G42" i="10"/>
  <c r="J42" i="10" s="1"/>
  <c r="E42" i="10"/>
  <c r="D42" i="10"/>
  <c r="C42" i="10"/>
  <c r="F42" i="10" s="1"/>
  <c r="K41" i="10"/>
  <c r="I41" i="10"/>
  <c r="H41" i="10"/>
  <c r="G41" i="10"/>
  <c r="J41" i="10" s="1"/>
  <c r="E41" i="10"/>
  <c r="D41" i="10"/>
  <c r="C41" i="10"/>
  <c r="K40" i="10"/>
  <c r="I40" i="10"/>
  <c r="H40" i="10"/>
  <c r="G40" i="10"/>
  <c r="E40" i="10"/>
  <c r="D40" i="10"/>
  <c r="C40" i="10"/>
  <c r="J36" i="10"/>
  <c r="F36" i="10"/>
  <c r="K35" i="10"/>
  <c r="K34" i="10"/>
  <c r="K38" i="10" s="1"/>
  <c r="K32" i="10"/>
  <c r="J32" i="10"/>
  <c r="F32" i="10"/>
  <c r="I31" i="10"/>
  <c r="H31" i="10"/>
  <c r="G31" i="10"/>
  <c r="G25" i="10" s="1"/>
  <c r="E31" i="10"/>
  <c r="D31" i="10"/>
  <c r="C31" i="10"/>
  <c r="C25" i="10" s="1"/>
  <c r="J30" i="10"/>
  <c r="K30" i="10" s="1"/>
  <c r="F30" i="10"/>
  <c r="K29" i="10"/>
  <c r="J29" i="10"/>
  <c r="F29" i="10"/>
  <c r="I28" i="10"/>
  <c r="H28" i="10"/>
  <c r="G28" i="10"/>
  <c r="J28" i="10" s="1"/>
  <c r="E28" i="10"/>
  <c r="D28" i="10"/>
  <c r="C28" i="10"/>
  <c r="F28" i="10" s="1"/>
  <c r="J27" i="10"/>
  <c r="F27" i="10"/>
  <c r="K26" i="10"/>
  <c r="I26" i="10"/>
  <c r="H26" i="10"/>
  <c r="H25" i="10" s="1"/>
  <c r="G26" i="10"/>
  <c r="J26" i="10" s="1"/>
  <c r="E26" i="10"/>
  <c r="D26" i="10"/>
  <c r="D25" i="10" s="1"/>
  <c r="C26" i="10"/>
  <c r="F26" i="10" s="1"/>
  <c r="K25" i="10"/>
  <c r="K33" i="10" s="1"/>
  <c r="I25" i="10"/>
  <c r="E25" i="10"/>
  <c r="J24" i="10"/>
  <c r="F24" i="10"/>
  <c r="K23" i="10"/>
  <c r="I23" i="10"/>
  <c r="H23" i="10"/>
  <c r="J23" i="10" s="1"/>
  <c r="G23" i="10"/>
  <c r="E23" i="10"/>
  <c r="D23" i="10"/>
  <c r="F23" i="10" s="1"/>
  <c r="C23" i="10"/>
  <c r="I22" i="10"/>
  <c r="H22" i="10"/>
  <c r="J22" i="10" s="1"/>
  <c r="E22" i="10"/>
  <c r="D22" i="10"/>
  <c r="C22" i="10"/>
  <c r="F22" i="10" s="1"/>
  <c r="I21" i="10"/>
  <c r="H21" i="10"/>
  <c r="G21" i="10"/>
  <c r="E21" i="10"/>
  <c r="D21" i="10"/>
  <c r="C21" i="10"/>
  <c r="I20" i="10"/>
  <c r="H20" i="10"/>
  <c r="G20" i="10"/>
  <c r="J20" i="10" s="1"/>
  <c r="E20" i="10"/>
  <c r="D20" i="10"/>
  <c r="C20" i="10"/>
  <c r="F20" i="10" s="1"/>
  <c r="J19" i="10"/>
  <c r="F19" i="10"/>
  <c r="I18" i="10"/>
  <c r="H18" i="10"/>
  <c r="G18" i="10"/>
  <c r="E18" i="10"/>
  <c r="D18" i="10"/>
  <c r="C18" i="10"/>
  <c r="I17" i="10"/>
  <c r="J17" i="10" s="1"/>
  <c r="H17" i="10"/>
  <c r="G17" i="10"/>
  <c r="E17" i="10"/>
  <c r="D17" i="10"/>
  <c r="C17" i="10"/>
  <c r="J16" i="10"/>
  <c r="F16" i="10"/>
  <c r="I15" i="10"/>
  <c r="H15" i="10"/>
  <c r="G15" i="10"/>
  <c r="E15" i="10"/>
  <c r="D15" i="10"/>
  <c r="C15" i="10"/>
  <c r="K14" i="10"/>
  <c r="D14" i="10"/>
  <c r="J13" i="10"/>
  <c r="F13" i="10"/>
  <c r="J12" i="10"/>
  <c r="F12" i="10"/>
  <c r="K11" i="10"/>
  <c r="I11" i="10"/>
  <c r="J11" i="10" s="1"/>
  <c r="H11" i="10"/>
  <c r="G11" i="10"/>
  <c r="E11" i="10"/>
  <c r="F11" i="10" s="1"/>
  <c r="D11" i="10"/>
  <c r="C11" i="10"/>
  <c r="J10" i="10"/>
  <c r="F10" i="10"/>
  <c r="K9" i="10"/>
  <c r="I9" i="10"/>
  <c r="H9" i="10"/>
  <c r="J9" i="10" s="1"/>
  <c r="G9" i="10"/>
  <c r="E9" i="10"/>
  <c r="D9" i="10"/>
  <c r="F9" i="10" s="1"/>
  <c r="C9" i="10"/>
  <c r="K8" i="10"/>
  <c r="J7" i="10"/>
  <c r="F7" i="10"/>
  <c r="J6" i="10"/>
  <c r="F6" i="10"/>
  <c r="G5" i="10"/>
  <c r="J5" i="10" s="1"/>
  <c r="C5" i="10"/>
  <c r="F5" i="10" s="1"/>
  <c r="F32" i="9"/>
  <c r="F31" i="9" s="1"/>
  <c r="F20" i="9" s="1"/>
  <c r="D32" i="9"/>
  <c r="D31" i="9" s="1"/>
  <c r="D20" i="9" s="1"/>
  <c r="F28" i="9"/>
  <c r="D28" i="9"/>
  <c r="F21" i="9"/>
  <c r="D21" i="9"/>
  <c r="F18" i="9"/>
  <c r="D18" i="9"/>
  <c r="F17" i="9"/>
  <c r="F33" i="9" s="1"/>
  <c r="F3" i="9" s="1"/>
  <c r="D17" i="9"/>
  <c r="D33" i="9" s="1"/>
  <c r="D3" i="9" s="1"/>
  <c r="E14" i="9"/>
  <c r="C14" i="9"/>
  <c r="E13" i="9"/>
  <c r="E12" i="9" s="1"/>
  <c r="C13" i="9"/>
  <c r="C12" i="9" s="1"/>
  <c r="E7" i="9"/>
  <c r="C7" i="9"/>
  <c r="E6" i="9"/>
  <c r="E5" i="9" s="1"/>
  <c r="E11" i="9" s="1"/>
  <c r="E3" i="9" s="1"/>
  <c r="C6" i="9"/>
  <c r="C5" i="9" s="1"/>
  <c r="C11" i="9" s="1"/>
  <c r="C3" i="9" s="1"/>
  <c r="D26" i="8"/>
  <c r="D34" i="8" s="1"/>
  <c r="C26" i="8"/>
  <c r="B26" i="8"/>
  <c r="C12" i="8"/>
  <c r="C7" i="8"/>
  <c r="C6" i="8"/>
  <c r="C4" i="8" s="1"/>
  <c r="C34" i="8" s="1"/>
  <c r="D4" i="8"/>
  <c r="B4" i="8"/>
  <c r="B34" i="8" s="1"/>
  <c r="C3" i="8"/>
  <c r="B3" i="8"/>
  <c r="J236" i="7"/>
  <c r="E236" i="7"/>
  <c r="I233" i="7"/>
  <c r="E232" i="7"/>
  <c r="J230" i="7"/>
  <c r="I225" i="7"/>
  <c r="E225" i="7"/>
  <c r="J224" i="7"/>
  <c r="J223" i="7" s="1"/>
  <c r="J237" i="7" s="1"/>
  <c r="I224" i="7"/>
  <c r="I223" i="7" s="1"/>
  <c r="I237" i="7" s="1"/>
  <c r="E224" i="7"/>
  <c r="E223" i="7"/>
  <c r="E237" i="7" s="1"/>
  <c r="I221" i="7"/>
  <c r="I219" i="7" s="1"/>
  <c r="I220" i="7"/>
  <c r="J219" i="7"/>
  <c r="J217" i="7"/>
  <c r="I217" i="7"/>
  <c r="E217" i="7"/>
  <c r="J215" i="7"/>
  <c r="I215" i="7"/>
  <c r="E215" i="7"/>
  <c r="J211" i="7"/>
  <c r="I211" i="7"/>
  <c r="E211" i="7"/>
  <c r="J207" i="7"/>
  <c r="I207" i="7"/>
  <c r="E207" i="7"/>
  <c r="J205" i="7"/>
  <c r="I205" i="7"/>
  <c r="E205" i="7"/>
  <c r="J201" i="7"/>
  <c r="I201" i="7"/>
  <c r="E201" i="7"/>
  <c r="J197" i="7"/>
  <c r="I197" i="7"/>
  <c r="E197" i="7"/>
  <c r="J193" i="7"/>
  <c r="I193" i="7"/>
  <c r="E193" i="7"/>
  <c r="J191" i="7"/>
  <c r="I191" i="7"/>
  <c r="E191" i="7"/>
  <c r="I189" i="7"/>
  <c r="E189" i="7"/>
  <c r="J187" i="7"/>
  <c r="I187" i="7"/>
  <c r="E187" i="7"/>
  <c r="J183" i="7"/>
  <c r="I183" i="7"/>
  <c r="E183" i="7"/>
  <c r="I182" i="7"/>
  <c r="E182" i="7"/>
  <c r="E181" i="7" s="1"/>
  <c r="J181" i="7"/>
  <c r="I181" i="7"/>
  <c r="I178" i="7"/>
  <c r="J177" i="7"/>
  <c r="I177" i="7"/>
  <c r="E177" i="7"/>
  <c r="J170" i="7"/>
  <c r="I170" i="7"/>
  <c r="E170" i="7"/>
  <c r="I168" i="7"/>
  <c r="J167" i="7"/>
  <c r="I167" i="7"/>
  <c r="E167" i="7"/>
  <c r="E163" i="7" s="1"/>
  <c r="J166" i="7"/>
  <c r="I166" i="7"/>
  <c r="I163" i="7"/>
  <c r="J162" i="7"/>
  <c r="J155" i="7" s="1"/>
  <c r="I158" i="7"/>
  <c r="E158" i="7"/>
  <c r="I157" i="7"/>
  <c r="I230" i="7" s="1"/>
  <c r="E157" i="7"/>
  <c r="E230" i="7" s="1"/>
  <c r="I156" i="7"/>
  <c r="E156" i="7"/>
  <c r="E229" i="7" s="1"/>
  <c r="I155" i="7"/>
  <c r="I154" i="7"/>
  <c r="I152" i="7" s="1"/>
  <c r="J152" i="7"/>
  <c r="E152" i="7"/>
  <c r="I151" i="7"/>
  <c r="I150" i="7" s="1"/>
  <c r="J150" i="7"/>
  <c r="E150" i="7"/>
  <c r="J148" i="7"/>
  <c r="I148" i="7"/>
  <c r="E148" i="7"/>
  <c r="I147" i="7"/>
  <c r="J146" i="7"/>
  <c r="I146" i="7"/>
  <c r="I144" i="7"/>
  <c r="J143" i="7"/>
  <c r="I143" i="7"/>
  <c r="E143" i="7"/>
  <c r="J141" i="7"/>
  <c r="I141" i="7"/>
  <c r="E141" i="7"/>
  <c r="I139" i="7"/>
  <c r="I138" i="7" s="1"/>
  <c r="J138" i="7"/>
  <c r="E138" i="7"/>
  <c r="I136" i="7"/>
  <c r="I135" i="7" s="1"/>
  <c r="J135" i="7"/>
  <c r="E135" i="7"/>
  <c r="J132" i="7"/>
  <c r="I132" i="7"/>
  <c r="E132" i="7"/>
  <c r="J130" i="7"/>
  <c r="I130" i="7"/>
  <c r="E130" i="7"/>
  <c r="J128" i="7"/>
  <c r="I128" i="7"/>
  <c r="E128" i="7"/>
  <c r="J126" i="7"/>
  <c r="I126" i="7"/>
  <c r="E126" i="7"/>
  <c r="J124" i="7"/>
  <c r="I124" i="7"/>
  <c r="E124" i="7"/>
  <c r="J122" i="7"/>
  <c r="I122" i="7"/>
  <c r="E122" i="7"/>
  <c r="I121" i="7"/>
  <c r="E121" i="7"/>
  <c r="E119" i="7" s="1"/>
  <c r="E118" i="7" s="1"/>
  <c r="I119" i="7"/>
  <c r="J118" i="7"/>
  <c r="I118" i="7"/>
  <c r="I117" i="7"/>
  <c r="I115" i="7" s="1"/>
  <c r="E117" i="7"/>
  <c r="J115" i="7"/>
  <c r="E115" i="7"/>
  <c r="J113" i="7"/>
  <c r="I113" i="7"/>
  <c r="E113" i="7"/>
  <c r="I111" i="7"/>
  <c r="J108" i="7"/>
  <c r="I108" i="7"/>
  <c r="E108" i="7"/>
  <c r="I107" i="7"/>
  <c r="I104" i="7" s="1"/>
  <c r="E107" i="7"/>
  <c r="J104" i="7"/>
  <c r="E104" i="7"/>
  <c r="J102" i="7"/>
  <c r="I102" i="7"/>
  <c r="E102" i="7"/>
  <c r="I101" i="7"/>
  <c r="I100" i="7" s="1"/>
  <c r="E101" i="7"/>
  <c r="J100" i="7"/>
  <c r="E100" i="7"/>
  <c r="I99" i="7"/>
  <c r="E99" i="7"/>
  <c r="E98" i="7" s="1"/>
  <c r="J98" i="7"/>
  <c r="I98" i="7"/>
  <c r="J96" i="7"/>
  <c r="I96" i="7"/>
  <c r="E96" i="7"/>
  <c r="J94" i="7"/>
  <c r="I94" i="7"/>
  <c r="E94" i="7"/>
  <c r="I93" i="7"/>
  <c r="I92" i="7" s="1"/>
  <c r="E93" i="7"/>
  <c r="J92" i="7"/>
  <c r="E92" i="7"/>
  <c r="J90" i="7"/>
  <c r="I90" i="7"/>
  <c r="E90" i="7"/>
  <c r="J88" i="7"/>
  <c r="I88" i="7"/>
  <c r="E88" i="7"/>
  <c r="J84" i="7"/>
  <c r="I84" i="7"/>
  <c r="E84" i="7"/>
  <c r="I83" i="7"/>
  <c r="I80" i="7" s="1"/>
  <c r="E83" i="7"/>
  <c r="J80" i="7"/>
  <c r="E80" i="7"/>
  <c r="J77" i="7"/>
  <c r="I77" i="7"/>
  <c r="E77" i="7"/>
  <c r="I75" i="7"/>
  <c r="I74" i="7" s="1"/>
  <c r="E75" i="7"/>
  <c r="J74" i="7"/>
  <c r="E74" i="7"/>
  <c r="J72" i="7"/>
  <c r="J69" i="7" s="1"/>
  <c r="I72" i="7"/>
  <c r="E72" i="7"/>
  <c r="I70" i="7"/>
  <c r="E70" i="7"/>
  <c r="I69" i="7"/>
  <c r="J65" i="7"/>
  <c r="I65" i="7"/>
  <c r="E65" i="7"/>
  <c r="J64" i="7"/>
  <c r="J63" i="7"/>
  <c r="J232" i="7" s="1"/>
  <c r="I63" i="7"/>
  <c r="I232" i="7" s="1"/>
  <c r="E61" i="7"/>
  <c r="J57" i="7"/>
  <c r="I57" i="7"/>
  <c r="E57" i="7"/>
  <c r="J56" i="7"/>
  <c r="J235" i="7" s="1"/>
  <c r="I56" i="7"/>
  <c r="E56" i="7"/>
  <c r="E235" i="7" s="1"/>
  <c r="J55" i="7"/>
  <c r="I55" i="7"/>
  <c r="E55" i="7"/>
  <c r="I54" i="7"/>
  <c r="I51" i="7" s="1"/>
  <c r="E54" i="7"/>
  <c r="I50" i="7"/>
  <c r="I235" i="7" s="1"/>
  <c r="J49" i="7"/>
  <c r="I49" i="7"/>
  <c r="I48" i="7"/>
  <c r="E48" i="7"/>
  <c r="E43" i="7" s="1"/>
  <c r="J47" i="7"/>
  <c r="J43" i="7" s="1"/>
  <c r="I47" i="7"/>
  <c r="E47" i="7"/>
  <c r="J46" i="7"/>
  <c r="J231" i="7" s="1"/>
  <c r="I46" i="7"/>
  <c r="E46" i="7"/>
  <c r="J45" i="7"/>
  <c r="J44" i="7"/>
  <c r="J229" i="7" s="1"/>
  <c r="I44" i="7"/>
  <c r="I43" i="7" s="1"/>
  <c r="E44" i="7"/>
  <c r="I42" i="7"/>
  <c r="E42" i="7"/>
  <c r="I40" i="7"/>
  <c r="E40" i="7"/>
  <c r="J37" i="7"/>
  <c r="I37" i="7"/>
  <c r="J34" i="7"/>
  <c r="I34" i="7"/>
  <c r="E34" i="7"/>
  <c r="I32" i="7"/>
  <c r="I31" i="7"/>
  <c r="I30" i="7" s="1"/>
  <c r="E31" i="7"/>
  <c r="J30" i="7"/>
  <c r="E30" i="7"/>
  <c r="J28" i="7"/>
  <c r="I28" i="7"/>
  <c r="E28" i="7"/>
  <c r="J26" i="7"/>
  <c r="I26" i="7"/>
  <c r="E26" i="7"/>
  <c r="I24" i="7"/>
  <c r="E24" i="7"/>
  <c r="I22" i="7"/>
  <c r="E22" i="7"/>
  <c r="E21" i="7" s="1"/>
  <c r="J21" i="7"/>
  <c r="I21" i="7"/>
  <c r="I19" i="7"/>
  <c r="I16" i="7" s="1"/>
  <c r="E19" i="7"/>
  <c r="J16" i="7"/>
  <c r="E16" i="7"/>
  <c r="I14" i="7"/>
  <c r="E14" i="7"/>
  <c r="E231" i="7" s="1"/>
  <c r="J13" i="7"/>
  <c r="I13" i="7"/>
  <c r="I12" i="7"/>
  <c r="I7" i="7" s="1"/>
  <c r="I11" i="7"/>
  <c r="E11" i="7"/>
  <c r="I10" i="7"/>
  <c r="I231" i="7" s="1"/>
  <c r="J7" i="7"/>
  <c r="J46" i="6"/>
  <c r="F46" i="6"/>
  <c r="J43" i="6"/>
  <c r="K43" i="6" s="1"/>
  <c r="F43" i="6"/>
  <c r="J42" i="6"/>
  <c r="K42" i="6" s="1"/>
  <c r="F42" i="6"/>
  <c r="I41" i="6"/>
  <c r="H41" i="6"/>
  <c r="K41" i="6" s="1"/>
  <c r="G41" i="6"/>
  <c r="J41" i="6" s="1"/>
  <c r="E41" i="6"/>
  <c r="D41" i="6"/>
  <c r="D31" i="6" s="1"/>
  <c r="C41" i="6"/>
  <c r="F41" i="6" s="1"/>
  <c r="J40" i="6"/>
  <c r="K40" i="6" s="1"/>
  <c r="F40" i="6"/>
  <c r="I39" i="6"/>
  <c r="E39" i="6"/>
  <c r="F39" i="6" s="1"/>
  <c r="K38" i="6"/>
  <c r="I38" i="6"/>
  <c r="E38" i="6"/>
  <c r="F38" i="6" s="1"/>
  <c r="K37" i="6"/>
  <c r="I37" i="6"/>
  <c r="J37" i="6" s="1"/>
  <c r="E37" i="6"/>
  <c r="J36" i="6"/>
  <c r="F36" i="6"/>
  <c r="J35" i="6"/>
  <c r="K35" i="6" s="1"/>
  <c r="F35" i="6"/>
  <c r="K34" i="6"/>
  <c r="G34" i="6"/>
  <c r="J34" i="6" s="1"/>
  <c r="F34" i="6"/>
  <c r="C34" i="6"/>
  <c r="K33" i="6"/>
  <c r="G33" i="6"/>
  <c r="J33" i="6" s="1"/>
  <c r="C33" i="6"/>
  <c r="F33" i="6" s="1"/>
  <c r="H32" i="6"/>
  <c r="D32" i="6"/>
  <c r="G29" i="6"/>
  <c r="J29" i="6" s="1"/>
  <c r="F29" i="6"/>
  <c r="C29" i="6"/>
  <c r="J28" i="6"/>
  <c r="F28" i="6"/>
  <c r="J27" i="6"/>
  <c r="F27" i="6"/>
  <c r="J26" i="6"/>
  <c r="F26" i="6"/>
  <c r="J25" i="6"/>
  <c r="F25" i="6"/>
  <c r="K24" i="6"/>
  <c r="I24" i="6"/>
  <c r="I21" i="6" s="1"/>
  <c r="H24" i="6"/>
  <c r="E24" i="6"/>
  <c r="D24" i="6"/>
  <c r="C24" i="6"/>
  <c r="K23" i="6"/>
  <c r="H23" i="6"/>
  <c r="G23" i="6"/>
  <c r="J23" i="6" s="1"/>
  <c r="D23" i="6"/>
  <c r="F23" i="6" s="1"/>
  <c r="C23" i="6"/>
  <c r="K22" i="6"/>
  <c r="H22" i="6"/>
  <c r="G22" i="6"/>
  <c r="D22" i="6"/>
  <c r="C22" i="6"/>
  <c r="H21" i="6"/>
  <c r="D21" i="6"/>
  <c r="I20" i="6"/>
  <c r="H20" i="6"/>
  <c r="H17" i="6" s="1"/>
  <c r="G20" i="6"/>
  <c r="J20" i="6" s="1"/>
  <c r="E20" i="6"/>
  <c r="E17" i="6" s="1"/>
  <c r="E12" i="6" s="1"/>
  <c r="E7" i="6" s="1"/>
  <c r="D20" i="6"/>
  <c r="D17" i="6" s="1"/>
  <c r="C20" i="6"/>
  <c r="I19" i="6"/>
  <c r="I17" i="6" s="1"/>
  <c r="I12" i="6" s="1"/>
  <c r="I7" i="6" s="1"/>
  <c r="G19" i="6"/>
  <c r="J19" i="6" s="1"/>
  <c r="E19" i="6"/>
  <c r="C19" i="6"/>
  <c r="F19" i="6" s="1"/>
  <c r="G18" i="6"/>
  <c r="C18" i="6"/>
  <c r="F18" i="6" s="1"/>
  <c r="K17" i="6"/>
  <c r="C17" i="6"/>
  <c r="H16" i="6"/>
  <c r="J16" i="6" s="1"/>
  <c r="D16" i="6"/>
  <c r="F16" i="6" s="1"/>
  <c r="H15" i="6"/>
  <c r="G15" i="6"/>
  <c r="J15" i="6" s="1"/>
  <c r="D15" i="6"/>
  <c r="C15" i="6"/>
  <c r="F15" i="6" s="1"/>
  <c r="J14" i="6"/>
  <c r="F14" i="6"/>
  <c r="G13" i="6"/>
  <c r="J13" i="6" s="1"/>
  <c r="C13" i="6"/>
  <c r="K12" i="6"/>
  <c r="K11" i="6"/>
  <c r="H11" i="6"/>
  <c r="G11" i="6"/>
  <c r="D11" i="6"/>
  <c r="C11" i="6"/>
  <c r="K10" i="6"/>
  <c r="H10" i="6"/>
  <c r="G10" i="6"/>
  <c r="J10" i="6" s="1"/>
  <c r="D10" i="6"/>
  <c r="C10" i="6"/>
  <c r="F10" i="6" s="1"/>
  <c r="K9" i="6"/>
  <c r="H9" i="6"/>
  <c r="G9" i="6"/>
  <c r="D9" i="6"/>
  <c r="C9" i="6"/>
  <c r="F9" i="6" s="1"/>
  <c r="K8" i="6"/>
  <c r="H8" i="6"/>
  <c r="G8" i="6"/>
  <c r="J8" i="6" s="1"/>
  <c r="D8" i="6"/>
  <c r="C8" i="6"/>
  <c r="J6" i="6"/>
  <c r="F6" i="6"/>
  <c r="J5" i="6"/>
  <c r="F5" i="6"/>
  <c r="K108" i="5"/>
  <c r="J108" i="5"/>
  <c r="F108" i="5"/>
  <c r="J107" i="5"/>
  <c r="K107" i="5" s="1"/>
  <c r="F107" i="5"/>
  <c r="I106" i="5"/>
  <c r="J106" i="5" s="1"/>
  <c r="H106" i="5"/>
  <c r="K106" i="5" s="1"/>
  <c r="G106" i="5"/>
  <c r="E106" i="5"/>
  <c r="F106" i="5" s="1"/>
  <c r="D106" i="5"/>
  <c r="C106" i="5"/>
  <c r="G104" i="5"/>
  <c r="J104" i="5" s="1"/>
  <c r="F104" i="5"/>
  <c r="G103" i="5"/>
  <c r="J103" i="5" s="1"/>
  <c r="F103" i="5"/>
  <c r="C103" i="5"/>
  <c r="J102" i="5"/>
  <c r="F102" i="5"/>
  <c r="K101" i="5"/>
  <c r="I101" i="5"/>
  <c r="H101" i="5"/>
  <c r="G101" i="5"/>
  <c r="J101" i="5" s="1"/>
  <c r="E101" i="5"/>
  <c r="D101" i="5"/>
  <c r="C101" i="5"/>
  <c r="F101" i="5" s="1"/>
  <c r="J100" i="5"/>
  <c r="F100" i="5"/>
  <c r="J99" i="5"/>
  <c r="F99" i="5"/>
  <c r="J98" i="5"/>
  <c r="F98" i="5"/>
  <c r="J97" i="5"/>
  <c r="F97" i="5"/>
  <c r="J96" i="5"/>
  <c r="F96" i="5"/>
  <c r="K95" i="5"/>
  <c r="J95" i="5"/>
  <c r="I95" i="5"/>
  <c r="H95" i="5"/>
  <c r="H94" i="5" s="1"/>
  <c r="H93" i="5" s="1"/>
  <c r="G95" i="5"/>
  <c r="F95" i="5"/>
  <c r="E95" i="5"/>
  <c r="D95" i="5"/>
  <c r="D94" i="5" s="1"/>
  <c r="D93" i="5" s="1"/>
  <c r="C95" i="5"/>
  <c r="K94" i="5"/>
  <c r="K93" i="5" s="1"/>
  <c r="I94" i="5"/>
  <c r="I93" i="5" s="1"/>
  <c r="G94" i="5"/>
  <c r="J94" i="5" s="1"/>
  <c r="E94" i="5"/>
  <c r="E93" i="5" s="1"/>
  <c r="C94" i="5"/>
  <c r="J89" i="5"/>
  <c r="F89" i="5"/>
  <c r="J88" i="5"/>
  <c r="F88" i="5"/>
  <c r="J87" i="5"/>
  <c r="F87" i="5"/>
  <c r="J86" i="5"/>
  <c r="F86" i="5"/>
  <c r="J85" i="5"/>
  <c r="F85" i="5"/>
  <c r="J84" i="5"/>
  <c r="F84" i="5"/>
  <c r="I83" i="5"/>
  <c r="I76" i="5" s="1"/>
  <c r="G83" i="5"/>
  <c r="J83" i="5" s="1"/>
  <c r="E83" i="5"/>
  <c r="D83" i="5"/>
  <c r="F83" i="5" s="1"/>
  <c r="C83" i="5"/>
  <c r="J82" i="5"/>
  <c r="F82" i="5"/>
  <c r="J81" i="5"/>
  <c r="F81" i="5"/>
  <c r="J80" i="5"/>
  <c r="F80" i="5"/>
  <c r="J79" i="5"/>
  <c r="I79" i="5"/>
  <c r="H79" i="5"/>
  <c r="H76" i="5" s="1"/>
  <c r="G79" i="5"/>
  <c r="F79" i="5"/>
  <c r="E79" i="5"/>
  <c r="D79" i="5"/>
  <c r="D76" i="5" s="1"/>
  <c r="C79" i="5"/>
  <c r="J78" i="5"/>
  <c r="F78" i="5"/>
  <c r="J77" i="5"/>
  <c r="F77" i="5"/>
  <c r="K76" i="5"/>
  <c r="K63" i="5" s="1"/>
  <c r="G76" i="5"/>
  <c r="E76" i="5"/>
  <c r="C76" i="5"/>
  <c r="F76" i="5" s="1"/>
  <c r="J75" i="5"/>
  <c r="F75" i="5"/>
  <c r="J74" i="5"/>
  <c r="F74" i="5"/>
  <c r="J73" i="5"/>
  <c r="F73" i="5"/>
  <c r="J72" i="5"/>
  <c r="F72" i="5"/>
  <c r="J71" i="5"/>
  <c r="F71" i="5"/>
  <c r="I70" i="5"/>
  <c r="I68" i="5" s="1"/>
  <c r="I63" i="5" s="1"/>
  <c r="H70" i="5"/>
  <c r="G70" i="5"/>
  <c r="G68" i="5" s="1"/>
  <c r="E70" i="5"/>
  <c r="E68" i="5" s="1"/>
  <c r="E63" i="5" s="1"/>
  <c r="D70" i="5"/>
  <c r="C70" i="5"/>
  <c r="C68" i="5" s="1"/>
  <c r="J69" i="5"/>
  <c r="F69" i="5"/>
  <c r="K68" i="5"/>
  <c r="H68" i="5"/>
  <c r="D68" i="5"/>
  <c r="J67" i="5"/>
  <c r="G67" i="5"/>
  <c r="F67" i="5"/>
  <c r="J66" i="5"/>
  <c r="F66" i="5"/>
  <c r="J65" i="5"/>
  <c r="F65" i="5"/>
  <c r="K64" i="5"/>
  <c r="I64" i="5"/>
  <c r="H64" i="5"/>
  <c r="H63" i="5" s="1"/>
  <c r="G64" i="5"/>
  <c r="E64" i="5"/>
  <c r="D64" i="5"/>
  <c r="C64" i="5"/>
  <c r="J61" i="5"/>
  <c r="K61" i="5" s="1"/>
  <c r="F61" i="5"/>
  <c r="K60" i="5"/>
  <c r="J60" i="5"/>
  <c r="F60" i="5"/>
  <c r="F58" i="5" s="1"/>
  <c r="J59" i="5"/>
  <c r="K59" i="5" s="1"/>
  <c r="F59" i="5"/>
  <c r="J58" i="5"/>
  <c r="H58" i="5"/>
  <c r="D58" i="5"/>
  <c r="J57" i="5"/>
  <c r="F57" i="5"/>
  <c r="K56" i="5"/>
  <c r="I56" i="5"/>
  <c r="H56" i="5"/>
  <c r="G56" i="5"/>
  <c r="J56" i="5" s="1"/>
  <c r="E56" i="5"/>
  <c r="D56" i="5"/>
  <c r="C56" i="5"/>
  <c r="F56" i="5" s="1"/>
  <c r="J55" i="5"/>
  <c r="F55" i="5"/>
  <c r="J54" i="5"/>
  <c r="F54" i="5"/>
  <c r="J53" i="5"/>
  <c r="F53" i="5"/>
  <c r="I52" i="5"/>
  <c r="H52" i="5"/>
  <c r="G52" i="5"/>
  <c r="J52" i="5" s="1"/>
  <c r="E52" i="5"/>
  <c r="D52" i="5"/>
  <c r="C52" i="5"/>
  <c r="F52" i="5" s="1"/>
  <c r="J51" i="5"/>
  <c r="F51" i="5"/>
  <c r="J50" i="5"/>
  <c r="F50" i="5"/>
  <c r="J49" i="5"/>
  <c r="F49" i="5"/>
  <c r="J48" i="5"/>
  <c r="F48" i="5"/>
  <c r="K47" i="5"/>
  <c r="I47" i="5"/>
  <c r="H47" i="5"/>
  <c r="J47" i="5" s="1"/>
  <c r="G47" i="5"/>
  <c r="E47" i="5"/>
  <c r="D47" i="5"/>
  <c r="F47" i="5" s="1"/>
  <c r="C47" i="5"/>
  <c r="G46" i="5"/>
  <c r="J46" i="5" s="1"/>
  <c r="F46" i="5"/>
  <c r="C46" i="5"/>
  <c r="J45" i="5"/>
  <c r="F45" i="5"/>
  <c r="K44" i="5"/>
  <c r="I44" i="5"/>
  <c r="H44" i="5"/>
  <c r="G44" i="5"/>
  <c r="J44" i="5" s="1"/>
  <c r="E44" i="5"/>
  <c r="D44" i="5"/>
  <c r="C44" i="5"/>
  <c r="F44" i="5" s="1"/>
  <c r="J43" i="5"/>
  <c r="K43" i="5" s="1"/>
  <c r="K42" i="5" s="1"/>
  <c r="F43" i="5"/>
  <c r="I42" i="5"/>
  <c r="G42" i="5"/>
  <c r="E42" i="5"/>
  <c r="C42" i="5"/>
  <c r="J41" i="5"/>
  <c r="F41" i="5"/>
  <c r="J40" i="5"/>
  <c r="F40" i="5"/>
  <c r="J39" i="5"/>
  <c r="F39" i="5"/>
  <c r="J38" i="5"/>
  <c r="F38" i="5"/>
  <c r="K37" i="5"/>
  <c r="I37" i="5"/>
  <c r="H37" i="5"/>
  <c r="J37" i="5" s="1"/>
  <c r="G37" i="5"/>
  <c r="E37" i="5"/>
  <c r="D37" i="5"/>
  <c r="F37" i="5" s="1"/>
  <c r="C37" i="5"/>
  <c r="J36" i="5"/>
  <c r="F36" i="5"/>
  <c r="J35" i="5"/>
  <c r="G35" i="5"/>
  <c r="F35" i="5"/>
  <c r="J34" i="5"/>
  <c r="F34" i="5"/>
  <c r="K33" i="5"/>
  <c r="I33" i="5"/>
  <c r="H33" i="5"/>
  <c r="J33" i="5" s="1"/>
  <c r="G33" i="5"/>
  <c r="E33" i="5"/>
  <c r="D33" i="5"/>
  <c r="F33" i="5" s="1"/>
  <c r="C33" i="5"/>
  <c r="J32" i="5"/>
  <c r="G32" i="5"/>
  <c r="F32" i="5"/>
  <c r="C32" i="5"/>
  <c r="J31" i="5"/>
  <c r="G31" i="5"/>
  <c r="F31" i="5"/>
  <c r="C31" i="5"/>
  <c r="K30" i="5"/>
  <c r="I30" i="5"/>
  <c r="I25" i="5" s="1"/>
  <c r="H30" i="5"/>
  <c r="G30" i="5"/>
  <c r="J30" i="5" s="1"/>
  <c r="E30" i="5"/>
  <c r="E25" i="5" s="1"/>
  <c r="D30" i="5"/>
  <c r="C30" i="5"/>
  <c r="F30" i="5" s="1"/>
  <c r="G29" i="5"/>
  <c r="J29" i="5" s="1"/>
  <c r="C29" i="5"/>
  <c r="F29" i="5" s="1"/>
  <c r="G28" i="5"/>
  <c r="J28" i="5" s="1"/>
  <c r="C28" i="5"/>
  <c r="F28" i="5" s="1"/>
  <c r="K27" i="5"/>
  <c r="I27" i="5"/>
  <c r="H27" i="5"/>
  <c r="F27" i="5"/>
  <c r="E27" i="5"/>
  <c r="D27" i="5"/>
  <c r="C27" i="5"/>
  <c r="K25" i="5"/>
  <c r="C25" i="5"/>
  <c r="J24" i="5"/>
  <c r="F24" i="5"/>
  <c r="J23" i="5"/>
  <c r="F23" i="5"/>
  <c r="J22" i="5"/>
  <c r="F22" i="5"/>
  <c r="J21" i="5"/>
  <c r="F21" i="5"/>
  <c r="I20" i="5"/>
  <c r="J20" i="5" s="1"/>
  <c r="E20" i="5"/>
  <c r="E18" i="5" s="1"/>
  <c r="J19" i="5"/>
  <c r="F19" i="5"/>
  <c r="K18" i="5"/>
  <c r="H18" i="5"/>
  <c r="G18" i="5"/>
  <c r="D18" i="5"/>
  <c r="C18" i="5"/>
  <c r="J17" i="5"/>
  <c r="F17" i="5"/>
  <c r="J16" i="5"/>
  <c r="G16" i="5"/>
  <c r="F16" i="5"/>
  <c r="J14" i="5"/>
  <c r="F14" i="5"/>
  <c r="J13" i="5"/>
  <c r="F13" i="5"/>
  <c r="J12" i="5"/>
  <c r="F12" i="5"/>
  <c r="G11" i="5"/>
  <c r="J11" i="5" s="1"/>
  <c r="C11" i="5"/>
  <c r="F11" i="5" s="1"/>
  <c r="K10" i="5"/>
  <c r="J10" i="5"/>
  <c r="G10" i="5"/>
  <c r="F10" i="5"/>
  <c r="C10" i="5"/>
  <c r="J9" i="5"/>
  <c r="G9" i="5"/>
  <c r="F9" i="5"/>
  <c r="C9" i="5"/>
  <c r="J8" i="5"/>
  <c r="G8" i="5"/>
  <c r="F8" i="5"/>
  <c r="K7" i="5"/>
  <c r="I7" i="5"/>
  <c r="H7" i="5"/>
  <c r="H6" i="5" s="1"/>
  <c r="F7" i="5"/>
  <c r="E7" i="5"/>
  <c r="D7" i="5"/>
  <c r="D6" i="5" s="1"/>
  <c r="C7" i="5"/>
  <c r="K6" i="5"/>
  <c r="K5" i="5" s="1"/>
  <c r="C6" i="5"/>
  <c r="K94" i="4"/>
  <c r="J94" i="4"/>
  <c r="F94" i="4"/>
  <c r="K93" i="4"/>
  <c r="J93" i="4"/>
  <c r="F93" i="4"/>
  <c r="K92" i="4"/>
  <c r="K91" i="4" s="1"/>
  <c r="J92" i="4"/>
  <c r="F92" i="4"/>
  <c r="J91" i="4"/>
  <c r="K90" i="4"/>
  <c r="K88" i="4" s="1"/>
  <c r="J90" i="4"/>
  <c r="J88" i="4" s="1"/>
  <c r="F90" i="4"/>
  <c r="F88" i="4" s="1"/>
  <c r="K87" i="4"/>
  <c r="J87" i="4"/>
  <c r="K86" i="4"/>
  <c r="J86" i="4"/>
  <c r="F86" i="4"/>
  <c r="K85" i="4"/>
  <c r="J85" i="4"/>
  <c r="F85" i="4"/>
  <c r="K84" i="4"/>
  <c r="J84" i="4"/>
  <c r="F84" i="4"/>
  <c r="K82" i="4"/>
  <c r="J82" i="4"/>
  <c r="F82" i="4"/>
  <c r="K81" i="4"/>
  <c r="J81" i="4"/>
  <c r="F81" i="4"/>
  <c r="K80" i="4"/>
  <c r="J80" i="4"/>
  <c r="F80" i="4"/>
  <c r="K79" i="4"/>
  <c r="J79" i="4"/>
  <c r="F79" i="4"/>
  <c r="K78" i="4"/>
  <c r="J78" i="4"/>
  <c r="F78" i="4"/>
  <c r="K77" i="4"/>
  <c r="J77" i="4"/>
  <c r="F77" i="4"/>
  <c r="K76" i="4"/>
  <c r="J76" i="4"/>
  <c r="F76" i="4"/>
  <c r="K75" i="4"/>
  <c r="J75" i="4"/>
  <c r="F75" i="4"/>
  <c r="K74" i="4"/>
  <c r="J74" i="4"/>
  <c r="F74" i="4"/>
  <c r="K73" i="4"/>
  <c r="J73" i="4"/>
  <c r="F73" i="4"/>
  <c r="K72" i="4"/>
  <c r="J72" i="4"/>
  <c r="F72" i="4"/>
  <c r="K71" i="4"/>
  <c r="J71" i="4"/>
  <c r="F71" i="4"/>
  <c r="K70" i="4"/>
  <c r="J70" i="4"/>
  <c r="F70" i="4"/>
  <c r="K69" i="4"/>
  <c r="J69" i="4"/>
  <c r="K68" i="4"/>
  <c r="J68" i="4"/>
  <c r="F68" i="4"/>
  <c r="K67" i="4"/>
  <c r="J67" i="4"/>
  <c r="F67" i="4"/>
  <c r="K66" i="4"/>
  <c r="J66" i="4"/>
  <c r="F66" i="4"/>
  <c r="K65" i="4"/>
  <c r="J65" i="4"/>
  <c r="F65" i="4"/>
  <c r="K64" i="4"/>
  <c r="J64" i="4"/>
  <c r="F64" i="4"/>
  <c r="K63" i="4"/>
  <c r="J63" i="4"/>
  <c r="F63" i="4"/>
  <c r="K62" i="4"/>
  <c r="J62" i="4"/>
  <c r="F62" i="4"/>
  <c r="K61" i="4"/>
  <c r="J61" i="4"/>
  <c r="F61" i="4"/>
  <c r="K60" i="4"/>
  <c r="J60" i="4"/>
  <c r="F60" i="4"/>
  <c r="K59" i="4"/>
  <c r="J59" i="4"/>
  <c r="F59" i="4"/>
  <c r="K58" i="4"/>
  <c r="J58" i="4"/>
  <c r="F58" i="4"/>
  <c r="K57" i="4"/>
  <c r="J57" i="4"/>
  <c r="F57" i="4"/>
  <c r="K56" i="4"/>
  <c r="J56" i="4"/>
  <c r="F56" i="4"/>
  <c r="K55" i="4"/>
  <c r="J55" i="4"/>
  <c r="F55" i="4"/>
  <c r="K54" i="4"/>
  <c r="J54" i="4"/>
  <c r="F54" i="4"/>
  <c r="K53" i="4"/>
  <c r="J53" i="4"/>
  <c r="F53" i="4"/>
  <c r="K52" i="4"/>
  <c r="J52" i="4"/>
  <c r="F52" i="4"/>
  <c r="K51" i="4"/>
  <c r="J51" i="4"/>
  <c r="F51" i="4"/>
  <c r="K50" i="4"/>
  <c r="J50" i="4"/>
  <c r="F50" i="4"/>
  <c r="K49" i="4"/>
  <c r="J49" i="4"/>
  <c r="F49" i="4"/>
  <c r="K48" i="4"/>
  <c r="J48" i="4"/>
  <c r="F48" i="4"/>
  <c r="K47" i="4"/>
  <c r="J47" i="4"/>
  <c r="F47" i="4"/>
  <c r="K46" i="4"/>
  <c r="J46" i="4"/>
  <c r="F46" i="4"/>
  <c r="K45" i="4"/>
  <c r="J45" i="4"/>
  <c r="F45" i="4"/>
  <c r="K44" i="4"/>
  <c r="K41" i="4" s="1"/>
  <c r="J44" i="4"/>
  <c r="F44" i="4"/>
  <c r="K43" i="4"/>
  <c r="J43" i="4"/>
  <c r="J41" i="4" s="1"/>
  <c r="F43" i="4"/>
  <c r="K42" i="4"/>
  <c r="J42" i="4"/>
  <c r="F42" i="4"/>
  <c r="F41" i="4" s="1"/>
  <c r="G41" i="4"/>
  <c r="C41" i="4"/>
  <c r="K40" i="4"/>
  <c r="J40" i="4"/>
  <c r="F40" i="4"/>
  <c r="K39" i="4"/>
  <c r="J39" i="4"/>
  <c r="F39" i="4"/>
  <c r="K38" i="4"/>
  <c r="J38" i="4"/>
  <c r="F38" i="4"/>
  <c r="K37" i="4"/>
  <c r="J37" i="4"/>
  <c r="F37" i="4"/>
  <c r="K36" i="4"/>
  <c r="J36" i="4"/>
  <c r="F36" i="4"/>
  <c r="K35" i="4"/>
  <c r="J35" i="4"/>
  <c r="F35" i="4"/>
  <c r="K34" i="4"/>
  <c r="J34" i="4"/>
  <c r="F34" i="4"/>
  <c r="K33" i="4"/>
  <c r="J33" i="4"/>
  <c r="F33" i="4"/>
  <c r="K32" i="4"/>
  <c r="J32" i="4"/>
  <c r="F32" i="4"/>
  <c r="K31" i="4"/>
  <c r="J31" i="4"/>
  <c r="F31" i="4"/>
  <c r="K30" i="4"/>
  <c r="J30" i="4"/>
  <c r="F30" i="4"/>
  <c r="K29" i="4"/>
  <c r="J29" i="4"/>
  <c r="F29" i="4"/>
  <c r="K28" i="4"/>
  <c r="J28" i="4"/>
  <c r="F28" i="4"/>
  <c r="K27" i="4"/>
  <c r="J27" i="4"/>
  <c r="G27" i="4"/>
  <c r="F27" i="4"/>
  <c r="C27" i="4"/>
  <c r="K26" i="4"/>
  <c r="J26" i="4"/>
  <c r="F26" i="4"/>
  <c r="K25" i="4"/>
  <c r="J25" i="4"/>
  <c r="F25" i="4"/>
  <c r="K24" i="4"/>
  <c r="J24" i="4"/>
  <c r="F24" i="4"/>
  <c r="K23" i="4"/>
  <c r="J23" i="4"/>
  <c r="F23" i="4"/>
  <c r="K22" i="4"/>
  <c r="J22" i="4"/>
  <c r="F22" i="4"/>
  <c r="K21" i="4"/>
  <c r="J21" i="4"/>
  <c r="F21" i="4"/>
  <c r="K20" i="4"/>
  <c r="J20" i="4"/>
  <c r="G20" i="4"/>
  <c r="F20" i="4"/>
  <c r="C20" i="4"/>
  <c r="K19" i="4"/>
  <c r="J19" i="4"/>
  <c r="F19" i="4"/>
  <c r="K18" i="4"/>
  <c r="J18" i="4"/>
  <c r="F18" i="4"/>
  <c r="K17" i="4"/>
  <c r="J17" i="4"/>
  <c r="F17" i="4"/>
  <c r="K16" i="4"/>
  <c r="J16" i="4"/>
  <c r="F16" i="4"/>
  <c r="K15" i="4"/>
  <c r="J15" i="4"/>
  <c r="F15" i="4"/>
  <c r="K14" i="4"/>
  <c r="J14" i="4"/>
  <c r="F14" i="4"/>
  <c r="K13" i="4"/>
  <c r="J13" i="4"/>
  <c r="F13" i="4"/>
  <c r="K12" i="4"/>
  <c r="J12" i="4"/>
  <c r="F12" i="4"/>
  <c r="K11" i="4"/>
  <c r="J11" i="4"/>
  <c r="F11" i="4"/>
  <c r="K10" i="4"/>
  <c r="J10" i="4"/>
  <c r="F10" i="4"/>
  <c r="K9" i="4"/>
  <c r="J9" i="4"/>
  <c r="F9" i="4"/>
  <c r="K8" i="4"/>
  <c r="J8" i="4"/>
  <c r="F8" i="4"/>
  <c r="K7" i="4"/>
  <c r="J7" i="4"/>
  <c r="F7" i="4"/>
  <c r="K6" i="4"/>
  <c r="J6" i="4"/>
  <c r="F6" i="4"/>
  <c r="J5" i="4"/>
  <c r="J34" i="3"/>
  <c r="I34" i="3"/>
  <c r="H34" i="3"/>
  <c r="G34" i="3"/>
  <c r="F34" i="3"/>
  <c r="E34" i="3"/>
  <c r="D34" i="3"/>
  <c r="C34" i="3"/>
  <c r="I33" i="3"/>
  <c r="I32" i="3" s="1"/>
  <c r="H33" i="3"/>
  <c r="G33" i="3"/>
  <c r="E33" i="3"/>
  <c r="D33" i="3"/>
  <c r="D32" i="3" s="1"/>
  <c r="C33" i="3"/>
  <c r="H32" i="3"/>
  <c r="I31" i="3"/>
  <c r="H31" i="3"/>
  <c r="G31" i="3"/>
  <c r="E31" i="3"/>
  <c r="D31" i="3"/>
  <c r="C31" i="3"/>
  <c r="F31" i="3" s="1"/>
  <c r="I30" i="3"/>
  <c r="H30" i="3"/>
  <c r="G30" i="3"/>
  <c r="J30" i="3" s="1"/>
  <c r="E30" i="3"/>
  <c r="D30" i="3"/>
  <c r="C30" i="3"/>
  <c r="F30" i="3" s="1"/>
  <c r="K29" i="3"/>
  <c r="I29" i="3"/>
  <c r="H29" i="3"/>
  <c r="G29" i="3"/>
  <c r="J29" i="3" s="1"/>
  <c r="E29" i="3"/>
  <c r="D29" i="3"/>
  <c r="C29" i="3"/>
  <c r="F29" i="3" s="1"/>
  <c r="K28" i="3"/>
  <c r="I28" i="3"/>
  <c r="H28" i="3"/>
  <c r="G28" i="3"/>
  <c r="J28" i="3" s="1"/>
  <c r="E28" i="3"/>
  <c r="D28" i="3"/>
  <c r="C28" i="3"/>
  <c r="K27" i="3"/>
  <c r="I27" i="3"/>
  <c r="I26" i="3" s="1"/>
  <c r="I25" i="3" s="1"/>
  <c r="H27" i="3"/>
  <c r="G27" i="3"/>
  <c r="E27" i="3"/>
  <c r="D27" i="3"/>
  <c r="C27" i="3"/>
  <c r="J23" i="3"/>
  <c r="K23" i="3" s="1"/>
  <c r="F23" i="3"/>
  <c r="J22" i="3"/>
  <c r="K22" i="3" s="1"/>
  <c r="F22" i="3"/>
  <c r="J21" i="3"/>
  <c r="K21" i="3" s="1"/>
  <c r="F21" i="3"/>
  <c r="J20" i="3"/>
  <c r="K20" i="3" s="1"/>
  <c r="F20" i="3"/>
  <c r="J19" i="3"/>
  <c r="K19" i="3" s="1"/>
  <c r="F19" i="3"/>
  <c r="K18" i="3"/>
  <c r="I18" i="3"/>
  <c r="H18" i="3"/>
  <c r="G18" i="3"/>
  <c r="E18" i="3"/>
  <c r="D18" i="3"/>
  <c r="C18" i="3"/>
  <c r="F18" i="3" s="1"/>
  <c r="K17" i="3"/>
  <c r="I17" i="3"/>
  <c r="H17" i="3"/>
  <c r="G17" i="3"/>
  <c r="J17" i="3" s="1"/>
  <c r="E17" i="3"/>
  <c r="D17" i="3"/>
  <c r="C17" i="3"/>
  <c r="F17" i="3" s="1"/>
  <c r="K16" i="3"/>
  <c r="K15" i="3" s="1"/>
  <c r="I16" i="3"/>
  <c r="H16" i="3"/>
  <c r="G16" i="3"/>
  <c r="J16" i="3" s="1"/>
  <c r="E16" i="3"/>
  <c r="D16" i="3"/>
  <c r="C16" i="3"/>
  <c r="C15" i="3"/>
  <c r="J14" i="3"/>
  <c r="K14" i="3" s="1"/>
  <c r="F14" i="3"/>
  <c r="J13" i="3"/>
  <c r="K13" i="3" s="1"/>
  <c r="F13" i="3"/>
  <c r="J12" i="3"/>
  <c r="K12" i="3" s="1"/>
  <c r="F12" i="3"/>
  <c r="K11" i="3"/>
  <c r="J11" i="3"/>
  <c r="F11" i="3"/>
  <c r="J10" i="3"/>
  <c r="K10" i="3" s="1"/>
  <c r="F10" i="3"/>
  <c r="K9" i="3"/>
  <c r="I9" i="3"/>
  <c r="J9" i="3" s="1"/>
  <c r="H9" i="3"/>
  <c r="G9" i="3"/>
  <c r="E9" i="3"/>
  <c r="F9" i="3" s="1"/>
  <c r="D9" i="3"/>
  <c r="C9" i="3"/>
  <c r="K8" i="3"/>
  <c r="I8" i="3"/>
  <c r="H8" i="3"/>
  <c r="G8" i="3"/>
  <c r="E8" i="3"/>
  <c r="D8" i="3"/>
  <c r="C8" i="3"/>
  <c r="K7" i="3"/>
  <c r="I7" i="3"/>
  <c r="H7" i="3"/>
  <c r="G7" i="3"/>
  <c r="E7" i="3"/>
  <c r="D7" i="3"/>
  <c r="C7" i="3"/>
  <c r="F7" i="3" s="1"/>
  <c r="K6" i="3"/>
  <c r="I6" i="3"/>
  <c r="H6" i="3"/>
  <c r="G6" i="3"/>
  <c r="E6" i="3"/>
  <c r="D6" i="3"/>
  <c r="C6" i="3"/>
  <c r="K5" i="3"/>
  <c r="K4" i="3" s="1"/>
  <c r="I5" i="3"/>
  <c r="H5" i="3"/>
  <c r="G5" i="3"/>
  <c r="E5" i="3"/>
  <c r="D5" i="3"/>
  <c r="C5" i="3"/>
  <c r="J60" i="2"/>
  <c r="F60" i="2"/>
  <c r="J59" i="2"/>
  <c r="F59" i="2"/>
  <c r="I58" i="2"/>
  <c r="H58" i="2"/>
  <c r="G58" i="2"/>
  <c r="J58" i="2" s="1"/>
  <c r="E58" i="2"/>
  <c r="D58" i="2"/>
  <c r="C58" i="2"/>
  <c r="F58" i="2" s="1"/>
  <c r="I57" i="2"/>
  <c r="H57" i="2"/>
  <c r="G57" i="2"/>
  <c r="J57" i="2" s="1"/>
  <c r="E57" i="2"/>
  <c r="D57" i="2"/>
  <c r="C57" i="2"/>
  <c r="J56" i="2"/>
  <c r="K56" i="2" s="1"/>
  <c r="F56" i="2"/>
  <c r="K55" i="2"/>
  <c r="I55" i="2"/>
  <c r="G55" i="2"/>
  <c r="E55" i="2"/>
  <c r="D55" i="2"/>
  <c r="C55" i="2"/>
  <c r="F55" i="2" s="1"/>
  <c r="K54" i="2"/>
  <c r="G54" i="2"/>
  <c r="J54" i="2" s="1"/>
  <c r="F54" i="2"/>
  <c r="K53" i="2"/>
  <c r="J53" i="2"/>
  <c r="F53" i="2"/>
  <c r="J52" i="2"/>
  <c r="K52" i="2" s="1"/>
  <c r="F52" i="2"/>
  <c r="K51" i="2"/>
  <c r="J51" i="2"/>
  <c r="F51" i="2"/>
  <c r="I50" i="2"/>
  <c r="I49" i="2" s="1"/>
  <c r="I48" i="2" s="1"/>
  <c r="I47" i="2" s="1"/>
  <c r="H50" i="2"/>
  <c r="G50" i="2"/>
  <c r="E50" i="2"/>
  <c r="D50" i="2"/>
  <c r="D49" i="2" s="1"/>
  <c r="D48" i="2" s="1"/>
  <c r="D47" i="2" s="1"/>
  <c r="C50" i="2"/>
  <c r="G49" i="2"/>
  <c r="E49" i="2"/>
  <c r="C49" i="2"/>
  <c r="F49" i="2" s="1"/>
  <c r="K44" i="2"/>
  <c r="I44" i="2"/>
  <c r="H44" i="2"/>
  <c r="G44" i="2"/>
  <c r="E44" i="2"/>
  <c r="D44" i="2"/>
  <c r="C44" i="2"/>
  <c r="K43" i="2"/>
  <c r="I43" i="2"/>
  <c r="H43" i="2"/>
  <c r="G43" i="2"/>
  <c r="J43" i="2" s="1"/>
  <c r="E43" i="2"/>
  <c r="D43" i="2"/>
  <c r="C43" i="2"/>
  <c r="K42" i="2"/>
  <c r="I42" i="2"/>
  <c r="H42" i="2"/>
  <c r="G42" i="2"/>
  <c r="J42" i="2" s="1"/>
  <c r="E42" i="2"/>
  <c r="D42" i="2"/>
  <c r="D40" i="2" s="1"/>
  <c r="C42" i="2"/>
  <c r="F42" i="2" s="1"/>
  <c r="K41" i="2"/>
  <c r="I41" i="2"/>
  <c r="H41" i="2"/>
  <c r="G41" i="2"/>
  <c r="J41" i="2" s="1"/>
  <c r="E41" i="2"/>
  <c r="D41" i="2"/>
  <c r="C41" i="2"/>
  <c r="I40" i="2"/>
  <c r="E40" i="2"/>
  <c r="K39" i="2"/>
  <c r="I39" i="2"/>
  <c r="H39" i="2"/>
  <c r="J39" i="2" s="1"/>
  <c r="G39" i="2"/>
  <c r="E39" i="2"/>
  <c r="D39" i="2"/>
  <c r="F39" i="2" s="1"/>
  <c r="C39" i="2"/>
  <c r="K38" i="2"/>
  <c r="I38" i="2"/>
  <c r="H38" i="2"/>
  <c r="G38" i="2"/>
  <c r="E38" i="2"/>
  <c r="D38" i="2"/>
  <c r="C38" i="2"/>
  <c r="F38" i="2" s="1"/>
  <c r="K37" i="2"/>
  <c r="I37" i="2"/>
  <c r="H37" i="2"/>
  <c r="G37" i="2"/>
  <c r="E37" i="2"/>
  <c r="D37" i="2"/>
  <c r="C37" i="2"/>
  <c r="K36" i="2"/>
  <c r="K35" i="2" s="1"/>
  <c r="I36" i="2"/>
  <c r="H36" i="2"/>
  <c r="G36" i="2"/>
  <c r="J36" i="2" s="1"/>
  <c r="E36" i="2"/>
  <c r="E35" i="2" s="1"/>
  <c r="D36" i="2"/>
  <c r="C36" i="2"/>
  <c r="G35" i="2"/>
  <c r="K34" i="2"/>
  <c r="I34" i="2"/>
  <c r="H34" i="2"/>
  <c r="J34" i="2" s="1"/>
  <c r="G34" i="2"/>
  <c r="E34" i="2"/>
  <c r="D34" i="2"/>
  <c r="C34" i="2"/>
  <c r="I33" i="2"/>
  <c r="H33" i="2"/>
  <c r="G33" i="2"/>
  <c r="E33" i="2"/>
  <c r="E31" i="2" s="1"/>
  <c r="D33" i="2"/>
  <c r="C33" i="2"/>
  <c r="K32" i="2"/>
  <c r="J32" i="2"/>
  <c r="I32" i="2"/>
  <c r="H32" i="2"/>
  <c r="G32" i="2"/>
  <c r="F32" i="2"/>
  <c r="E32" i="2"/>
  <c r="D32" i="2"/>
  <c r="D31" i="2" s="1"/>
  <c r="C32" i="2"/>
  <c r="H31" i="2"/>
  <c r="I29" i="2"/>
  <c r="H29" i="2"/>
  <c r="G29" i="2"/>
  <c r="E29" i="2"/>
  <c r="D29" i="2"/>
  <c r="C29" i="2"/>
  <c r="F29" i="2" s="1"/>
  <c r="I28" i="2"/>
  <c r="I27" i="2" s="1"/>
  <c r="H28" i="2"/>
  <c r="G28" i="2"/>
  <c r="E28" i="2"/>
  <c r="E27" i="2" s="1"/>
  <c r="D28" i="2"/>
  <c r="C28" i="2"/>
  <c r="K27" i="2"/>
  <c r="K26" i="2"/>
  <c r="I26" i="2"/>
  <c r="H26" i="2"/>
  <c r="G26" i="2"/>
  <c r="E26" i="2"/>
  <c r="E18" i="2" s="1"/>
  <c r="D26" i="2"/>
  <c r="C26" i="2"/>
  <c r="K25" i="2"/>
  <c r="I25" i="2"/>
  <c r="H25" i="2"/>
  <c r="G25" i="2"/>
  <c r="E25" i="2"/>
  <c r="D25" i="2"/>
  <c r="C25" i="2"/>
  <c r="K24" i="2"/>
  <c r="I24" i="2"/>
  <c r="I18" i="2" s="1"/>
  <c r="H24" i="2"/>
  <c r="J24" i="2" s="1"/>
  <c r="L24" i="2" s="1"/>
  <c r="G24" i="2"/>
  <c r="E24" i="2"/>
  <c r="D24" i="2"/>
  <c r="F24" i="2" s="1"/>
  <c r="C24" i="2"/>
  <c r="K23" i="2"/>
  <c r="I23" i="2"/>
  <c r="H23" i="2"/>
  <c r="G23" i="2"/>
  <c r="E23" i="2"/>
  <c r="D23" i="2"/>
  <c r="C23" i="2"/>
  <c r="F23" i="2" s="1"/>
  <c r="K22" i="2"/>
  <c r="I22" i="2"/>
  <c r="H22" i="2"/>
  <c r="G22" i="2"/>
  <c r="J22" i="2" s="1"/>
  <c r="E22" i="2"/>
  <c r="D22" i="2"/>
  <c r="C22" i="2"/>
  <c r="F22" i="2" s="1"/>
  <c r="K21" i="2"/>
  <c r="I21" i="2"/>
  <c r="H21" i="2"/>
  <c r="G21" i="2"/>
  <c r="E21" i="2"/>
  <c r="F21" i="2" s="1"/>
  <c r="D21" i="2"/>
  <c r="C21" i="2"/>
  <c r="K20" i="2"/>
  <c r="J20" i="2"/>
  <c r="I20" i="2"/>
  <c r="H20" i="2"/>
  <c r="G20" i="2"/>
  <c r="F20" i="2"/>
  <c r="E20" i="2"/>
  <c r="D20" i="2"/>
  <c r="C20" i="2"/>
  <c r="K19" i="2"/>
  <c r="I19" i="2"/>
  <c r="H19" i="2"/>
  <c r="G19" i="2"/>
  <c r="J19" i="2" s="1"/>
  <c r="E19" i="2"/>
  <c r="D19" i="2"/>
  <c r="C19" i="2"/>
  <c r="K17" i="2"/>
  <c r="I17" i="2"/>
  <c r="H17" i="2"/>
  <c r="J17" i="2" s="1"/>
  <c r="G17" i="2"/>
  <c r="E17" i="2"/>
  <c r="E15" i="2" s="1"/>
  <c r="D17" i="2"/>
  <c r="C17" i="2"/>
  <c r="K16" i="2"/>
  <c r="K15" i="2" s="1"/>
  <c r="I16" i="2"/>
  <c r="I15" i="2" s="1"/>
  <c r="I10" i="2" s="1"/>
  <c r="H16" i="2"/>
  <c r="G16" i="2"/>
  <c r="E16" i="2"/>
  <c r="D16" i="2"/>
  <c r="D15" i="2" s="1"/>
  <c r="C16" i="2"/>
  <c r="K14" i="2"/>
  <c r="I14" i="2"/>
  <c r="H14" i="2"/>
  <c r="G14" i="2"/>
  <c r="E14" i="2"/>
  <c r="D14" i="2"/>
  <c r="C14" i="2"/>
  <c r="K13" i="2"/>
  <c r="I13" i="2"/>
  <c r="H13" i="2"/>
  <c r="G13" i="2"/>
  <c r="J13" i="2" s="1"/>
  <c r="E13" i="2"/>
  <c r="D13" i="2"/>
  <c r="C13" i="2"/>
  <c r="K12" i="2"/>
  <c r="I12" i="2"/>
  <c r="H12" i="2"/>
  <c r="G12" i="2"/>
  <c r="E12" i="2"/>
  <c r="D12" i="2"/>
  <c r="C12" i="2"/>
  <c r="F12" i="2" s="1"/>
  <c r="K9" i="2"/>
  <c r="I9" i="2"/>
  <c r="J9" i="2" s="1"/>
  <c r="H9" i="2"/>
  <c r="G9" i="2"/>
  <c r="E9" i="2"/>
  <c r="F9" i="2" s="1"/>
  <c r="D9" i="2"/>
  <c r="C9" i="2"/>
  <c r="K8" i="2"/>
  <c r="I8" i="2"/>
  <c r="H8" i="2"/>
  <c r="G8" i="2"/>
  <c r="E8" i="2"/>
  <c r="D8" i="2"/>
  <c r="C8" i="2"/>
  <c r="K7" i="2"/>
  <c r="I7" i="2"/>
  <c r="H7" i="2"/>
  <c r="G7" i="2"/>
  <c r="E7" i="2"/>
  <c r="D7" i="2"/>
  <c r="C7" i="2"/>
  <c r="K6" i="2"/>
  <c r="I6" i="2"/>
  <c r="H6" i="2"/>
  <c r="G6" i="2"/>
  <c r="J6" i="2" s="1"/>
  <c r="L6" i="2" s="1"/>
  <c r="E6" i="2"/>
  <c r="D6" i="2"/>
  <c r="C6" i="2"/>
  <c r="F6" i="2" s="1"/>
  <c r="I5" i="2"/>
  <c r="F24" i="1"/>
  <c r="F23" i="1"/>
  <c r="F22" i="1" s="1"/>
  <c r="L22" i="1"/>
  <c r="K22" i="1"/>
  <c r="J22" i="1"/>
  <c r="I22" i="1"/>
  <c r="I17" i="1" s="1"/>
  <c r="E22" i="1"/>
  <c r="D22" i="1"/>
  <c r="C22" i="1"/>
  <c r="C17" i="1" s="1"/>
  <c r="L21" i="1"/>
  <c r="F21" i="1"/>
  <c r="F18" i="1" s="1"/>
  <c r="L20" i="1"/>
  <c r="F20" i="1"/>
  <c r="L19" i="1"/>
  <c r="L18" i="1" s="1"/>
  <c r="L17" i="1" s="1"/>
  <c r="H19" i="1"/>
  <c r="F19" i="1"/>
  <c r="K18" i="1"/>
  <c r="J18" i="1"/>
  <c r="I18" i="1"/>
  <c r="E18" i="1"/>
  <c r="D18" i="1"/>
  <c r="C18" i="1"/>
  <c r="K17" i="1"/>
  <c r="J17" i="1"/>
  <c r="E17" i="1"/>
  <c r="D17" i="1"/>
  <c r="L13" i="1"/>
  <c r="F13" i="1"/>
  <c r="L12" i="1"/>
  <c r="F12" i="1"/>
  <c r="L11" i="1"/>
  <c r="L10" i="1" s="1"/>
  <c r="F11" i="1"/>
  <c r="K10" i="1"/>
  <c r="J10" i="1"/>
  <c r="J15" i="1" s="1"/>
  <c r="J25" i="1" s="1"/>
  <c r="I10" i="1"/>
  <c r="F10" i="1"/>
  <c r="E10" i="1"/>
  <c r="K14" i="1" s="1"/>
  <c r="D10" i="1"/>
  <c r="D15" i="1" s="1"/>
  <c r="D25" i="1" s="1"/>
  <c r="J26" i="1" s="1"/>
  <c r="C10" i="1"/>
  <c r="I14" i="1" s="1"/>
  <c r="J9" i="1"/>
  <c r="D9" i="1"/>
  <c r="L8" i="1"/>
  <c r="L7" i="1"/>
  <c r="F7" i="1"/>
  <c r="L6" i="1"/>
  <c r="F6" i="1"/>
  <c r="L5" i="1"/>
  <c r="F5" i="1"/>
  <c r="L4" i="1"/>
  <c r="F4" i="1"/>
  <c r="K3" i="1"/>
  <c r="K15" i="1" s="1"/>
  <c r="K25" i="1" s="1"/>
  <c r="J3" i="1"/>
  <c r="I3" i="1"/>
  <c r="I15" i="1" s="1"/>
  <c r="I25" i="1" s="1"/>
  <c r="E3" i="1"/>
  <c r="E15" i="1" s="1"/>
  <c r="E25" i="1" s="1"/>
  <c r="D3" i="1"/>
  <c r="C3" i="1"/>
  <c r="I9" i="1" s="1"/>
  <c r="I4" i="2" l="1"/>
  <c r="F5" i="3"/>
  <c r="C4" i="3"/>
  <c r="C24" i="3" s="1"/>
  <c r="H5" i="2"/>
  <c r="J7" i="2"/>
  <c r="L7" i="2" s="1"/>
  <c r="E10" i="2"/>
  <c r="E4" i="2" s="1"/>
  <c r="E46" i="2" s="1"/>
  <c r="K18" i="2"/>
  <c r="C42" i="12"/>
  <c r="E42" i="12" s="1"/>
  <c r="E43" i="12"/>
  <c r="F17" i="1"/>
  <c r="E30" i="2"/>
  <c r="J37" i="2"/>
  <c r="H4" i="3"/>
  <c r="K24" i="3"/>
  <c r="E26" i="3"/>
  <c r="K26" i="3"/>
  <c r="K25" i="3" s="1"/>
  <c r="K35" i="3" s="1"/>
  <c r="I45" i="10"/>
  <c r="E45" i="10"/>
  <c r="G46" i="12"/>
  <c r="D46" i="16"/>
  <c r="J12" i="2"/>
  <c r="F13" i="2"/>
  <c r="F16" i="2"/>
  <c r="H15" i="2"/>
  <c r="H10" i="2" s="1"/>
  <c r="F17" i="2"/>
  <c r="F25" i="2"/>
  <c r="J25" i="2"/>
  <c r="F28" i="2"/>
  <c r="J29" i="2"/>
  <c r="K29" i="2" s="1"/>
  <c r="G31" i="2"/>
  <c r="F34" i="2"/>
  <c r="K40" i="2"/>
  <c r="C48" i="2"/>
  <c r="J55" i="2"/>
  <c r="L55" i="2" s="1"/>
  <c r="G4" i="3"/>
  <c r="G24" i="3" s="1"/>
  <c r="J5" i="3"/>
  <c r="D4" i="3"/>
  <c r="G15" i="3"/>
  <c r="J18" i="6"/>
  <c r="G17" i="6"/>
  <c r="J17" i="6" s="1"/>
  <c r="H44" i="12"/>
  <c r="F42" i="12"/>
  <c r="H42" i="12" s="1"/>
  <c r="C42" i="14"/>
  <c r="E42" i="14" s="1"/>
  <c r="G42" i="18"/>
  <c r="G46" i="18" s="1"/>
  <c r="H43" i="18"/>
  <c r="K30" i="3"/>
  <c r="H7" i="6"/>
  <c r="J22" i="6"/>
  <c r="I32" i="6"/>
  <c r="I31" i="6" s="1"/>
  <c r="E234" i="7"/>
  <c r="E7" i="7"/>
  <c r="I39" i="10"/>
  <c r="I49" i="10" s="1"/>
  <c r="E43" i="13"/>
  <c r="C42" i="13"/>
  <c r="E42" i="13" s="1"/>
  <c r="H37" i="16"/>
  <c r="D18" i="21"/>
  <c r="D19" i="21" s="1"/>
  <c r="C11" i="23"/>
  <c r="C12" i="23" s="1"/>
  <c r="C32" i="23" s="1"/>
  <c r="F3" i="1"/>
  <c r="F15" i="1" s="1"/>
  <c r="F25" i="1" s="1"/>
  <c r="L3" i="1"/>
  <c r="L9" i="1" s="1"/>
  <c r="D5" i="2"/>
  <c r="F7" i="2"/>
  <c r="J8" i="2"/>
  <c r="D10" i="2"/>
  <c r="J14" i="2"/>
  <c r="F19" i="2"/>
  <c r="H18" i="2"/>
  <c r="J26" i="2"/>
  <c r="C31" i="2"/>
  <c r="F36" i="2"/>
  <c r="F37" i="2"/>
  <c r="F41" i="2"/>
  <c r="H40" i="2"/>
  <c r="F43" i="2"/>
  <c r="F44" i="2"/>
  <c r="E48" i="2"/>
  <c r="E47" i="2" s="1"/>
  <c r="F57" i="2"/>
  <c r="K57" i="2"/>
  <c r="F16" i="3"/>
  <c r="H15" i="3"/>
  <c r="I15" i="3"/>
  <c r="J33" i="3"/>
  <c r="K33" i="3" s="1"/>
  <c r="K34" i="3"/>
  <c r="G5" i="4"/>
  <c r="G4" i="4" s="1"/>
  <c r="F91" i="4"/>
  <c r="L94" i="4"/>
  <c r="C12" i="6"/>
  <c r="C7" i="6" s="1"/>
  <c r="C30" i="6" s="1"/>
  <c r="F20" i="6"/>
  <c r="H12" i="6"/>
  <c r="C21" i="6"/>
  <c r="C32" i="6"/>
  <c r="C31" i="6" s="1"/>
  <c r="C44" i="6" s="1"/>
  <c r="H14" i="10"/>
  <c r="F17" i="10"/>
  <c r="E39" i="10"/>
  <c r="E49" i="10" s="1"/>
  <c r="K39" i="10"/>
  <c r="K49" i="10" s="1"/>
  <c r="J44" i="10"/>
  <c r="F36" i="13"/>
  <c r="G36" i="13"/>
  <c r="H36" i="13" s="1"/>
  <c r="D36" i="14"/>
  <c r="D46" i="14" s="1"/>
  <c r="C42" i="15"/>
  <c r="I36" i="16"/>
  <c r="H43" i="16"/>
  <c r="F42" i="16"/>
  <c r="H42" i="16" s="1"/>
  <c r="E38" i="17"/>
  <c r="F36" i="19"/>
  <c r="F46" i="19" s="1"/>
  <c r="F78" i="22"/>
  <c r="I78" i="22"/>
  <c r="E5" i="2"/>
  <c r="K5" i="2"/>
  <c r="F8" i="2"/>
  <c r="K10" i="2"/>
  <c r="K4" i="2" s="1"/>
  <c r="F14" i="2"/>
  <c r="J16" i="2"/>
  <c r="D18" i="2"/>
  <c r="J21" i="2"/>
  <c r="J23" i="2"/>
  <c r="F26" i="2"/>
  <c r="C35" i="2"/>
  <c r="C30" i="2" s="1"/>
  <c r="I35" i="2"/>
  <c r="J38" i="2"/>
  <c r="G48" i="2"/>
  <c r="F6" i="3"/>
  <c r="J7" i="3"/>
  <c r="F8" i="3"/>
  <c r="D15" i="3"/>
  <c r="F27" i="3"/>
  <c r="D26" i="3"/>
  <c r="D25" i="3" s="1"/>
  <c r="J31" i="3"/>
  <c r="F33" i="3"/>
  <c r="J11" i="6"/>
  <c r="K21" i="6"/>
  <c r="K30" i="6" s="1"/>
  <c r="K32" i="6"/>
  <c r="K31" i="6" s="1"/>
  <c r="J234" i="7"/>
  <c r="E51" i="7"/>
  <c r="J163" i="7"/>
  <c r="J73" i="7" s="1"/>
  <c r="J15" i="10"/>
  <c r="J18" i="10"/>
  <c r="J21" i="10"/>
  <c r="J40" i="10"/>
  <c r="F41" i="10"/>
  <c r="H39" i="10"/>
  <c r="J46" i="10"/>
  <c r="F47" i="10"/>
  <c r="H38" i="12"/>
  <c r="H43" i="12"/>
  <c r="I36" i="13"/>
  <c r="I46" i="13" s="1"/>
  <c r="H39" i="13"/>
  <c r="F36" i="14"/>
  <c r="G36" i="14"/>
  <c r="G46" i="14" s="1"/>
  <c r="H43" i="14"/>
  <c r="E37" i="15"/>
  <c r="I36" i="15"/>
  <c r="C42" i="16"/>
  <c r="E42" i="16" s="1"/>
  <c r="C36" i="17"/>
  <c r="C34" i="17" s="1"/>
  <c r="G36" i="17"/>
  <c r="G46" i="17" s="1"/>
  <c r="H43" i="17"/>
  <c r="H37" i="18"/>
  <c r="D36" i="18"/>
  <c r="D46" i="18" s="1"/>
  <c r="E39" i="18"/>
  <c r="C42" i="18"/>
  <c r="E42" i="18" s="1"/>
  <c r="J44" i="2"/>
  <c r="L54" i="2"/>
  <c r="L58" i="2"/>
  <c r="E4" i="3"/>
  <c r="I4" i="3"/>
  <c r="I24" i="3" s="1"/>
  <c r="I35" i="3" s="1"/>
  <c r="J6" i="3"/>
  <c r="J8" i="3"/>
  <c r="E15" i="3"/>
  <c r="J18" i="3"/>
  <c r="J27" i="3"/>
  <c r="F28" i="3"/>
  <c r="H26" i="3"/>
  <c r="H25" i="3" s="1"/>
  <c r="E32" i="3"/>
  <c r="K5" i="4"/>
  <c r="K4" i="4" s="1"/>
  <c r="F5" i="4"/>
  <c r="F4" i="4" s="1"/>
  <c r="C5" i="4"/>
  <c r="C4" i="4" s="1"/>
  <c r="K7" i="6"/>
  <c r="J9" i="6"/>
  <c r="F11" i="6"/>
  <c r="F24" i="6"/>
  <c r="E32" i="6"/>
  <c r="I234" i="7"/>
  <c r="E37" i="7"/>
  <c r="E233" i="7"/>
  <c r="E69" i="7"/>
  <c r="F15" i="10"/>
  <c r="F18" i="10"/>
  <c r="F21" i="10"/>
  <c r="F40" i="10"/>
  <c r="D39" i="10"/>
  <c r="F44" i="10"/>
  <c r="K45" i="10"/>
  <c r="J47" i="10"/>
  <c r="H37" i="12"/>
  <c r="E39" i="12"/>
  <c r="E41" i="12"/>
  <c r="I42" i="12"/>
  <c r="I46" i="12" s="1"/>
  <c r="E37" i="14"/>
  <c r="E41" i="14"/>
  <c r="E38" i="15"/>
  <c r="G36" i="15"/>
  <c r="H43" i="15"/>
  <c r="I36" i="17"/>
  <c r="I46" i="17" s="1"/>
  <c r="H39" i="17"/>
  <c r="E38" i="18"/>
  <c r="F42" i="18"/>
  <c r="I36" i="19"/>
  <c r="I46" i="19" s="1"/>
  <c r="I88" i="22"/>
  <c r="F23" i="22"/>
  <c r="J66" i="22"/>
  <c r="J85" i="22" s="1"/>
  <c r="J87" i="22"/>
  <c r="E46" i="22"/>
  <c r="I23" i="22"/>
  <c r="I46" i="22" s="1"/>
  <c r="F18" i="22"/>
  <c r="H23" i="22"/>
  <c r="H46" i="22" s="1"/>
  <c r="G64" i="22"/>
  <c r="E23" i="22"/>
  <c r="G46" i="22"/>
  <c r="F9" i="22"/>
  <c r="F46" i="22" s="1"/>
  <c r="F87" i="22" s="1"/>
  <c r="F49" i="22"/>
  <c r="F64" i="22" s="1"/>
  <c r="I19" i="21"/>
  <c r="I132" i="20"/>
  <c r="E5" i="20"/>
  <c r="K74" i="20"/>
  <c r="J75" i="20"/>
  <c r="I74" i="20"/>
  <c r="J74" i="20" s="1"/>
  <c r="H7" i="20"/>
  <c r="J8" i="20"/>
  <c r="K21" i="20"/>
  <c r="I118" i="20"/>
  <c r="I36" i="20"/>
  <c r="J10" i="20"/>
  <c r="I22" i="20"/>
  <c r="H94" i="20"/>
  <c r="K94" i="20" s="1"/>
  <c r="H120" i="20"/>
  <c r="E134" i="20"/>
  <c r="E133" i="20" s="1"/>
  <c r="E132" i="20" s="1"/>
  <c r="J137" i="20"/>
  <c r="J139" i="20"/>
  <c r="H154" i="20"/>
  <c r="J154" i="20" s="1"/>
  <c r="H195" i="20"/>
  <c r="H198" i="20" s="1"/>
  <c r="H134" i="20"/>
  <c r="J136" i="20"/>
  <c r="H159" i="20"/>
  <c r="J159" i="20" s="1"/>
  <c r="H37" i="20"/>
  <c r="H36" i="20" s="1"/>
  <c r="H35" i="20" s="1"/>
  <c r="K35" i="20" s="1"/>
  <c r="H51" i="20"/>
  <c r="H50" i="20" s="1"/>
  <c r="H49" i="20" s="1"/>
  <c r="K49" i="20" s="1"/>
  <c r="H46" i="19"/>
  <c r="F8" i="19"/>
  <c r="E11" i="19"/>
  <c r="H20" i="19"/>
  <c r="I20" i="19" s="1"/>
  <c r="I8" i="19" s="1"/>
  <c r="C36" i="19"/>
  <c r="G8" i="19"/>
  <c r="C22" i="19"/>
  <c r="G22" i="19"/>
  <c r="G30" i="19" s="1"/>
  <c r="G34" i="19" s="1"/>
  <c r="G32" i="19" s="1"/>
  <c r="G31" i="19" s="1"/>
  <c r="G35" i="19" s="1"/>
  <c r="H36" i="19"/>
  <c r="C42" i="19"/>
  <c r="E42" i="19" s="1"/>
  <c r="F30" i="18"/>
  <c r="H8" i="18"/>
  <c r="I23" i="18"/>
  <c r="D8" i="18"/>
  <c r="E8" i="18" s="1"/>
  <c r="H20" i="18"/>
  <c r="I20" i="18" s="1"/>
  <c r="I8" i="18" s="1"/>
  <c r="C36" i="18"/>
  <c r="C22" i="18"/>
  <c r="G22" i="18"/>
  <c r="G30" i="18" s="1"/>
  <c r="H36" i="18"/>
  <c r="I35" i="17"/>
  <c r="I30" i="17"/>
  <c r="F30" i="17"/>
  <c r="H30" i="17" s="1"/>
  <c r="H22" i="17"/>
  <c r="I25" i="17"/>
  <c r="E8" i="17"/>
  <c r="C46" i="17"/>
  <c r="G34" i="17"/>
  <c r="G32" i="17" s="1"/>
  <c r="G31" i="17" s="1"/>
  <c r="G35" i="17" s="1"/>
  <c r="G22" i="17"/>
  <c r="G30" i="17" s="1"/>
  <c r="D8" i="17"/>
  <c r="D30" i="17" s="1"/>
  <c r="F42" i="17"/>
  <c r="H42" i="17" s="1"/>
  <c r="D46" i="17"/>
  <c r="E22" i="17"/>
  <c r="H28" i="17"/>
  <c r="I28" i="17" s="1"/>
  <c r="F36" i="17"/>
  <c r="H8" i="16"/>
  <c r="F30" i="16"/>
  <c r="I46" i="16"/>
  <c r="D30" i="16"/>
  <c r="D34" i="16" s="1"/>
  <c r="D32" i="16" s="1"/>
  <c r="D31" i="16" s="1"/>
  <c r="D35" i="16" s="1"/>
  <c r="D8" i="16"/>
  <c r="E8" i="16" s="1"/>
  <c r="H20" i="16"/>
  <c r="I20" i="16" s="1"/>
  <c r="I8" i="16" s="1"/>
  <c r="H23" i="16"/>
  <c r="I23" i="16" s="1"/>
  <c r="C36" i="16"/>
  <c r="G36" i="16"/>
  <c r="G46" i="16" s="1"/>
  <c r="E38" i="16"/>
  <c r="C22" i="16"/>
  <c r="G22" i="16"/>
  <c r="G30" i="16" s="1"/>
  <c r="I35" i="15"/>
  <c r="I30" i="15"/>
  <c r="I25" i="15"/>
  <c r="F30" i="15"/>
  <c r="H30" i="15" s="1"/>
  <c r="H22" i="15"/>
  <c r="C46" i="15"/>
  <c r="C34" i="15"/>
  <c r="E36" i="15"/>
  <c r="I46" i="15"/>
  <c r="I28" i="15"/>
  <c r="G46" i="15"/>
  <c r="G34" i="15"/>
  <c r="G32" i="15" s="1"/>
  <c r="G31" i="15" s="1"/>
  <c r="G35" i="15" s="1"/>
  <c r="E42" i="15"/>
  <c r="D46" i="15"/>
  <c r="F8" i="15"/>
  <c r="H8" i="15" s="1"/>
  <c r="F42" i="15"/>
  <c r="H42" i="15" s="1"/>
  <c r="E44" i="15"/>
  <c r="E22" i="15"/>
  <c r="H28" i="15"/>
  <c r="F36" i="15"/>
  <c r="E39" i="15"/>
  <c r="D8" i="15"/>
  <c r="E8" i="14"/>
  <c r="I20" i="14"/>
  <c r="I8" i="14" s="1"/>
  <c r="I46" i="14"/>
  <c r="I23" i="14"/>
  <c r="D30" i="14"/>
  <c r="F22" i="14"/>
  <c r="C36" i="14"/>
  <c r="F42" i="14"/>
  <c r="H42" i="14" s="1"/>
  <c r="H11" i="14"/>
  <c r="C22" i="14"/>
  <c r="G22" i="14"/>
  <c r="G30" i="14" s="1"/>
  <c r="G34" i="14" s="1"/>
  <c r="G32" i="14" s="1"/>
  <c r="G31" i="14" s="1"/>
  <c r="G35" i="14" s="1"/>
  <c r="H36" i="14"/>
  <c r="D30" i="13"/>
  <c r="F30" i="13"/>
  <c r="H30" i="13" s="1"/>
  <c r="H8" i="13"/>
  <c r="H22" i="13"/>
  <c r="I23" i="13"/>
  <c r="D46" i="13"/>
  <c r="D8" i="13"/>
  <c r="E8" i="13" s="1"/>
  <c r="H20" i="13"/>
  <c r="I20" i="13" s="1"/>
  <c r="I8" i="13" s="1"/>
  <c r="C36" i="13"/>
  <c r="E38" i="13"/>
  <c r="F42" i="13"/>
  <c r="H42" i="13" s="1"/>
  <c r="C22" i="13"/>
  <c r="G22" i="13"/>
  <c r="G30" i="13" s="1"/>
  <c r="F34" i="13"/>
  <c r="I9" i="12"/>
  <c r="I8" i="12" s="1"/>
  <c r="I23" i="12"/>
  <c r="D34" i="12"/>
  <c r="D32" i="12" s="1"/>
  <c r="D31" i="12" s="1"/>
  <c r="D35" i="12" s="1"/>
  <c r="C8" i="12"/>
  <c r="G8" i="12"/>
  <c r="G30" i="12" s="1"/>
  <c r="F36" i="12"/>
  <c r="F22" i="12"/>
  <c r="H22" i="12" s="1"/>
  <c r="E28" i="12"/>
  <c r="I28" i="12"/>
  <c r="C36" i="12"/>
  <c r="F28" i="11"/>
  <c r="F4" i="11"/>
  <c r="J25" i="10"/>
  <c r="F25" i="10"/>
  <c r="H49" i="10"/>
  <c r="D49" i="10"/>
  <c r="D8" i="10"/>
  <c r="D33" i="10" s="1"/>
  <c r="H8" i="10"/>
  <c r="H33" i="10" s="1"/>
  <c r="H37" i="10" s="1"/>
  <c r="H35" i="10" s="1"/>
  <c r="H34" i="10" s="1"/>
  <c r="H38" i="10" s="1"/>
  <c r="C14" i="10"/>
  <c r="G14" i="10"/>
  <c r="F31" i="10"/>
  <c r="J31" i="10"/>
  <c r="E14" i="10"/>
  <c r="E8" i="10" s="1"/>
  <c r="E33" i="10" s="1"/>
  <c r="E37" i="10" s="1"/>
  <c r="E35" i="10" s="1"/>
  <c r="E34" i="10" s="1"/>
  <c r="E38" i="10" s="1"/>
  <c r="I14" i="10"/>
  <c r="I8" i="10" s="1"/>
  <c r="I33" i="10" s="1"/>
  <c r="C39" i="10"/>
  <c r="G39" i="10"/>
  <c r="C45" i="10"/>
  <c r="F45" i="10" s="1"/>
  <c r="G45" i="10"/>
  <c r="E238" i="7"/>
  <c r="I73" i="7"/>
  <c r="I229" i="7"/>
  <c r="I238" i="7" s="1"/>
  <c r="E13" i="7"/>
  <c r="I61" i="7"/>
  <c r="I6" i="7" s="1"/>
  <c r="E155" i="7"/>
  <c r="E73" i="7" s="1"/>
  <c r="J233" i="7"/>
  <c r="J238" i="7" s="1"/>
  <c r="J241" i="7" s="1"/>
  <c r="I236" i="7"/>
  <c r="J61" i="7"/>
  <c r="J51" i="7"/>
  <c r="J6" i="7" s="1"/>
  <c r="E31" i="6"/>
  <c r="F17" i="6"/>
  <c r="H30" i="6"/>
  <c r="I30" i="6"/>
  <c r="I44" i="6" s="1"/>
  <c r="F31" i="6"/>
  <c r="F22" i="6"/>
  <c r="G24" i="6"/>
  <c r="F37" i="6"/>
  <c r="J39" i="6"/>
  <c r="K39" i="6" s="1"/>
  <c r="D12" i="6"/>
  <c r="D7" i="6" s="1"/>
  <c r="D30" i="6" s="1"/>
  <c r="D44" i="6" s="1"/>
  <c r="F8" i="6"/>
  <c r="F13" i="6"/>
  <c r="E21" i="6"/>
  <c r="E30" i="6" s="1"/>
  <c r="H31" i="6"/>
  <c r="H44" i="6" s="1"/>
  <c r="G32" i="6"/>
  <c r="J38" i="6"/>
  <c r="F68" i="5"/>
  <c r="C63" i="5"/>
  <c r="F63" i="5" s="1"/>
  <c r="F6" i="5"/>
  <c r="K92" i="5"/>
  <c r="K109" i="5"/>
  <c r="F18" i="5"/>
  <c r="E6" i="5"/>
  <c r="E5" i="5" s="1"/>
  <c r="E92" i="5" s="1"/>
  <c r="D63" i="5"/>
  <c r="J76" i="5"/>
  <c r="J68" i="5"/>
  <c r="G63" i="5"/>
  <c r="J63" i="5" s="1"/>
  <c r="F94" i="5"/>
  <c r="G7" i="5"/>
  <c r="F20" i="5"/>
  <c r="D25" i="5"/>
  <c r="D5" i="5" s="1"/>
  <c r="H25" i="5"/>
  <c r="H5" i="5" s="1"/>
  <c r="G27" i="5"/>
  <c r="D42" i="5"/>
  <c r="F42" i="5" s="1"/>
  <c r="H42" i="5"/>
  <c r="J42" i="5" s="1"/>
  <c r="F70" i="5"/>
  <c r="J70" i="5"/>
  <c r="F64" i="5"/>
  <c r="J64" i="5"/>
  <c r="C5" i="5"/>
  <c r="I18" i="5"/>
  <c r="C93" i="5"/>
  <c r="G93" i="5"/>
  <c r="J4" i="4"/>
  <c r="F15" i="3"/>
  <c r="K31" i="3"/>
  <c r="D24" i="3"/>
  <c r="J15" i="3"/>
  <c r="E25" i="3"/>
  <c r="C26" i="3"/>
  <c r="G26" i="3"/>
  <c r="F4" i="3"/>
  <c r="C32" i="3"/>
  <c r="F32" i="3" s="1"/>
  <c r="G32" i="3"/>
  <c r="J32" i="3" s="1"/>
  <c r="K32" i="3" s="1"/>
  <c r="J31" i="2"/>
  <c r="F31" i="2"/>
  <c r="K58" i="2"/>
  <c r="C27" i="2"/>
  <c r="G27" i="2"/>
  <c r="I31" i="2"/>
  <c r="F33" i="2"/>
  <c r="J33" i="2"/>
  <c r="K33" i="2" s="1"/>
  <c r="K31" i="2" s="1"/>
  <c r="K30" i="2" s="1"/>
  <c r="D35" i="2"/>
  <c r="D30" i="2" s="1"/>
  <c r="H35" i="2"/>
  <c r="C5" i="2"/>
  <c r="G5" i="2"/>
  <c r="C18" i="2"/>
  <c r="G18" i="2"/>
  <c r="J18" i="2" s="1"/>
  <c r="D27" i="2"/>
  <c r="D4" i="2" s="1"/>
  <c r="H27" i="2"/>
  <c r="J28" i="2"/>
  <c r="K28" i="2" s="1"/>
  <c r="C40" i="2"/>
  <c r="F40" i="2" s="1"/>
  <c r="G40" i="2"/>
  <c r="J40" i="2" s="1"/>
  <c r="L40" i="2" s="1"/>
  <c r="C47" i="2"/>
  <c r="G47" i="2"/>
  <c r="F50" i="2"/>
  <c r="J50" i="2"/>
  <c r="K50" i="2" s="1"/>
  <c r="C15" i="2"/>
  <c r="F15" i="2" s="1"/>
  <c r="G15" i="2"/>
  <c r="H49" i="2"/>
  <c r="L14" i="1"/>
  <c r="F14" i="1"/>
  <c r="M3" i="1"/>
  <c r="E9" i="1"/>
  <c r="K9" i="1"/>
  <c r="C14" i="1"/>
  <c r="C15" i="1"/>
  <c r="C25" i="1" s="1"/>
  <c r="J14" i="1"/>
  <c r="J16" i="1" s="1"/>
  <c r="D14" i="1"/>
  <c r="C9" i="1"/>
  <c r="I16" i="1" s="1"/>
  <c r="E14" i="1"/>
  <c r="L15" i="1" l="1"/>
  <c r="L25" i="1" s="1"/>
  <c r="J5" i="7"/>
  <c r="H42" i="18"/>
  <c r="F46" i="16"/>
  <c r="N3" i="1"/>
  <c r="J15" i="2"/>
  <c r="J35" i="2"/>
  <c r="D37" i="10"/>
  <c r="D35" i="10" s="1"/>
  <c r="D34" i="10" s="1"/>
  <c r="D38" i="10" s="1"/>
  <c r="G46" i="13"/>
  <c r="D34" i="14"/>
  <c r="D32" i="14" s="1"/>
  <c r="D31" i="14" s="1"/>
  <c r="D35" i="14" s="1"/>
  <c r="E36" i="17"/>
  <c r="H24" i="3"/>
  <c r="D35" i="3"/>
  <c r="H36" i="16"/>
  <c r="G34" i="18"/>
  <c r="G32" i="18" s="1"/>
  <c r="G31" i="18" s="1"/>
  <c r="G35" i="18" s="1"/>
  <c r="F9" i="1"/>
  <c r="F18" i="2"/>
  <c r="L18" i="2" s="1"/>
  <c r="I30" i="2"/>
  <c r="G12" i="6"/>
  <c r="J12" i="6" s="1"/>
  <c r="K44" i="6"/>
  <c r="I5" i="7"/>
  <c r="I239" i="7" s="1"/>
  <c r="H4" i="2"/>
  <c r="C10" i="2"/>
  <c r="F10" i="2" s="1"/>
  <c r="D61" i="2"/>
  <c r="J27" i="2"/>
  <c r="H30" i="2"/>
  <c r="J4" i="3"/>
  <c r="F32" i="6"/>
  <c r="E6" i="7"/>
  <c r="E5" i="7" s="1"/>
  <c r="J45" i="10"/>
  <c r="I37" i="10"/>
  <c r="I35" i="10" s="1"/>
  <c r="I34" i="10" s="1"/>
  <c r="I38" i="10" s="1"/>
  <c r="F34" i="18"/>
  <c r="H34" i="18" s="1"/>
  <c r="F46" i="18"/>
  <c r="H46" i="18" s="1"/>
  <c r="H47" i="18" s="1"/>
  <c r="E24" i="3"/>
  <c r="E35" i="3" s="1"/>
  <c r="F48" i="2"/>
  <c r="I87" i="22"/>
  <c r="I66" i="22"/>
  <c r="I85" i="22" s="1"/>
  <c r="F88" i="22"/>
  <c r="F66" i="22"/>
  <c r="F85" i="22" s="1"/>
  <c r="J120" i="20"/>
  <c r="H119" i="20"/>
  <c r="J94" i="20"/>
  <c r="J51" i="20"/>
  <c r="H6" i="20"/>
  <c r="J7" i="20"/>
  <c r="H133" i="20"/>
  <c r="J134" i="20"/>
  <c r="J50" i="20"/>
  <c r="J36" i="20"/>
  <c r="I35" i="20"/>
  <c r="J35" i="20" s="1"/>
  <c r="J37" i="20"/>
  <c r="J22" i="20"/>
  <c r="I21" i="20"/>
  <c r="J49" i="20"/>
  <c r="I30" i="19"/>
  <c r="I35" i="19"/>
  <c r="H8" i="19"/>
  <c r="F30" i="19"/>
  <c r="H22" i="19"/>
  <c r="C30" i="19"/>
  <c r="E30" i="19" s="1"/>
  <c r="E22" i="19"/>
  <c r="E36" i="19"/>
  <c r="C46" i="19"/>
  <c r="I30" i="18"/>
  <c r="I35" i="18"/>
  <c r="E36" i="18"/>
  <c r="C34" i="18"/>
  <c r="C46" i="18"/>
  <c r="E46" i="18" s="1"/>
  <c r="H30" i="18"/>
  <c r="F32" i="18"/>
  <c r="E22" i="18"/>
  <c r="C30" i="18"/>
  <c r="D30" i="18"/>
  <c r="D34" i="18" s="1"/>
  <c r="D32" i="18" s="1"/>
  <c r="D31" i="18" s="1"/>
  <c r="D35" i="18" s="1"/>
  <c r="H22" i="18"/>
  <c r="E30" i="17"/>
  <c r="D34" i="17"/>
  <c r="D32" i="17" s="1"/>
  <c r="D31" i="17" s="1"/>
  <c r="D35" i="17" s="1"/>
  <c r="C32" i="17"/>
  <c r="F46" i="17"/>
  <c r="H46" i="17" s="1"/>
  <c r="F34" i="17"/>
  <c r="H36" i="17"/>
  <c r="E46" i="17"/>
  <c r="I30" i="16"/>
  <c r="I35" i="16"/>
  <c r="C30" i="16"/>
  <c r="E30" i="16" s="1"/>
  <c r="E22" i="16"/>
  <c r="H30" i="16"/>
  <c r="E36" i="16"/>
  <c r="C46" i="16"/>
  <c r="G34" i="16"/>
  <c r="G32" i="16" s="1"/>
  <c r="G31" i="16" s="1"/>
  <c r="G35" i="16" s="1"/>
  <c r="H22" i="16"/>
  <c r="E46" i="15"/>
  <c r="D30" i="15"/>
  <c r="E30" i="15" s="1"/>
  <c r="E8" i="15"/>
  <c r="F46" i="15"/>
  <c r="H46" i="15" s="1"/>
  <c r="H47" i="15" s="1"/>
  <c r="H49" i="15" s="1"/>
  <c r="F34" i="15"/>
  <c r="H36" i="15"/>
  <c r="D34" i="15"/>
  <c r="D32" i="15" s="1"/>
  <c r="D31" i="15" s="1"/>
  <c r="D35" i="15" s="1"/>
  <c r="C32" i="15"/>
  <c r="I30" i="14"/>
  <c r="I35" i="14"/>
  <c r="E36" i="14"/>
  <c r="C46" i="14"/>
  <c r="E22" i="14"/>
  <c r="C30" i="14"/>
  <c r="E30" i="14" s="1"/>
  <c r="H22" i="14"/>
  <c r="F30" i="14"/>
  <c r="H30" i="14" s="1"/>
  <c r="F46" i="14"/>
  <c r="I30" i="13"/>
  <c r="I35" i="13"/>
  <c r="F32" i="13"/>
  <c r="F46" i="13"/>
  <c r="D34" i="13"/>
  <c r="D32" i="13" s="1"/>
  <c r="D31" i="13" s="1"/>
  <c r="D35" i="13" s="1"/>
  <c r="E22" i="13"/>
  <c r="C30" i="13"/>
  <c r="E30" i="13" s="1"/>
  <c r="E36" i="13"/>
  <c r="C46" i="13"/>
  <c r="E46" i="13" s="1"/>
  <c r="C34" i="13"/>
  <c r="G34" i="13"/>
  <c r="G32" i="13" s="1"/>
  <c r="G31" i="13" s="1"/>
  <c r="G35" i="13" s="1"/>
  <c r="E8" i="12"/>
  <c r="C30" i="12"/>
  <c r="I35" i="12"/>
  <c r="I30" i="12"/>
  <c r="C46" i="12"/>
  <c r="E36" i="12"/>
  <c r="H8" i="12"/>
  <c r="F46" i="12"/>
  <c r="H36" i="12"/>
  <c r="F30" i="12"/>
  <c r="G34" i="12"/>
  <c r="G32" i="12" s="1"/>
  <c r="G31" i="12" s="1"/>
  <c r="G35" i="12" s="1"/>
  <c r="F14" i="10"/>
  <c r="C8" i="10"/>
  <c r="G49" i="10"/>
  <c r="J49" i="10" s="1"/>
  <c r="J39" i="10"/>
  <c r="F39" i="10"/>
  <c r="C49" i="10"/>
  <c r="F49" i="10" s="1"/>
  <c r="J14" i="10"/>
  <c r="G8" i="10"/>
  <c r="I240" i="7"/>
  <c r="G21" i="6"/>
  <c r="J24" i="6"/>
  <c r="F21" i="6"/>
  <c r="G7" i="6"/>
  <c r="J7" i="6" s="1"/>
  <c r="F30" i="6"/>
  <c r="E44" i="6"/>
  <c r="F44" i="6" s="1"/>
  <c r="F47" i="6" s="1"/>
  <c r="J32" i="6"/>
  <c r="G31" i="6"/>
  <c r="F7" i="6"/>
  <c r="F12" i="6"/>
  <c r="H92" i="5"/>
  <c r="H109" i="5"/>
  <c r="D92" i="5"/>
  <c r="D109" i="5"/>
  <c r="J93" i="5"/>
  <c r="F93" i="5"/>
  <c r="C109" i="5"/>
  <c r="F109" i="5" s="1"/>
  <c r="I6" i="5"/>
  <c r="I5" i="5" s="1"/>
  <c r="J18" i="5"/>
  <c r="J27" i="5"/>
  <c r="G25" i="5"/>
  <c r="J25" i="5" s="1"/>
  <c r="J7" i="5"/>
  <c r="G6" i="5"/>
  <c r="F25" i="5"/>
  <c r="C92" i="5"/>
  <c r="F92" i="5" s="1"/>
  <c r="F5" i="5"/>
  <c r="E109" i="5"/>
  <c r="J26" i="3"/>
  <c r="G25" i="3"/>
  <c r="F26" i="3"/>
  <c r="C25" i="3"/>
  <c r="F24" i="3"/>
  <c r="D46" i="2"/>
  <c r="F35" i="2"/>
  <c r="G30" i="2"/>
  <c r="J30" i="2" s="1"/>
  <c r="L30" i="2" s="1"/>
  <c r="J5" i="2"/>
  <c r="F27" i="2"/>
  <c r="F5" i="2"/>
  <c r="K46" i="2"/>
  <c r="F30" i="2"/>
  <c r="H48" i="2"/>
  <c r="L31" i="2"/>
  <c r="F47" i="2"/>
  <c r="G10" i="2"/>
  <c r="J10" i="2" s="1"/>
  <c r="E61" i="2"/>
  <c r="J49" i="2"/>
  <c r="K49" i="2" s="1"/>
  <c r="K48" i="2" s="1"/>
  <c r="K47" i="2" s="1"/>
  <c r="K61" i="2" s="1"/>
  <c r="L16" i="1"/>
  <c r="F16" i="1"/>
  <c r="C16" i="1"/>
  <c r="D16" i="1"/>
  <c r="K16" i="1"/>
  <c r="E16" i="1"/>
  <c r="L26" i="1"/>
  <c r="C4" i="2" l="1"/>
  <c r="C61" i="2" s="1"/>
  <c r="F61" i="2" s="1"/>
  <c r="H46" i="2"/>
  <c r="I61" i="2"/>
  <c r="I46" i="2"/>
  <c r="L10" i="2"/>
  <c r="L35" i="2"/>
  <c r="E34" i="17"/>
  <c r="L27" i="2"/>
  <c r="H46" i="13"/>
  <c r="H35" i="3"/>
  <c r="J24" i="3"/>
  <c r="F34" i="16"/>
  <c r="F32" i="16" s="1"/>
  <c r="H32" i="16" s="1"/>
  <c r="H46" i="16"/>
  <c r="J21" i="20"/>
  <c r="I5" i="20"/>
  <c r="K6" i="20"/>
  <c r="H5" i="20"/>
  <c r="K5" i="20" s="1"/>
  <c r="J6" i="20"/>
  <c r="H118" i="20"/>
  <c r="J119" i="20"/>
  <c r="H132" i="20"/>
  <c r="J133" i="20"/>
  <c r="E46" i="19"/>
  <c r="H47" i="19" s="1"/>
  <c r="C34" i="19"/>
  <c r="H30" i="19"/>
  <c r="F34" i="19"/>
  <c r="E30" i="18"/>
  <c r="F31" i="18"/>
  <c r="H32" i="18"/>
  <c r="C32" i="18"/>
  <c r="E34" i="18"/>
  <c r="E32" i="17"/>
  <c r="C31" i="17"/>
  <c r="H34" i="17"/>
  <c r="F32" i="17"/>
  <c r="H47" i="17"/>
  <c r="E46" i="16"/>
  <c r="H47" i="16" s="1"/>
  <c r="C34" i="16"/>
  <c r="F31" i="16"/>
  <c r="E32" i="15"/>
  <c r="C31" i="15"/>
  <c r="E34" i="15"/>
  <c r="H34" i="15"/>
  <c r="F32" i="15"/>
  <c r="E46" i="14"/>
  <c r="C34" i="14"/>
  <c r="F34" i="14"/>
  <c r="H46" i="14"/>
  <c r="C32" i="13"/>
  <c r="E34" i="13"/>
  <c r="F31" i="13"/>
  <c r="H32" i="13"/>
  <c r="H34" i="13"/>
  <c r="H47" i="13"/>
  <c r="E30" i="12"/>
  <c r="E46" i="12"/>
  <c r="C34" i="12"/>
  <c r="H30" i="12"/>
  <c r="H46" i="12"/>
  <c r="F34" i="12"/>
  <c r="J50" i="10"/>
  <c r="J8" i="10"/>
  <c r="G33" i="10"/>
  <c r="F8" i="10"/>
  <c r="C33" i="10"/>
  <c r="J31" i="6"/>
  <c r="G30" i="6"/>
  <c r="J30" i="6" s="1"/>
  <c r="J21" i="6"/>
  <c r="J6" i="5"/>
  <c r="G5" i="5"/>
  <c r="I92" i="5"/>
  <c r="I109" i="5"/>
  <c r="F25" i="3"/>
  <c r="C35" i="3"/>
  <c r="F35" i="3" s="1"/>
  <c r="J25" i="3"/>
  <c r="G35" i="3"/>
  <c r="J35" i="3" s="1"/>
  <c r="H47" i="2"/>
  <c r="J48" i="2"/>
  <c r="L48" i="2" s="1"/>
  <c r="G4" i="2"/>
  <c r="G61" i="2"/>
  <c r="F4" i="2"/>
  <c r="C46" i="2"/>
  <c r="F46" i="2" s="1"/>
  <c r="L5" i="2"/>
  <c r="J36" i="3" l="1"/>
  <c r="H47" i="14"/>
  <c r="H34" i="16"/>
  <c r="J5" i="20"/>
  <c r="K132" i="20"/>
  <c r="J132" i="20"/>
  <c r="K118" i="20"/>
  <c r="J118" i="20"/>
  <c r="F32" i="19"/>
  <c r="H34" i="19"/>
  <c r="C32" i="19"/>
  <c r="E34" i="19"/>
  <c r="E32" i="18"/>
  <c r="C31" i="18"/>
  <c r="F35" i="18"/>
  <c r="H35" i="18" s="1"/>
  <c r="H31" i="18"/>
  <c r="H32" i="17"/>
  <c r="F31" i="17"/>
  <c r="C35" i="17"/>
  <c r="E35" i="17" s="1"/>
  <c r="E31" i="17"/>
  <c r="F35" i="16"/>
  <c r="H35" i="16" s="1"/>
  <c r="H31" i="16"/>
  <c r="C32" i="16"/>
  <c r="E34" i="16"/>
  <c r="C35" i="15"/>
  <c r="E35" i="15" s="1"/>
  <c r="E31" i="15"/>
  <c r="H32" i="15"/>
  <c r="F31" i="15"/>
  <c r="C32" i="14"/>
  <c r="E34" i="14"/>
  <c r="F32" i="14"/>
  <c r="H34" i="14"/>
  <c r="F35" i="13"/>
  <c r="H35" i="13" s="1"/>
  <c r="H31" i="13"/>
  <c r="E32" i="13"/>
  <c r="C31" i="13"/>
  <c r="F32" i="12"/>
  <c r="H34" i="12"/>
  <c r="E34" i="12"/>
  <c r="C32" i="12"/>
  <c r="H47" i="12"/>
  <c r="J33" i="10"/>
  <c r="G37" i="10"/>
  <c r="F33" i="10"/>
  <c r="C37" i="10"/>
  <c r="G44" i="6"/>
  <c r="J44" i="6" s="1"/>
  <c r="G92" i="5"/>
  <c r="J92" i="5" s="1"/>
  <c r="J5" i="5"/>
  <c r="G109" i="5"/>
  <c r="J109" i="5" s="1"/>
  <c r="J4" i="2"/>
  <c r="L4" i="2" s="1"/>
  <c r="G46" i="2"/>
  <c r="J46" i="2" s="1"/>
  <c r="L46" i="2" s="1"/>
  <c r="H61" i="2"/>
  <c r="J61" i="2" s="1"/>
  <c r="J47" i="2"/>
  <c r="L47" i="2" s="1"/>
  <c r="E32" i="19" l="1"/>
  <c r="C31" i="19"/>
  <c r="F31" i="19"/>
  <c r="H32" i="19"/>
  <c r="C35" i="18"/>
  <c r="E35" i="18" s="1"/>
  <c r="E31" i="18"/>
  <c r="F35" i="17"/>
  <c r="H35" i="17" s="1"/>
  <c r="H31" i="17"/>
  <c r="E32" i="16"/>
  <c r="C31" i="16"/>
  <c r="F35" i="15"/>
  <c r="H35" i="15" s="1"/>
  <c r="H31" i="15"/>
  <c r="F31" i="14"/>
  <c r="H32" i="14"/>
  <c r="C31" i="14"/>
  <c r="E32" i="14"/>
  <c r="C35" i="13"/>
  <c r="E35" i="13" s="1"/>
  <c r="E31" i="13"/>
  <c r="E32" i="12"/>
  <c r="C31" i="12"/>
  <c r="H32" i="12"/>
  <c r="F31" i="12"/>
  <c r="G35" i="10"/>
  <c r="J37" i="10"/>
  <c r="C35" i="10"/>
  <c r="F37" i="10"/>
  <c r="J47" i="6"/>
  <c r="J45" i="6"/>
  <c r="J111" i="5"/>
  <c r="J110" i="5"/>
  <c r="J62" i="2"/>
  <c r="L61" i="2"/>
  <c r="F35" i="19" l="1"/>
  <c r="H35" i="19" s="1"/>
  <c r="H31" i="19"/>
  <c r="C35" i="19"/>
  <c r="E35" i="19" s="1"/>
  <c r="E31" i="19"/>
  <c r="C35" i="16"/>
  <c r="E35" i="16" s="1"/>
  <c r="E31" i="16"/>
  <c r="C35" i="14"/>
  <c r="E35" i="14" s="1"/>
  <c r="E31" i="14"/>
  <c r="F35" i="14"/>
  <c r="H35" i="14" s="1"/>
  <c r="H31" i="14"/>
  <c r="H31" i="12"/>
  <c r="F35" i="12"/>
  <c r="H35" i="12" s="1"/>
  <c r="E31" i="12"/>
  <c r="C35" i="12"/>
  <c r="E35" i="12" s="1"/>
  <c r="F35" i="10"/>
  <c r="C34" i="10"/>
  <c r="G34" i="10"/>
  <c r="J35" i="10"/>
  <c r="J34" i="10" l="1"/>
  <c r="G38" i="10"/>
  <c r="J38" i="10" s="1"/>
  <c r="C38" i="10"/>
  <c r="F38" i="10" s="1"/>
  <c r="F3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D21" authorId="0" shapeId="0" xr:uid="{6ABEFCCD-5134-43AF-BEB9-16055897A7FF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H21" authorId="0" shapeId="0" xr:uid="{7C9C674C-407D-4B7B-A349-A393F6071F1C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</commentList>
</comments>
</file>

<file path=xl/sharedStrings.xml><?xml version="1.0" encoding="utf-8"?>
<sst xmlns="http://schemas.openxmlformats.org/spreadsheetml/2006/main" count="2334" uniqueCount="780">
  <si>
    <t>Adatok forintban</t>
  </si>
  <si>
    <t>Sor-szám</t>
  </si>
  <si>
    <t>Bevételek</t>
  </si>
  <si>
    <t>2019. évi eredeti előirányzat</t>
  </si>
  <si>
    <t xml:space="preserve">2019. évi módosított előirányzat </t>
  </si>
  <si>
    <t>2019. évi várható teljesítés</t>
  </si>
  <si>
    <t>2020. évi eredeti előirányzat</t>
  </si>
  <si>
    <t>Kiadások</t>
  </si>
  <si>
    <t>I.</t>
  </si>
  <si>
    <t>MŰKÖDÉSI KÖLTSÉGVETÉSI BEVÉTELEK</t>
  </si>
  <si>
    <t>MŰKÖDÉSI KÖLTSÉGVETÉSI KIADÁS</t>
  </si>
  <si>
    <t>1.</t>
  </si>
  <si>
    <t>Működési célú támogatások államháztartáson belülről</t>
  </si>
  <si>
    <t>Személyi juttatások</t>
  </si>
  <si>
    <t>2.</t>
  </si>
  <si>
    <t>Közhatalmi bevételek</t>
  </si>
  <si>
    <t>Munkaadókat terhelő járulékok és szociális hozzájárulási adó</t>
  </si>
  <si>
    <t>3.</t>
  </si>
  <si>
    <t>Működési bevételek</t>
  </si>
  <si>
    <t>Dologi kiadások</t>
  </si>
  <si>
    <t>4.</t>
  </si>
  <si>
    <t>Működési célú átvett pénzeszközök</t>
  </si>
  <si>
    <t>Ellátottak pénzbeli juttatásai</t>
  </si>
  <si>
    <t>5.</t>
  </si>
  <si>
    <t>Egyéb működési célú kiadások</t>
  </si>
  <si>
    <t>MŰKÖDÉSI KÖLTSÉGVETÉSI HIÁNY</t>
  </si>
  <si>
    <t>MŰKÖDÉSI KÖLTSÉGVETÉSI TÖBBLET</t>
  </si>
  <si>
    <t>II.</t>
  </si>
  <si>
    <t>FELHALMOZÁSI KÖLTSÉGVETÉSI BEVÉTELEK</t>
  </si>
  <si>
    <t>FELHALMOZÁSI KÖLTSÉGVETÉSI KIADÁS</t>
  </si>
  <si>
    <t>Felhalmozási célú támogatások államháztartáson belülről</t>
  </si>
  <si>
    <t>Beruházások</t>
  </si>
  <si>
    <t>Felhalmozási bevételek</t>
  </si>
  <si>
    <t>Felújítások</t>
  </si>
  <si>
    <t>Felhalmozási célú átvett pénzeszközök</t>
  </si>
  <si>
    <t>Egyéb felhalmozási célú kiadások</t>
  </si>
  <si>
    <t>FELHALMOZÁSI KÖLTSÉGVETÉSI HIÁNY</t>
  </si>
  <si>
    <t>FELHALMOZÁSI KÖLTSÉGVETÉSI TÖBBLET</t>
  </si>
  <si>
    <t>KÖLTSÉGVETÉSI BEVÉTELEK ÖSSZESEN</t>
  </si>
  <si>
    <t>KÖLTSÉGVETÉSI KIADÁSOK ÖSSZESEN</t>
  </si>
  <si>
    <t>KÖLTSÉGVETÉSI HIÁNY ÖSSZESEN</t>
  </si>
  <si>
    <t>KÖLTSÉGVETÉSI TÖBBLET ÖSSZESEN</t>
  </si>
  <si>
    <t>III.</t>
  </si>
  <si>
    <t>FINANSZÍROZÁSI BEVÉTELEK</t>
  </si>
  <si>
    <t>FINANSZÍROZÁSI KIADÁSOK</t>
  </si>
  <si>
    <t>MŰKÖDÉSI FINANSZÍROZÁSI BEVÉTELEK</t>
  </si>
  <si>
    <t>MŰKÖDÉSI FINANSZÍROZÁSI KIADÁSOK</t>
  </si>
  <si>
    <t>Maradvány igénybevétele</t>
  </si>
  <si>
    <t>Betétek megszüntetése</t>
  </si>
  <si>
    <t>Betétek lekötése</t>
  </si>
  <si>
    <t>Államháztartáson belüli megelőlegezés</t>
  </si>
  <si>
    <t>FELHALMOZÁSI FINANSZÍROZÁSI BEVÉTELEK</t>
  </si>
  <si>
    <t>FELHALMOZÁSI FINANSZÍROZÁSI KIADÁSOK</t>
  </si>
  <si>
    <t>Belföldi finanszírozás bevételei</t>
  </si>
  <si>
    <t>Belföldi finanszírozás kiadásai</t>
  </si>
  <si>
    <t>Külföldi finanszírozás bevételei</t>
  </si>
  <si>
    <t>Külföldi finanszírozás kiadásai</t>
  </si>
  <si>
    <t>TÁRGYÉVI BEVÉTELEK ÖSSZESEN</t>
  </si>
  <si>
    <t>TÁRGYÉVI KIADÁSOK ÖSSZESEN</t>
  </si>
  <si>
    <t>2020. évi módosított előirányzat I.</t>
  </si>
  <si>
    <t xml:space="preserve">2020.05.30-i teljesítés </t>
  </si>
  <si>
    <t xml:space="preserve">Kötelező feladatok </t>
  </si>
  <si>
    <t xml:space="preserve">Önként vállalt feladatok </t>
  </si>
  <si>
    <t xml:space="preserve">Államigaz-gatási feladatok </t>
  </si>
  <si>
    <t>Összesen</t>
  </si>
  <si>
    <t>1.1. Önkormányzatok működési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</si>
  <si>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</si>
  <si>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</si>
  <si>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</si>
  <si>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Jövedelemadók</t>
  </si>
  <si>
    <t>2.1. Vagyoni típusú adók</t>
  </si>
  <si>
    <t>2.2. Termékek és szolgáltatások adói</t>
  </si>
  <si>
    <t>2.3. Egyéb adók</t>
  </si>
  <si>
    <t>2.4. Egyéb közhatalmi bevételek</t>
  </si>
  <si>
    <t>Igazgatási szolgáltatási díjak</t>
  </si>
  <si>
    <t>Más közhatalmi bevételek</t>
  </si>
  <si>
    <t>3.1. Készletértékesítés ellenértéke</t>
  </si>
  <si>
    <t>3.2. Szolgáltatások ellenértéke</t>
  </si>
  <si>
    <t>3.3. Tulajdonosi bevételek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</si>
  <si>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</si>
  <si>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</si>
  <si>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</si>
  <si>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</si>
  <si>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</si>
  <si>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</si>
  <si>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</si>
  <si>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</si>
  <si>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</si>
  <si>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</si>
  <si>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>2.1. Immateriális javak értékesítése</t>
  </si>
  <si>
    <t xml:space="preserve">2.2. Ingatlanok értékesítése 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</si>
  <si>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</si>
  <si>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</si>
  <si>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</si>
  <si>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nemzetközi szervezetektől</t>
  </si>
  <si>
    <t>3.3. Felhalmozási célú kölcsönök visszatérülése államháztartáson kívülről</t>
  </si>
  <si>
    <t>3.4. Egyéb felhalmozási célú átvett pénzeszközök</t>
  </si>
  <si>
    <t xml:space="preserve">3.5.Felhalmozási c. garancia- és kezességváll-ból szárm. megtér.  Államháztartáson kivülről  </t>
  </si>
  <si>
    <t>1.1. Hitel-, kölcsönfelvétel államháztartáson kívülről</t>
  </si>
  <si>
    <t>Hosszú lejáratú hitel, kölcsön felvétele</t>
  </si>
  <si>
    <t>Hosszú lejáratú hitel, kölcsön felvétele 2018-as engedélyeztetéssel</t>
  </si>
  <si>
    <t>Likviditási hitel, kölcsön felvétele</t>
  </si>
  <si>
    <t>Rövid lejáratú hitel, kölcsön felvétele</t>
  </si>
  <si>
    <t>1.2. Államháztartáson belüli megelőlegezés</t>
  </si>
  <si>
    <t>1.3. Maradvány igénybevétele</t>
  </si>
  <si>
    <t>1.4. Irányító szervi támogatás</t>
  </si>
  <si>
    <t>1.5. Betétek megszüntetése</t>
  </si>
  <si>
    <t>2.1. Külföldi értékpapírok bevételei</t>
  </si>
  <si>
    <t>2.2. Külföldi hitel, kölcsön felvétele</t>
  </si>
  <si>
    <t>MŰKÖDÉSI KÖLTSÉGVETÉSI KIADÁSOK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</si>
  <si>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</si>
  <si>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</si>
  <si>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</si>
  <si>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</si>
  <si>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</si>
  <si>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FELHALMOZÁSI KÖLTSÉGVETÉSI KIADÁSOK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</si>
  <si>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</si>
  <si>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</si>
  <si>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</si>
  <si>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</si>
  <si>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</si>
  <si>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</si>
  <si>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1.2. Belföldi értékpapírok kiadásai</t>
  </si>
  <si>
    <t>1.3. Államháztartáson belüli megelőlegezés visszafizetése</t>
  </si>
  <si>
    <t>1.4. Pénzeszközök betétként elhelyezése</t>
  </si>
  <si>
    <t>1.5. Pénzügyi lízing kiadásai</t>
  </si>
  <si>
    <t>2.1. Külföldi értékpapírok kiadásai</t>
  </si>
  <si>
    <t>2.2. Külföldi hitel, kölcsön törlesztése</t>
  </si>
  <si>
    <t>Megnevezés</t>
  </si>
  <si>
    <t xml:space="preserve">Eng. létszám </t>
  </si>
  <si>
    <t xml:space="preserve">Közfogl. Létszám </t>
  </si>
  <si>
    <t xml:space="preserve">Ösztöndíjas fogl. létszám </t>
  </si>
  <si>
    <t>Kiadási előirányzat</t>
  </si>
  <si>
    <t>FELADATOK ÖSSZESEN</t>
  </si>
  <si>
    <t>KÖTELEZŐ FELADATOK</t>
  </si>
  <si>
    <t>I/1</t>
  </si>
  <si>
    <t>Településrendezés, településfejlesztés</t>
  </si>
  <si>
    <t>I/2</t>
  </si>
  <si>
    <t>Közparkok fenntartása, kialakítása</t>
  </si>
  <si>
    <t>I/3</t>
  </si>
  <si>
    <t>Egészségügyi alapellátás</t>
  </si>
  <si>
    <t>I/4</t>
  </si>
  <si>
    <t>Védőnői szolgálat</t>
  </si>
  <si>
    <t>I/5</t>
  </si>
  <si>
    <t>Időskorúak nappali ellátása</t>
  </si>
  <si>
    <t>I/6</t>
  </si>
  <si>
    <t>Fogyatékos személyeK nappali ellátása</t>
  </si>
  <si>
    <t>I/7</t>
  </si>
  <si>
    <t>Választás, népszavazás</t>
  </si>
  <si>
    <t>I/8</t>
  </si>
  <si>
    <t>Lakás- és helyiséggazdálkodás</t>
  </si>
  <si>
    <t>I/9</t>
  </si>
  <si>
    <t>Környezetegészségügy</t>
  </si>
  <si>
    <t>I/10</t>
  </si>
  <si>
    <t>Helyi környezet- és természetvédelem</t>
  </si>
  <si>
    <t>I/11</t>
  </si>
  <si>
    <t>Egyéb településüzemeltetési feladatok</t>
  </si>
  <si>
    <t>I/12</t>
  </si>
  <si>
    <t>Fejlesztési projekt feladatok</t>
  </si>
  <si>
    <t>I/13</t>
  </si>
  <si>
    <t>Nemzeti ünnepek programjai</t>
  </si>
  <si>
    <t>I/14</t>
  </si>
  <si>
    <t>Segélyek</t>
  </si>
  <si>
    <t>I/15</t>
  </si>
  <si>
    <t>Önkormányzati igazgatási feladatok</t>
  </si>
  <si>
    <t>I/16</t>
  </si>
  <si>
    <t>Közfoglalkoztatás</t>
  </si>
  <si>
    <t>I/17</t>
  </si>
  <si>
    <t>Zöldterület kezelés</t>
  </si>
  <si>
    <t>I/18</t>
  </si>
  <si>
    <t>Települési hulladék begyűjtése</t>
  </si>
  <si>
    <t>I/19</t>
  </si>
  <si>
    <t>Közvilágítás</t>
  </si>
  <si>
    <t>I/20</t>
  </si>
  <si>
    <t>Közutak, járdák üzemeltetése, fenntartása</t>
  </si>
  <si>
    <t>I/21</t>
  </si>
  <si>
    <t>Temető fenntartás</t>
  </si>
  <si>
    <t>I/22</t>
  </si>
  <si>
    <t>Orvosi rendelők fenntartása</t>
  </si>
  <si>
    <t>I/23</t>
  </si>
  <si>
    <t>Sportpálya működtetése</t>
  </si>
  <si>
    <t>I/24</t>
  </si>
  <si>
    <t>Iskolai étkeztetés</t>
  </si>
  <si>
    <t>I/25</t>
  </si>
  <si>
    <t>Óvodai nevelés</t>
  </si>
  <si>
    <t>I/26</t>
  </si>
  <si>
    <t>Óvodai étkeztetés</t>
  </si>
  <si>
    <t>I/27</t>
  </si>
  <si>
    <t>Közművelődési tevékenységek</t>
  </si>
  <si>
    <t>I/28</t>
  </si>
  <si>
    <t>Közművelődési intézmények működtetése</t>
  </si>
  <si>
    <t>I/29</t>
  </si>
  <si>
    <t>Könyvtári szolgáltatások</t>
  </si>
  <si>
    <t>I/30</t>
  </si>
  <si>
    <t>Könyvtári állomány gyarapítása feladat kiadásai</t>
  </si>
  <si>
    <t>I/31</t>
  </si>
  <si>
    <t>Családsegítés</t>
  </si>
  <si>
    <t>I/32</t>
  </si>
  <si>
    <t>Házi segítségnyújtás</t>
  </si>
  <si>
    <t>I/33</t>
  </si>
  <si>
    <t>Szociális étkeztetés</t>
  </si>
  <si>
    <t>I/34</t>
  </si>
  <si>
    <t>Bölcsődei ellátás</t>
  </si>
  <si>
    <t>I/35</t>
  </si>
  <si>
    <t>Bölcsődei étkeztetés</t>
  </si>
  <si>
    <t>ÖNKÉNT VÁLLALT FELADATOK</t>
  </si>
  <si>
    <t>II/1</t>
  </si>
  <si>
    <t>Járóbeteg szakellátás - nőgyógyászat</t>
  </si>
  <si>
    <t>II/2</t>
  </si>
  <si>
    <t>Kerékpárutak tervezése, kivitelezése</t>
  </si>
  <si>
    <t>II/3</t>
  </si>
  <si>
    <t>Ifjúsági Önkormányzat</t>
  </si>
  <si>
    <t>II/4</t>
  </si>
  <si>
    <t>Bursa Hungarica felsőokt ösztöndíj</t>
  </si>
  <si>
    <t>II/5</t>
  </si>
  <si>
    <t>Elhelyezés családok átmeneti otthonában</t>
  </si>
  <si>
    <t>II/6</t>
  </si>
  <si>
    <t>Gyermekek átmeneti otthona</t>
  </si>
  <si>
    <t>II/7</t>
  </si>
  <si>
    <t>Duna Szimfonikus Zenekar hangversenysor.</t>
  </si>
  <si>
    <t>II/8</t>
  </si>
  <si>
    <t>Kábítószerellenes Egyeztető Fórum</t>
  </si>
  <si>
    <t>II/9</t>
  </si>
  <si>
    <t>Korai fejlesztés, gondozás</t>
  </si>
  <si>
    <t>II/10</t>
  </si>
  <si>
    <t>Könyvvizsgálat</t>
  </si>
  <si>
    <t>II/11</t>
  </si>
  <si>
    <t>Lovas járőrszolgálat</t>
  </si>
  <si>
    <t>II/12</t>
  </si>
  <si>
    <t>Betegszállítás</t>
  </si>
  <si>
    <t>II/13</t>
  </si>
  <si>
    <t>Tervtanács</t>
  </si>
  <si>
    <t>II/14</t>
  </si>
  <si>
    <t>Médiaszolgáltatások</t>
  </si>
  <si>
    <t>II/15</t>
  </si>
  <si>
    <t>Jelzőrendszeres házi segítségnyújtás, támogató szolgálat</t>
  </si>
  <si>
    <t>II/16</t>
  </si>
  <si>
    <t xml:space="preserve">Rendőrség támogatása </t>
  </si>
  <si>
    <t>II/17</t>
  </si>
  <si>
    <t>TNÖ  támogatása</t>
  </si>
  <si>
    <t>II/18</t>
  </si>
  <si>
    <t>CNÖ támogatása</t>
  </si>
  <si>
    <t>II/19</t>
  </si>
  <si>
    <t>RNÖ támogatása</t>
  </si>
  <si>
    <t>II/20</t>
  </si>
  <si>
    <t>Orvosok, fogorvosok támogatása</t>
  </si>
  <si>
    <t>II/21</t>
  </si>
  <si>
    <t>Városőrség támogatása</t>
  </si>
  <si>
    <t>II/22</t>
  </si>
  <si>
    <t>Hegyőrség támogatása</t>
  </si>
  <si>
    <t>II/23</t>
  </si>
  <si>
    <t>VOLÁN támogatása</t>
  </si>
  <si>
    <t>II/24</t>
  </si>
  <si>
    <t>OMI támogatása</t>
  </si>
  <si>
    <t>II/25</t>
  </si>
  <si>
    <t>Civil szervezetek támogatása</t>
  </si>
  <si>
    <t>II/26</t>
  </si>
  <si>
    <t>Egyházak támogatása</t>
  </si>
  <si>
    <t>II/27</t>
  </si>
  <si>
    <t>Sportszervezetek támogatása</t>
  </si>
  <si>
    <t>II/27.1</t>
  </si>
  <si>
    <t>T-Bálint Labdarugó Akadémia Sportegyesület támogatása</t>
  </si>
  <si>
    <t>II/28</t>
  </si>
  <si>
    <t>PR-Evolution Dance Company támogatása</t>
  </si>
  <si>
    <t>II/29</t>
  </si>
  <si>
    <t>Gyermekek egyéb napközbeni ellátása</t>
  </si>
  <si>
    <t>II/30</t>
  </si>
  <si>
    <t>Segélyek - önként vállalt</t>
  </si>
  <si>
    <t>II/31</t>
  </si>
  <si>
    <t>Egyéb önként vállalt kiadások</t>
  </si>
  <si>
    <t>II/32</t>
  </si>
  <si>
    <t>Egyéb fejlesztési projekt feladatok</t>
  </si>
  <si>
    <t>II/33</t>
  </si>
  <si>
    <t>Városrendészet (közterület felügyelet, mezei őrszolgálat)</t>
  </si>
  <si>
    <t>II/34</t>
  </si>
  <si>
    <t>Pedagógus ösztöndíj</t>
  </si>
  <si>
    <t>II/35</t>
  </si>
  <si>
    <t>Pályázatok</t>
  </si>
  <si>
    <t>II/36</t>
  </si>
  <si>
    <t>Foglalkoztatottak részére csoportos egészségbiztosítás</t>
  </si>
  <si>
    <t>II/37</t>
  </si>
  <si>
    <t>Múzeumi kiállítási tevékenység (Falumúzeum)</t>
  </si>
  <si>
    <t>II/38</t>
  </si>
  <si>
    <t>Rendezvények</t>
  </si>
  <si>
    <t>II/39</t>
  </si>
  <si>
    <t>Sport Kft. Működtetése</t>
  </si>
  <si>
    <t>II/40</t>
  </si>
  <si>
    <t xml:space="preserve">Kedvezményes oltás biztosítása </t>
  </si>
  <si>
    <t>II/41</t>
  </si>
  <si>
    <t xml:space="preserve">KAB-ME-18-KMR pályázat </t>
  </si>
  <si>
    <t>II/42</t>
  </si>
  <si>
    <t>Mesél a múlt - Törökbálinti pórtrék című kötet megjelenítése</t>
  </si>
  <si>
    <t>II/43</t>
  </si>
  <si>
    <t>Idősek Tanácsa</t>
  </si>
  <si>
    <t>II/44</t>
  </si>
  <si>
    <t>Önkormányzatiság 30 éves jubileuma</t>
  </si>
  <si>
    <t>II/45</t>
  </si>
  <si>
    <t>COVID-19 védekezéssel kapcsolatos kiadások</t>
  </si>
  <si>
    <t>ÁLLAMIGAZGATÁSI FELADATOK</t>
  </si>
  <si>
    <t>III/1</t>
  </si>
  <si>
    <t>Jegyzői hatáskörbe tartozó segélyek</t>
  </si>
  <si>
    <t>III/2</t>
  </si>
  <si>
    <t>Egyéb államigazgatási feladatok</t>
  </si>
  <si>
    <t>IV.</t>
  </si>
  <si>
    <t>IV/1.</t>
  </si>
  <si>
    <t>Hiteltörlesztés</t>
  </si>
  <si>
    <t>IV/2.</t>
  </si>
  <si>
    <t>Pénzeszközök betétként elhelyezése</t>
  </si>
  <si>
    <t>IV/3.</t>
  </si>
  <si>
    <t>Államháztartáson belüli megelőlegezések visszafizetése</t>
  </si>
  <si>
    <t>Cím:</t>
  </si>
  <si>
    <t>1. Önkormányzat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</si>
  <si>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</si>
  <si>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</si>
  <si>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</si>
  <si>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</si>
  <si>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</si>
  <si>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Egyéb működési célú központi támogatás</t>
  </si>
  <si>
    <t>Helyi önkormányzatok kiegészítő támogatásai</t>
  </si>
  <si>
    <t xml:space="preserve">Elszámolásból származó bevételek </t>
  </si>
  <si>
    <t>Társadalombiztosítás pénzügyi alapjaiból (NEAK támogatás)</t>
  </si>
  <si>
    <t>Központi költségvetési szervtől</t>
  </si>
  <si>
    <t>- Mezőőri támogatás</t>
  </si>
  <si>
    <t>- Közfoglalkoztatás támogatása</t>
  </si>
  <si>
    <t>Fejezeti kezelésű előirányzatból</t>
  </si>
  <si>
    <t>Nemzetiségi önkormányzattól</t>
  </si>
  <si>
    <t>Építményadó</t>
  </si>
  <si>
    <t>Telekadó</t>
  </si>
  <si>
    <t>Helyi iparűzési adó</t>
  </si>
  <si>
    <t>Gépjárműadó</t>
  </si>
  <si>
    <t>Talajterhelési díj</t>
  </si>
  <si>
    <t>Idegenforgalmi adó</t>
  </si>
  <si>
    <t>Egyéb adóbevételek</t>
  </si>
  <si>
    <t>Környezetvédelmi bírság</t>
  </si>
  <si>
    <t>Adóbírság</t>
  </si>
  <si>
    <t>Pótlékok, közhatalmi tevékenység egyéb bevételei</t>
  </si>
  <si>
    <t>Továbbszámlázott szolgáltatások bevétele</t>
  </si>
  <si>
    <t>Egyéb szolgáltatások bevétele</t>
  </si>
  <si>
    <t>Közterület használat</t>
  </si>
  <si>
    <t>ÉTV bérleti díj</t>
  </si>
  <si>
    <t>Egyéb bérleti díj</t>
  </si>
  <si>
    <t xml:space="preserve">Törökbálintért közalapítvány </t>
  </si>
  <si>
    <t>Önkormányzati lakás értékesítés</t>
  </si>
  <si>
    <t>Telekértékesítés</t>
  </si>
  <si>
    <t>Egyéb ingatlan értékesítés</t>
  </si>
  <si>
    <t>3.2. Felhalmozási célú támogatások, kölcsönök visszatérülése kormányoktól, más nemzetközi szervezetektől</t>
  </si>
  <si>
    <t>Lakáscélú hitel visszafizetése</t>
  </si>
  <si>
    <t>Munkáltatói hitel visszafizetése</t>
  </si>
  <si>
    <t>Egyéb kölcsön visszafizetése (csatornabekötésre adott, egyéb)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</si>
  <si>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</si>
  <si>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</si>
  <si>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</si>
  <si>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</si>
  <si>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180/2017.(IX.21.)ÖK</t>
  </si>
  <si>
    <t xml:space="preserve">BMI és Sportközpont garanciális munkáira </t>
  </si>
  <si>
    <t>1.2. Belföldi értékpapírok bevételei</t>
  </si>
  <si>
    <t>Működési célú maradvány igénybevétel</t>
  </si>
  <si>
    <t>Felhalmozási célú maradvány igénybevétel</t>
  </si>
  <si>
    <t>1.4. Államháztartáson belüli megelőlegezés</t>
  </si>
  <si>
    <t>Adat forintban</t>
  </si>
  <si>
    <t>Engedélyezett létszámkeret</t>
  </si>
  <si>
    <t>Közfoglalkoztatottak engedélyezett létszáma</t>
  </si>
  <si>
    <t>Általános tartalék</t>
  </si>
  <si>
    <t>Működési céltartalék</t>
  </si>
  <si>
    <t>Felhamozási céltartalék</t>
  </si>
  <si>
    <t>Hosszú lejáratú hitel, kölcsön törlesztése</t>
  </si>
  <si>
    <t>Rövid lejáratú hitel, kölcsön törlesztése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</si>
  <si>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</si>
  <si>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</si>
  <si>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</si>
  <si>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</si>
  <si>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Cím/ alcím</t>
  </si>
  <si>
    <t xml:space="preserve">Közfogl. létszám </t>
  </si>
  <si>
    <t xml:space="preserve">Kiadási előirányzat </t>
  </si>
  <si>
    <t>2020. évi eredeti  előirányzat</t>
  </si>
  <si>
    <t>ÖNKOMÁNYZAT</t>
  </si>
  <si>
    <t>Munkaadókat terhelő járulékok</t>
  </si>
  <si>
    <t>6.</t>
  </si>
  <si>
    <t>Fogyatékos személyek nappali ellátása</t>
  </si>
  <si>
    <t>7.</t>
  </si>
  <si>
    <t xml:space="preserve">Egyéb felhalmozási célú kiadások </t>
  </si>
  <si>
    <t>8.</t>
  </si>
  <si>
    <t>9.</t>
  </si>
  <si>
    <t>Működési célú támogatások államháztartáson kívülre</t>
  </si>
  <si>
    <t>10.</t>
  </si>
  <si>
    <t>Tarttalékok</t>
  </si>
  <si>
    <t>11.</t>
  </si>
  <si>
    <t>Egyéb településüzemeltetési feladatok (projektek)</t>
  </si>
  <si>
    <t>12.</t>
  </si>
  <si>
    <t>13.</t>
  </si>
  <si>
    <t>Segélyek kötelező</t>
  </si>
  <si>
    <t>Ellátottak pénzbeli juttatásai COVID-19</t>
  </si>
  <si>
    <t>üres sor</t>
  </si>
  <si>
    <t>14.</t>
  </si>
  <si>
    <t xml:space="preserve">Ifjúsági Önkormányzat </t>
  </si>
  <si>
    <t>Tanulmányi ösztöndíjak</t>
  </si>
  <si>
    <t>Működési célú támogatások államháztartáson belülre</t>
  </si>
  <si>
    <t xml:space="preserve">Elhelyezés családok átmeneti otthonában </t>
  </si>
  <si>
    <t xml:space="preserve">Gyermekek átmeneti otthona </t>
  </si>
  <si>
    <t>Duna Szimfonikus Zenekar hangversenysorozat</t>
  </si>
  <si>
    <t xml:space="preserve">Tervtanács </t>
  </si>
  <si>
    <t>15.</t>
  </si>
  <si>
    <t>Jelzőrendszeres házi segítségnyújtás, támogató szolgáltatás</t>
  </si>
  <si>
    <t>16.</t>
  </si>
  <si>
    <t>Rendőrség támogatása</t>
  </si>
  <si>
    <t>17.</t>
  </si>
  <si>
    <r>
      <t>Német Önkormányzat Törökbálint</t>
    </r>
    <r>
      <rPr>
        <b/>
        <strike/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 támogatása </t>
    </r>
  </si>
  <si>
    <t xml:space="preserve">Ebből: -Német Önkormányzat Törökbálint támogatása </t>
  </si>
  <si>
    <t xml:space="preserve">              - "Csupaszív" Kétnyelvű Óvoda támogatása </t>
  </si>
  <si>
    <t>18.</t>
  </si>
  <si>
    <t xml:space="preserve">Cigány Nemzetiségi Önkorm. támogatása </t>
  </si>
  <si>
    <t>19.</t>
  </si>
  <si>
    <t>Román Nemzetiségi Önkorm. Támogatása</t>
  </si>
  <si>
    <t>20.</t>
  </si>
  <si>
    <t>21.</t>
  </si>
  <si>
    <t>22.</t>
  </si>
  <si>
    <t>23.</t>
  </si>
  <si>
    <t xml:space="preserve">VOLÁN támogatása </t>
  </si>
  <si>
    <t>24.</t>
  </si>
  <si>
    <t>25.</t>
  </si>
  <si>
    <t>Felhalmozási célú támogatások államháztartáson kívülre</t>
  </si>
  <si>
    <t>26.</t>
  </si>
  <si>
    <t xml:space="preserve">Egyházak támogatása </t>
  </si>
  <si>
    <t>27.</t>
  </si>
  <si>
    <t>27.1</t>
  </si>
  <si>
    <t>28.</t>
  </si>
  <si>
    <t xml:space="preserve">PR-Evolution Dance Company támogatása </t>
  </si>
  <si>
    <t>29.</t>
  </si>
  <si>
    <t>30.</t>
  </si>
  <si>
    <t xml:space="preserve">Dologi kiadások </t>
  </si>
  <si>
    <t>31.</t>
  </si>
  <si>
    <t xml:space="preserve">Egyéb önként vállalt feladatok </t>
  </si>
  <si>
    <t xml:space="preserve">Egyéb felhalmozási célú tám. ÁH belülre </t>
  </si>
  <si>
    <t>32.</t>
  </si>
  <si>
    <t>Egyéb fejlesztési, felújítási feladatok</t>
  </si>
  <si>
    <t>Egyéb felhalmozási kiadások</t>
  </si>
  <si>
    <t>33.</t>
  </si>
  <si>
    <t>Működési célú támogatáok államháztartáson kívülre</t>
  </si>
  <si>
    <t>34.</t>
  </si>
  <si>
    <t>35.</t>
  </si>
  <si>
    <t>Kedvezményes  oltás biztosítása</t>
  </si>
  <si>
    <t>36.</t>
  </si>
  <si>
    <t>37.</t>
  </si>
  <si>
    <t>38.</t>
  </si>
  <si>
    <t>39.</t>
  </si>
  <si>
    <t>Idősek tanácsa</t>
  </si>
  <si>
    <t>40.</t>
  </si>
  <si>
    <t>Majális rendezvény</t>
  </si>
  <si>
    <t>41.</t>
  </si>
  <si>
    <t>Rét fesztivál 1 napos rendezvény</t>
  </si>
  <si>
    <t>42.</t>
  </si>
  <si>
    <t>Riczu Imre emlékverseny</t>
  </si>
  <si>
    <t>43.</t>
  </si>
  <si>
    <t>Félmaraton rendezvény</t>
  </si>
  <si>
    <t>44.</t>
  </si>
  <si>
    <t>Egyéb rendezvények</t>
  </si>
  <si>
    <t>45.</t>
  </si>
  <si>
    <t>Trianóni békediktátum 100. évfordulója</t>
  </si>
  <si>
    <t>46.</t>
  </si>
  <si>
    <t>Kötet megjelenítése (Mesél a múlt)</t>
  </si>
  <si>
    <t>47.</t>
  </si>
  <si>
    <t>Intézményfinanszírozás</t>
  </si>
  <si>
    <t>Hitel törlesztés</t>
  </si>
  <si>
    <t xml:space="preserve"> Felújítások</t>
  </si>
  <si>
    <t xml:space="preserve">Egyéb fellhalmozási célú támogatások ÁH belül </t>
  </si>
  <si>
    <t>Finanszírozási kiadások</t>
  </si>
  <si>
    <t>Kiadások összesen</t>
  </si>
  <si>
    <t>2020.05.30-i teljesítés</t>
  </si>
  <si>
    <t>1. Általános tartalék</t>
  </si>
  <si>
    <t>2. Működési céltartalék</t>
  </si>
  <si>
    <t>2.1. Környezetvédelmi alap</t>
  </si>
  <si>
    <t>2.2. Polgármesteri keret</t>
  </si>
  <si>
    <t>2.3. Alpolgármesteri keret</t>
  </si>
  <si>
    <t>2.5. Alpolgármesteri keret (beruh.)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</si>
  <si>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</si>
  <si>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</si>
  <si>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</si>
  <si>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</si>
  <si>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2.5. Foglalkoztatottak részére egészségbiztosítás</t>
  </si>
  <si>
    <t>2.8. TTC Labdarúgó Szakosztály támogatása</t>
  </si>
  <si>
    <t>2.8. Gyermekek táboroztatása</t>
  </si>
  <si>
    <t>2.9. Törökbálinton működő iskolák szakmai programjainak támogatása</t>
  </si>
  <si>
    <t>2.10. Egyetemi kutatásokkal támogatott oktatás</t>
  </si>
  <si>
    <t>2.11. Keresetkiegészítés önkormányzati dolgozóknak</t>
  </si>
  <si>
    <t>2.12. Egyházak támogatása</t>
  </si>
  <si>
    <t>2.13.  Augusztus 20.-i ünnepség</t>
  </si>
  <si>
    <t>2.14.</t>
  </si>
  <si>
    <t>2.15. Sport Kft. működési támogatása</t>
  </si>
  <si>
    <t>2.16. T-Bálint Labdarugó Akadémia Sportegyesület</t>
  </si>
  <si>
    <t xml:space="preserve">2.17. Pályázati forrásból megvalósuló beruházásokhoz önerő </t>
  </si>
  <si>
    <t>2.18. Helyi esélyegyenlőségi program 8/2019.(I.21.) ÖK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</si>
  <si>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</si>
  <si>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</si>
  <si>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</si>
  <si>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</si>
  <si>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</si>
  <si>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</si>
  <si>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Fejlesztési céltartalék</t>
  </si>
  <si>
    <t>3.1. Helyi értékvédelemmel kapcsolatos feladatok</t>
  </si>
  <si>
    <t>Összesen:</t>
  </si>
  <si>
    <t>Cím/alcím</t>
  </si>
  <si>
    <t>2020. évi bevételi előirányzat</t>
  </si>
  <si>
    <t>2020. évi kiadási előirányzat</t>
  </si>
  <si>
    <t>2020. évi bevételi előirányzat módosított</t>
  </si>
  <si>
    <t>2020. évi kiadási előirányzat módosított</t>
  </si>
  <si>
    <t>1/1.</t>
  </si>
  <si>
    <t>VÍZÜGYI ÉPÍTÉSI ALAP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</si>
  <si>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</si>
  <si>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</si>
  <si>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</si>
  <si>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</si>
  <si>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</si>
  <si>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</si>
  <si>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</si>
  <si>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1.1. Maradvány igénybevétele</t>
  </si>
  <si>
    <t>ebből Útnet 2. részbefizetése</t>
  </si>
  <si>
    <t>B)</t>
  </si>
  <si>
    <t>KIADÁSOK JOGCÍMENKÉNT ÉS FELADATONKÉNT</t>
  </si>
  <si>
    <t>Tartalékok</t>
  </si>
  <si>
    <t>1.1. Vízügyi Építési Alap céltartaléka</t>
  </si>
  <si>
    <t>V.</t>
  </si>
  <si>
    <t>GFT fejlesztési feladatai</t>
  </si>
  <si>
    <t xml:space="preserve">Egyéb felújítás </t>
  </si>
  <si>
    <t>ÉTV közmű felújítás</t>
  </si>
  <si>
    <t xml:space="preserve">Tartalékok </t>
  </si>
  <si>
    <t xml:space="preserve">Vízügyi Építési Alap céltartaléka </t>
  </si>
  <si>
    <t>VI.</t>
  </si>
  <si>
    <t>2. Polgármesteri Hivatal</t>
  </si>
  <si>
    <t>Ösztöndíjas foglalkoztatás engedélyezett létszáma</t>
  </si>
  <si>
    <t>1.1. Egyéb működési célú támogatások bevételei államháztartáson belülről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</si>
  <si>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</si>
  <si>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</si>
  <si>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</si>
  <si>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</si>
  <si>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</si>
  <si>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</si>
  <si>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</si>
  <si>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</si>
  <si>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</si>
  <si>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</si>
  <si>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3.1. Egyéb működési célú átvett pénzeszközök</t>
  </si>
  <si>
    <t>1.1. Egyéb felhalmozási célú támogatások bevételei államháztartáson belülről</t>
  </si>
  <si>
    <t>2.2. Egyéb tárgyi eszközök értékesítése</t>
  </si>
  <si>
    <t>3.1. Egyéb felhalmozási célú átvett pénzeszközök</t>
  </si>
  <si>
    <t>1.2. Irányító szervi támogatás</t>
  </si>
  <si>
    <t>Intézményi beruházások</t>
  </si>
  <si>
    <t xml:space="preserve">Engedélye-zett létszám </t>
  </si>
  <si>
    <t xml:space="preserve">Közfoglal. Létszám </t>
  </si>
  <si>
    <t xml:space="preserve">Ösztöndíjas fogl. Létszám </t>
  </si>
  <si>
    <t>POLGÁRMESTERI HIVATAL</t>
  </si>
  <si>
    <t xml:space="preserve">Önkormányzati igazgatási feladatok </t>
  </si>
  <si>
    <t>Egyéb működési célú kiadások (elvonások, befizetések)</t>
  </si>
  <si>
    <t xml:space="preserve">Választás </t>
  </si>
  <si>
    <t>Városrendészet (közterület-felügyelet)</t>
  </si>
  <si>
    <t>Városrendészet (mezei őrszolgálat)</t>
  </si>
  <si>
    <t xml:space="preserve">Egyéb államigazgatási feladatok </t>
  </si>
  <si>
    <t xml:space="preserve">Cím: </t>
  </si>
  <si>
    <t>3. Gazdasági szervezettel nem rendelkező költségvetési szervek</t>
  </si>
  <si>
    <t>Alcím:</t>
  </si>
  <si>
    <t>3/1. Walla József Óvoda</t>
  </si>
  <si>
    <t>3/2. Törökbálinti Nyitnikék Óvoda</t>
  </si>
  <si>
    <t>3/3. Törökbálinti Bóbita Óvoda</t>
  </si>
  <si>
    <t>3/4. Munkácsy Mihály Művelődési Ház</t>
  </si>
  <si>
    <t>,</t>
  </si>
  <si>
    <t>3/5. Volf György Könyvtár és Helytörténeti Gyűjtemény</t>
  </si>
  <si>
    <t>3/6. Segítő Kéz Szolgálat</t>
  </si>
  <si>
    <t>3/7. Szérűskert Bölcsőde</t>
  </si>
  <si>
    <t>3/8. Törökbálinti Városgondnokság</t>
  </si>
  <si>
    <t xml:space="preserve">Közfoglal. létszám </t>
  </si>
  <si>
    <t xml:space="preserve">% </t>
  </si>
  <si>
    <t>GAZDASÁGI SZERVEZETTEL NEM RENDELKEZŐ KÖLTSÉGVETÉSI SZERVEK</t>
  </si>
  <si>
    <t>3/1.</t>
  </si>
  <si>
    <t>Walla József Óvoda</t>
  </si>
  <si>
    <t>cafeteria nincs kifizetve</t>
  </si>
  <si>
    <t>Munkaadót terhelő járulékok</t>
  </si>
  <si>
    <t>3/2.</t>
  </si>
  <si>
    <t>Törökbálinti Nyitnikék Óvoda</t>
  </si>
  <si>
    <t>3/3.</t>
  </si>
  <si>
    <t>Törökbálinti Bóbita Óvoda</t>
  </si>
  <si>
    <t>3/4.</t>
  </si>
  <si>
    <t>Munkácsy Mihály Művelődési Ház</t>
  </si>
  <si>
    <t>Közművelődési intézmény működtetése</t>
  </si>
  <si>
    <t>Majális, nemzeti ünnepek szervezése, lebonyolítása</t>
  </si>
  <si>
    <t>3/5.</t>
  </si>
  <si>
    <t>Volf György Könyvtár</t>
  </si>
  <si>
    <t>Könyvtári állomány gyarapítása, nyilvántartása feladat kiadásai</t>
  </si>
  <si>
    <t>Múzeumi kiállítási tevékenység</t>
  </si>
  <si>
    <t>3/6.</t>
  </si>
  <si>
    <t>Segítő Kéz Szolgálat</t>
  </si>
  <si>
    <t>3/7.</t>
  </si>
  <si>
    <t>Szérűskert Bölcsőde</t>
  </si>
  <si>
    <t>3/8.</t>
  </si>
  <si>
    <t>VÁROSGONDNOKSÁG</t>
  </si>
  <si>
    <t>Temető-fenntartás</t>
  </si>
  <si>
    <t>Lakó és nem lakó ingatlan bérbeadása, üzemeltetése</t>
  </si>
  <si>
    <t>Városgondnokság városgazdálkodási kiadásai</t>
  </si>
  <si>
    <t>Intézmények karbantartása</t>
  </si>
  <si>
    <t>VG</t>
  </si>
  <si>
    <t>Személyi összesen</t>
  </si>
  <si>
    <t>Járulék összesen</t>
  </si>
  <si>
    <t>Dologi összesen</t>
  </si>
  <si>
    <t>Egyéb működési célú kiadások (elvonások)</t>
  </si>
  <si>
    <t>Beruházás összesen</t>
  </si>
  <si>
    <t>felújítás összesen</t>
  </si>
  <si>
    <t>Kiadás mindösszesen</t>
  </si>
  <si>
    <t>Az Önkormányzat költségvetési szerveinek létszámkerete</t>
  </si>
  <si>
    <t>Intézmény megnevezése</t>
  </si>
  <si>
    <t>2017. január 1-i tényleges nyitólétszám (fő)</t>
  </si>
  <si>
    <t xml:space="preserve">Engedélyezett létszám eredeti ei. </t>
  </si>
  <si>
    <t xml:space="preserve">Engedélyezett létszám módosított ei. </t>
  </si>
  <si>
    <t>2020. január 1-i tényleges nyitólétszám (fő)</t>
  </si>
  <si>
    <t>Közfoglal-koztatotti létszám</t>
  </si>
  <si>
    <t>Ösztöndíjas foglalkoztatás</t>
  </si>
  <si>
    <t>Teljes munkaidős</t>
  </si>
  <si>
    <t>Rész-munkaidős</t>
  </si>
  <si>
    <t>2020. év</t>
  </si>
  <si>
    <t xml:space="preserve">2018. év </t>
  </si>
  <si>
    <t>Gazdasági szervezettel rendelkező költségvetési szervek</t>
  </si>
  <si>
    <t>Önkormányzat</t>
  </si>
  <si>
    <t>Polgármesteri Hivatal</t>
  </si>
  <si>
    <t>Gazdasági szervezettel nem rendelkező költségvetési szervek</t>
  </si>
  <si>
    <t>Volf György Könyvtár és Helytörténeti Gyűjtemény</t>
  </si>
  <si>
    <t>Városgondnokság</t>
  </si>
  <si>
    <t>Önkormányzat összesen:</t>
  </si>
  <si>
    <t>Projektfeladatok, fejlesztések</t>
  </si>
  <si>
    <t>sor szám</t>
  </si>
  <si>
    <t>részletező</t>
  </si>
  <si>
    <t xml:space="preserve">Eredeti előirányzat </t>
  </si>
  <si>
    <t>Előirányzatok I. módosítása</t>
  </si>
  <si>
    <t>nettó</t>
  </si>
  <si>
    <t>Áfa</t>
  </si>
  <si>
    <t>bruttó</t>
  </si>
  <si>
    <t>Törökbálint Város Önkormányzatának beruházásai</t>
  </si>
  <si>
    <t>Új bölcsőde építése</t>
  </si>
  <si>
    <t xml:space="preserve">Piac kialakítása </t>
  </si>
  <si>
    <t xml:space="preserve">Csupaszív óvoda bővítése (tornaterem) </t>
  </si>
  <si>
    <t xml:space="preserve">Városgondnokság telepén sótároló tervezése, kivitelezése </t>
  </si>
  <si>
    <t>Gépjárművek beszerzése (Unimog, teherautó, gépkocsi) lízing keretében. Elektromos autó közterületen  lévő növények  locsolásához</t>
  </si>
  <si>
    <t xml:space="preserve">Térfigyelő rendszer fejlesztése </t>
  </si>
  <si>
    <t>HÉSZ módosítása, egyéb szellemi termék főépítészi feladat keretében</t>
  </si>
  <si>
    <t>Gyalogós átkelőhely tervezése Érdi út - Meredek utca csomópontban</t>
  </si>
  <si>
    <t>Auchan mögötti útszakasz tervezése</t>
  </si>
  <si>
    <t>Közlekedési koncepció-1. Állapotfelmérés</t>
  </si>
  <si>
    <t>Közlekedési koncepció-2. Közúti biztonsági felülvizsgálat</t>
  </si>
  <si>
    <t>Közlekedési koncepció-3. Fenntartható Városi Mobilitási terv (SUMP)</t>
  </si>
  <si>
    <t>Lakossági forrás bevonásával megvalósuló útfejlesztések</t>
  </si>
  <si>
    <t>"Közösségi Költségvetés Tervezés" program előkészítése</t>
  </si>
  <si>
    <r>
      <t>Sportközpont területén strandmedence</t>
    </r>
    <r>
      <rPr>
        <strike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tervezése, előkészítése</t>
    </r>
  </si>
  <si>
    <t>szelektív hulladék gyűjtő edények</t>
  </si>
  <si>
    <t>csapadékvíz gyűjtéshez edények</t>
  </si>
  <si>
    <t>Walla óvoda: teraszok árnéykolása, videókamera és állvány beszerzése</t>
  </si>
  <si>
    <t>Nyitnikék óvoda: öltöző szekrények és informatiaki eszközök beszerzése</t>
  </si>
  <si>
    <t>Bóbita óvoda: informatikai eszközök beszerzése</t>
  </si>
  <si>
    <t>Művelődési Ház: hang- és fénytechnika beszerzése</t>
  </si>
  <si>
    <t>Könyvtár: informatikai eszközök beszerzése</t>
  </si>
  <si>
    <t>Városgondnokság: feladatok ellátásáhot tartozó bezserzési keret</t>
  </si>
  <si>
    <t>Anna hegy</t>
  </si>
  <si>
    <t>111/2017. (V. 25.) ÖK határozat - Szabadság tér - Liba kompozíció</t>
  </si>
  <si>
    <t>Józsefhegyi u. ivóvíz- szennyvízvezeték, csapadékvíz elvezetésének tervezése</t>
  </si>
  <si>
    <t>Határ utca részleges felújítása (csapadékvíz elvezetési rendszerrel)</t>
  </si>
  <si>
    <t>Hegyalja u. Lovarda környékének csapadékvíz elvezetés I.ütem</t>
  </si>
  <si>
    <t>Járda térköves helyreállítása Alsóerdősor u.</t>
  </si>
  <si>
    <t>Őrház u. közművei fejlesztése, körforgalom építésénektervezése</t>
  </si>
  <si>
    <t>Erdészeti fejlesztések (2/c melléklet I./9. feladat)</t>
  </si>
  <si>
    <t>Kékes u.-Rozmaring u. felső szakasz vízvezeték tervezése</t>
  </si>
  <si>
    <t>Alsóerdősor u. sportpálya hálózatbővítés bekötése</t>
  </si>
  <si>
    <t>2019. évi kötelezettségek</t>
  </si>
  <si>
    <t>Futókör</t>
  </si>
  <si>
    <t>4/2020 polgármesteri döntés (állami tulajdonú ingatlanok vétele)</t>
  </si>
  <si>
    <t xml:space="preserve">Forgalom technika </t>
  </si>
  <si>
    <t xml:space="preserve">COVID-19 informatikai (digitális oktatáshoz) és egyéb eszközök beszerzése </t>
  </si>
  <si>
    <t>Önkormányzati lakás (Prikoll)</t>
  </si>
  <si>
    <t>egyéb feladat</t>
  </si>
  <si>
    <t>Beruházások összesen:</t>
  </si>
  <si>
    <t>Törökbálint Város Önkormányzatának felújításai</t>
  </si>
  <si>
    <t>Útjavítások (keret)</t>
  </si>
  <si>
    <t>ÉTV közműfelújítások</t>
  </si>
  <si>
    <t>Egyéb közmű felújítás</t>
  </si>
  <si>
    <t>Vízügyi Építési Alap céltartalék terhére végzett felújítások</t>
  </si>
  <si>
    <t>Bóbita óvoda (Árpád utca)</t>
  </si>
  <si>
    <t>Bóbita óvoda (Bajcsy-Zs. u.)</t>
  </si>
  <si>
    <t>Walla óvoda felújítási keret</t>
  </si>
  <si>
    <t>Walla óvoda udvari gumiburkolat és eszközök felújítása</t>
  </si>
  <si>
    <t>Nyitnikék óvoda felújítási keret</t>
  </si>
  <si>
    <t>Művelődési Ház térburkolat és elektromos sorompó felújítása</t>
  </si>
  <si>
    <t>Könyvtár ívóvíz vízvezeték hálózatának részleges cseréje</t>
  </si>
  <si>
    <t>Csapadékvíz elvezetési feladatok</t>
  </si>
  <si>
    <t>Felújítások összesen:</t>
  </si>
  <si>
    <t>Önkormányzat fejlesztései összesen:</t>
  </si>
  <si>
    <t>Önkormányzati intézmények beruházásai</t>
  </si>
  <si>
    <t xml:space="preserve">Polgármesteri Hivatal kisértékű tárgyieszköz beszerzési kerete </t>
  </si>
  <si>
    <t xml:space="preserve">Walla óvoda  kisértékű tárgyieszköz beszerzési kerete </t>
  </si>
  <si>
    <t>Nyitníkék óvoda kisértékű tárgyieszközök beszerzési kerete</t>
  </si>
  <si>
    <t>Bóbita óvoda kisértékű tárgyieszközök beszserzési kerete</t>
  </si>
  <si>
    <t>Művelődési Ház kisértékű tárgyieszköz beszerzési kerete</t>
  </si>
  <si>
    <t>Könyvtár könyvtári állomány gyarapítása</t>
  </si>
  <si>
    <t xml:space="preserve">7. </t>
  </si>
  <si>
    <t>Segítő kéz Szolgálat kisértékű tárgyieszközök beszerzési kerete</t>
  </si>
  <si>
    <t>Bölcsőde kisértékű tárgyieszközök beszerzési kerete</t>
  </si>
  <si>
    <t>Városgondnokság kisértékű tárgyieszköz beszerzési kerete</t>
  </si>
  <si>
    <t>Intézményi beruházások összesen:</t>
  </si>
  <si>
    <t>Önkormányzati intézmények felújításai</t>
  </si>
  <si>
    <t>Városgondnokság hókotró felújítása</t>
  </si>
  <si>
    <t>Intézményi felújítások összesen:</t>
  </si>
  <si>
    <t>Törökbálint Város Önkormányzata és intézmények fejlesztései összesen:</t>
  </si>
  <si>
    <t>ebből:</t>
  </si>
  <si>
    <t xml:space="preserve"> Magyarország gazdasági stabilitásáról szóló 2011. évi CXCIV törvény 8. § (2) bekezdése szerinti adósságot keletkeztető ügyletek és a kezességvállalásokból fennálló kötelezettségek </t>
  </si>
  <si>
    <t>Adatok ezer forintban</t>
  </si>
  <si>
    <t>Sorszám</t>
  </si>
  <si>
    <t>01</t>
  </si>
  <si>
    <t>Helyi adók</t>
  </si>
  <si>
    <t>02</t>
  </si>
  <si>
    <t>Tulajdonosi bevételek</t>
  </si>
  <si>
    <t>03</t>
  </si>
  <si>
    <t>Díjak, pótlékok, bírságok, települési adók</t>
  </si>
  <si>
    <t>04</t>
  </si>
  <si>
    <t>Immateriális javak, ingatlanok és egyéb tárgyi eszközök értékesítése</t>
  </si>
  <si>
    <t>05</t>
  </si>
  <si>
    <t>Részesedések értékesítése és részesedések megszüntetéséhez kapcsolódó bevételek</t>
  </si>
  <si>
    <t>06</t>
  </si>
  <si>
    <t>Privatizációbol származó bevételek</t>
  </si>
  <si>
    <t>07</t>
  </si>
  <si>
    <t>Garancia- és kezességvállalásból származó megtérülések</t>
  </si>
  <si>
    <t>08</t>
  </si>
  <si>
    <t>Saját bevételek (01+…+07)</t>
  </si>
  <si>
    <t>09</t>
  </si>
  <si>
    <t>Saját bevételek 50%-a</t>
  </si>
  <si>
    <t>10</t>
  </si>
  <si>
    <t>Előző év(ek)ben keletkezett fizetési kötelezettség (11+…+18)</t>
  </si>
  <si>
    <t>11</t>
  </si>
  <si>
    <t>Hitelből eredő fizetési kötelezettség</t>
  </si>
  <si>
    <t>12</t>
  </si>
  <si>
    <t>Kölcsönből eredő fizetési kötelezettség</t>
  </si>
  <si>
    <t>13</t>
  </si>
  <si>
    <t>Hitelviszonyt megtestesítő értékpapírból eredő fizetési kötelezettség</t>
  </si>
  <si>
    <t>14</t>
  </si>
  <si>
    <t>Adott váltóból eredő fizetési kötelezettség</t>
  </si>
  <si>
    <t>15</t>
  </si>
  <si>
    <t>Pénzügyi lízingből eredő fizetési kötelezettség</t>
  </si>
  <si>
    <t>16</t>
  </si>
  <si>
    <t>Halasztott fizetés, részletfizetés fizetési kötelezettsége</t>
  </si>
  <si>
    <t>17</t>
  </si>
  <si>
    <t>Szerződésben kikötött visszavásárlási kötelezettség</t>
  </si>
  <si>
    <t>18</t>
  </si>
  <si>
    <t>Kezesség-, és garanciavállalásból eredő fizetési kötelezettség</t>
  </si>
  <si>
    <t>Tárgyévben keletkezett, illetve keletkező, tárgyévet terhelő fizetési kötelezettség (20+…+27)</t>
  </si>
  <si>
    <t>20</t>
  </si>
  <si>
    <t>21</t>
  </si>
  <si>
    <t>22</t>
  </si>
  <si>
    <t>23</t>
  </si>
  <si>
    <t>24</t>
  </si>
  <si>
    <t>25</t>
  </si>
  <si>
    <t>26</t>
  </si>
  <si>
    <t>27</t>
  </si>
  <si>
    <t>Fizetési kötelezettség összesen (10+19)</t>
  </si>
  <si>
    <t>Fizetési kötelezettséggel csökkentett saját bevétel (09-28)</t>
  </si>
  <si>
    <t>Adatok Ft-ban</t>
  </si>
  <si>
    <t>Program jelzőszáma, megnevezése</t>
  </si>
  <si>
    <t>Pályázati önerő</t>
  </si>
  <si>
    <t>Pályázaton felüli önerő</t>
  </si>
  <si>
    <t>Támogatás</t>
  </si>
  <si>
    <t>Korábbi években</t>
  </si>
  <si>
    <t>2020. évben</t>
  </si>
  <si>
    <t>További években</t>
  </si>
  <si>
    <t>Összesen TSZ szerint</t>
  </si>
  <si>
    <t>Összesen tényleges</t>
  </si>
  <si>
    <t>ÁROP-3.A.2-2013-2013-044 Hivatal szervezetfejlesztése</t>
  </si>
  <si>
    <t>Törökbálint Város Önkormányzata 2020. évi címrendje</t>
  </si>
  <si>
    <t>Cím</t>
  </si>
  <si>
    <t>Alcím</t>
  </si>
  <si>
    <t>1</t>
  </si>
  <si>
    <t>Vízügyi Építési Alap</t>
  </si>
  <si>
    <t>2</t>
  </si>
  <si>
    <t>Környezetvédelmi Alap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</si>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</sst>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#,##0.0"/>
    <numFmt numFmtId="166" formatCode="_-* #,##0\ _F_t_-;\-* #,##0\ _F_t_-;_-* &quot;-&quot;??\ _F_t_-;_-@_-"/>
    <numFmt numFmtId="167" formatCode="_-* #,##0.0\ _F_t_-;\-* #,##0.0\ _F_t_-;_-* &quot;-&quot;??\ _F_t_-;_-@_-"/>
    <numFmt numFmtId="168" formatCode="0.0"/>
    <numFmt numFmtId="169" formatCode="#,###"/>
    <numFmt numFmtId="170" formatCode="#,##0\ _F_t"/>
    <numFmt numFmtId="171" formatCode="0.00000%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trike/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Arial"/>
      <family val="2"/>
      <charset val="238"/>
    </font>
    <font>
      <sz val="10.5"/>
      <name val="Arial"/>
      <family val="2"/>
      <charset val="238"/>
    </font>
    <font>
      <b/>
      <sz val="10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trike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</cellStyleXfs>
  <cellXfs count="469">
    <xf numFmtId="0" fontId="0" fillId="0" borderId="0" xfId="0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3" fontId="4" fillId="3" borderId="1" xfId="0" applyNumberFormat="1" applyFont="1" applyFill="1" applyBorder="1"/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10" fontId="4" fillId="3" borderId="2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4" fillId="4" borderId="1" xfId="0" applyFont="1" applyFill="1" applyBorder="1"/>
    <xf numFmtId="3" fontId="4" fillId="4" borderId="1" xfId="0" applyNumberFormat="1" applyFont="1" applyFill="1" applyBorder="1"/>
    <xf numFmtId="0" fontId="4" fillId="4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/>
    <xf numFmtId="3" fontId="2" fillId="5" borderId="1" xfId="0" applyNumberFormat="1" applyFont="1" applyFill="1" applyBorder="1"/>
    <xf numFmtId="0" fontId="2" fillId="5" borderId="1" xfId="0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3" fontId="2" fillId="6" borderId="1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3" fontId="0" fillId="0" borderId="3" xfId="0" applyNumberFormat="1" applyBorder="1" applyAlignment="1">
      <alignment horizontal="right" vertical="center" wrapText="1"/>
    </xf>
    <xf numFmtId="16" fontId="0" fillId="0" borderId="3" xfId="0" applyNumberFormat="1" applyBorder="1" applyAlignment="1">
      <alignment horizontal="left" vertical="center" wrapText="1"/>
    </xf>
    <xf numFmtId="3" fontId="0" fillId="0" borderId="3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6" fillId="0" borderId="0" xfId="0" applyNumberFormat="1" applyFont="1" applyAlignment="1">
      <alignment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4" xfId="0" applyFont="1" applyFill="1" applyBorder="1"/>
    <xf numFmtId="3" fontId="4" fillId="7" borderId="4" xfId="0" applyNumberFormat="1" applyFont="1" applyFill="1" applyBorder="1"/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3" fontId="0" fillId="0" borderId="4" xfId="0" applyNumberFormat="1" applyBorder="1" applyAlignment="1">
      <alignment horizontal="right" vertical="center" wrapText="1"/>
    </xf>
    <xf numFmtId="16" fontId="0" fillId="0" borderId="4" xfId="0" applyNumberFormat="1" applyBorder="1" applyAlignment="1">
      <alignment horizontal="left" vertical="center" wrapText="1"/>
    </xf>
    <xf numFmtId="3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horizontal="left" vertical="center" wrapText="1"/>
    </xf>
    <xf numFmtId="0" fontId="0" fillId="0" borderId="4" xfId="0" applyBorder="1"/>
    <xf numFmtId="3" fontId="0" fillId="0" borderId="4" xfId="0" applyNumberFormat="1" applyBorder="1"/>
    <xf numFmtId="3" fontId="4" fillId="0" borderId="4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16" fontId="0" fillId="0" borderId="4" xfId="0" applyNumberFormat="1" applyBorder="1" applyAlignment="1">
      <alignment horizontal="left" vertical="center" wrapText="1" indent="3"/>
    </xf>
    <xf numFmtId="0" fontId="4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>
      <alignment wrapText="1"/>
    </xf>
    <xf numFmtId="3" fontId="7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wrapText="1"/>
    </xf>
    <xf numFmtId="3" fontId="4" fillId="7" borderId="1" xfId="0" applyNumberFormat="1" applyFont="1" applyFill="1" applyBorder="1" applyAlignment="1">
      <alignment wrapText="1"/>
    </xf>
    <xf numFmtId="3" fontId="7" fillId="7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4" fillId="0" borderId="1" xfId="0" applyNumberFormat="1" applyFont="1" applyBorder="1"/>
    <xf numFmtId="3" fontId="0" fillId="0" borderId="1" xfId="0" applyNumberForma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16" fontId="0" fillId="0" borderId="1" xfId="0" applyNumberFormat="1" applyBorder="1" applyAlignment="1">
      <alignment horizontal="left" vertical="center" wrapText="1"/>
    </xf>
    <xf numFmtId="16" fontId="0" fillId="0" borderId="1" xfId="0" applyNumberFormat="1" applyBorder="1" applyAlignment="1">
      <alignment horizontal="left" vertical="center" wrapText="1" indent="3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3" fontId="7" fillId="7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7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164" fontId="1" fillId="0" borderId="0" xfId="2" applyFont="1"/>
    <xf numFmtId="0" fontId="5" fillId="0" borderId="0" xfId="0" applyFont="1" applyAlignment="1">
      <alignment horizontal="right"/>
    </xf>
    <xf numFmtId="164" fontId="4" fillId="2" borderId="1" xfId="2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right" vertical="center"/>
    </xf>
    <xf numFmtId="165" fontId="2" fillId="6" borderId="10" xfId="0" applyNumberFormat="1" applyFont="1" applyFill="1" applyBorder="1" applyAlignment="1">
      <alignment horizontal="right" vertical="center"/>
    </xf>
    <xf numFmtId="3" fontId="2" fillId="6" borderId="10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164" fontId="1" fillId="0" borderId="1" xfId="2" applyFont="1" applyBorder="1"/>
    <xf numFmtId="165" fontId="0" fillId="0" borderId="1" xfId="0" applyNumberFormat="1" applyBorder="1"/>
    <xf numFmtId="3" fontId="5" fillId="0" borderId="1" xfId="0" applyNumberFormat="1" applyFont="1" applyBorder="1"/>
    <xf numFmtId="4" fontId="0" fillId="0" borderId="1" xfId="0" applyNumberFormat="1" applyBorder="1"/>
    <xf numFmtId="0" fontId="4" fillId="0" borderId="0" xfId="0" applyFont="1"/>
    <xf numFmtId="49" fontId="0" fillId="0" borderId="1" xfId="0" applyNumberFormat="1" applyBorder="1" applyAlignment="1">
      <alignment wrapText="1"/>
    </xf>
    <xf numFmtId="164" fontId="1" fillId="0" borderId="1" xfId="2" applyFont="1" applyBorder="1" applyAlignment="1">
      <alignment horizontal="right"/>
    </xf>
    <xf numFmtId="49" fontId="7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164" fontId="1" fillId="0" borderId="1" xfId="2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4" fillId="0" borderId="0" xfId="0" applyFont="1" applyAlignment="1">
      <alignment vertical="center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/>
    <xf numFmtId="164" fontId="4" fillId="3" borderId="1" xfId="2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2" fillId="8" borderId="1" xfId="0" applyFont="1" applyFill="1" applyBorder="1" applyAlignment="1">
      <alignment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3" fontId="4" fillId="7" borderId="1" xfId="0" applyNumberFormat="1" applyFont="1" applyFill="1" applyBorder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 wrapText="1" indent="5"/>
    </xf>
    <xf numFmtId="0" fontId="4" fillId="0" borderId="1" xfId="0" applyFont="1" applyBorder="1" applyAlignment="1">
      <alignment horizontal="center" vertical="center"/>
    </xf>
    <xf numFmtId="3" fontId="7" fillId="7" borderId="1" xfId="0" applyNumberFormat="1" applyFont="1" applyFill="1" applyBorder="1"/>
    <xf numFmtId="0" fontId="4" fillId="0" borderId="1" xfId="0" applyFont="1" applyBorder="1"/>
    <xf numFmtId="3" fontId="7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3" fontId="10" fillId="7" borderId="1" xfId="0" applyNumberFormat="1" applyFont="1" applyFill="1" applyBorder="1"/>
    <xf numFmtId="3" fontId="7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166" fontId="1" fillId="0" borderId="0" xfId="2" applyNumberFormat="1" applyFont="1" applyAlignment="1">
      <alignment wrapText="1"/>
    </xf>
    <xf numFmtId="0" fontId="4" fillId="7" borderId="1" xfId="0" applyFont="1" applyFill="1" applyBorder="1" applyAlignment="1">
      <alignment vertical="center" wrapText="1"/>
    </xf>
    <xf numFmtId="3" fontId="4" fillId="7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7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9" fontId="5" fillId="0" borderId="0" xfId="0" applyNumberFormat="1" applyFont="1"/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167" fontId="7" fillId="6" borderId="1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7" fontId="7" fillId="3" borderId="1" xfId="2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167" fontId="7" fillId="0" borderId="1" xfId="2" applyNumberFormat="1" applyFont="1" applyFill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0" fontId="3" fillId="0" borderId="0" xfId="0" applyFont="1"/>
    <xf numFmtId="167" fontId="5" fillId="0" borderId="1" xfId="2" applyNumberFormat="1" applyFont="1" applyFill="1" applyBorder="1" applyAlignment="1">
      <alignment wrapText="1"/>
    </xf>
    <xf numFmtId="49" fontId="5" fillId="0" borderId="1" xfId="0" applyNumberFormat="1" applyFont="1" applyBorder="1" applyAlignment="1">
      <alignment vertical="center" wrapText="1"/>
    </xf>
    <xf numFmtId="167" fontId="5" fillId="0" borderId="1" xfId="2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167" fontId="7" fillId="0" borderId="1" xfId="2" applyNumberFormat="1" applyFont="1" applyFill="1" applyBorder="1" applyAlignment="1">
      <alignment vertical="center" wrapText="1"/>
    </xf>
    <xf numFmtId="0" fontId="6" fillId="0" borderId="0" xfId="0" applyFont="1"/>
    <xf numFmtId="167" fontId="7" fillId="0" borderId="1" xfId="2" applyNumberFormat="1" applyFont="1" applyBorder="1" applyAlignment="1">
      <alignment wrapText="1"/>
    </xf>
    <xf numFmtId="0" fontId="7" fillId="0" borderId="0" xfId="0" applyFont="1"/>
    <xf numFmtId="167" fontId="5" fillId="0" borderId="1" xfId="2" applyNumberFormat="1" applyFont="1" applyBorder="1" applyAlignment="1">
      <alignment wrapText="1"/>
    </xf>
    <xf numFmtId="167" fontId="7" fillId="0" borderId="1" xfId="2" applyNumberFormat="1" applyFont="1" applyBorder="1" applyAlignment="1">
      <alignment vertical="center" wrapText="1"/>
    </xf>
    <xf numFmtId="167" fontId="5" fillId="0" borderId="1" xfId="2" applyNumberFormat="1" applyFont="1" applyBorder="1" applyAlignment="1">
      <alignment vertical="center" wrapText="1"/>
    </xf>
    <xf numFmtId="0" fontId="1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/>
    <xf numFmtId="49" fontId="12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7" fontId="7" fillId="3" borderId="1" xfId="2" applyNumberFormat="1" applyFont="1" applyFill="1" applyBorder="1" applyAlignment="1">
      <alignment vertical="center"/>
    </xf>
    <xf numFmtId="3" fontId="5" fillId="0" borderId="0" xfId="0" applyNumberFormat="1" applyFont="1"/>
    <xf numFmtId="0" fontId="15" fillId="0" borderId="0" xfId="3" applyAlignment="1">
      <alignment horizontal="left" vertical="center"/>
    </xf>
    <xf numFmtId="0" fontId="5" fillId="9" borderId="0" xfId="3" applyFont="1" applyFill="1" applyAlignment="1">
      <alignment horizontal="right" vertical="center"/>
    </xf>
    <xf numFmtId="49" fontId="2" fillId="6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16" fillId="0" borderId="0" xfId="3" applyFont="1" applyAlignment="1">
      <alignment horizontal="left" vertical="center"/>
    </xf>
    <xf numFmtId="0" fontId="17" fillId="3" borderId="1" xfId="3" applyFont="1" applyFill="1" applyBorder="1" applyAlignment="1">
      <alignment horizontal="left" vertical="center" wrapText="1"/>
    </xf>
    <xf numFmtId="3" fontId="17" fillId="3" borderId="1" xfId="3" applyNumberFormat="1" applyFont="1" applyFill="1" applyBorder="1" applyAlignment="1">
      <alignment horizontal="right" vertical="center"/>
    </xf>
    <xf numFmtId="3" fontId="16" fillId="0" borderId="0" xfId="3" applyNumberFormat="1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20" fillId="0" borderId="1" xfId="3" applyFont="1" applyBorder="1" applyAlignment="1">
      <alignment horizontal="left" vertical="center" wrapText="1"/>
    </xf>
    <xf numFmtId="3" fontId="20" fillId="9" borderId="1" xfId="3" applyNumberFormat="1" applyFont="1" applyFill="1" applyBorder="1" applyAlignment="1">
      <alignment horizontal="right" vertical="center"/>
    </xf>
    <xf numFmtId="0" fontId="21" fillId="0" borderId="0" xfId="3" applyFont="1" applyAlignment="1">
      <alignment horizontal="left" vertical="center"/>
    </xf>
    <xf numFmtId="16" fontId="20" fillId="0" borderId="1" xfId="3" applyNumberFormat="1" applyFont="1" applyBorder="1" applyAlignment="1">
      <alignment horizontal="left" vertical="center" wrapText="1"/>
    </xf>
    <xf numFmtId="49" fontId="20" fillId="0" borderId="1" xfId="3" applyNumberFormat="1" applyFont="1" applyBorder="1" applyAlignment="1">
      <alignment horizontal="left" vertical="center" wrapText="1"/>
    </xf>
    <xf numFmtId="0" fontId="22" fillId="0" borderId="0" xfId="3" applyFont="1" applyAlignment="1">
      <alignment horizontal="left" vertical="center"/>
    </xf>
    <xf numFmtId="0" fontId="23" fillId="10" borderId="1" xfId="0" applyFont="1" applyFill="1" applyBorder="1"/>
    <xf numFmtId="3" fontId="19" fillId="10" borderId="1" xfId="0" applyNumberFormat="1" applyFont="1" applyFill="1" applyBorder="1"/>
    <xf numFmtId="0" fontId="22" fillId="11" borderId="0" xfId="3" applyFont="1" applyFill="1" applyAlignment="1">
      <alignment horizontal="left" vertical="center"/>
    </xf>
    <xf numFmtId="0" fontId="19" fillId="11" borderId="0" xfId="3" applyFont="1" applyFill="1" applyAlignment="1">
      <alignment horizontal="left" vertical="center"/>
    </xf>
    <xf numFmtId="0" fontId="15" fillId="11" borderId="0" xfId="3" applyFill="1" applyAlignment="1">
      <alignment horizontal="left" vertical="center"/>
    </xf>
    <xf numFmtId="0" fontId="21" fillId="0" borderId="0" xfId="3" applyFont="1" applyAlignment="1">
      <alignment horizontal="left" vertical="center" wrapText="1"/>
    </xf>
    <xf numFmtId="169" fontId="20" fillId="0" borderId="0" xfId="3" applyNumberFormat="1" applyFont="1" applyAlignment="1">
      <alignment horizontal="left" vertical="center"/>
    </xf>
    <xf numFmtId="169" fontId="20" fillId="0" borderId="12" xfId="3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/>
    </xf>
    <xf numFmtId="0" fontId="7" fillId="6" borderId="13" xfId="0" applyFont="1" applyFill="1" applyBorder="1"/>
    <xf numFmtId="3" fontId="7" fillId="6" borderId="13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0" fontId="7" fillId="3" borderId="13" xfId="0" applyFont="1" applyFill="1" applyBorder="1" applyAlignment="1">
      <alignment horizontal="center"/>
    </xf>
    <xf numFmtId="0" fontId="7" fillId="3" borderId="13" xfId="0" applyFont="1" applyFill="1" applyBorder="1"/>
    <xf numFmtId="3" fontId="7" fillId="3" borderId="13" xfId="0" applyNumberFormat="1" applyFont="1" applyFill="1" applyBorder="1"/>
    <xf numFmtId="0" fontId="7" fillId="7" borderId="13" xfId="0" applyFont="1" applyFill="1" applyBorder="1" applyAlignment="1">
      <alignment horizontal="center"/>
    </xf>
    <xf numFmtId="0" fontId="7" fillId="7" borderId="13" xfId="0" applyFont="1" applyFill="1" applyBorder="1"/>
    <xf numFmtId="3" fontId="7" fillId="7" borderId="13" xfId="0" applyNumberFormat="1" applyFont="1" applyFill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3" fontId="5" fillId="0" borderId="13" xfId="0" applyNumberFormat="1" applyFont="1" applyBorder="1"/>
    <xf numFmtId="0" fontId="5" fillId="0" borderId="13" xfId="0" applyFont="1" applyBorder="1" applyAlignment="1">
      <alignment horizontal="left" indent="3"/>
    </xf>
    <xf numFmtId="0" fontId="5" fillId="0" borderId="13" xfId="0" applyFont="1" applyBorder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7" fillId="2" borderId="13" xfId="0" applyFont="1" applyFill="1" applyBorder="1"/>
    <xf numFmtId="3" fontId="7" fillId="2" borderId="13" xfId="0" applyNumberFormat="1" applyFont="1" applyFill="1" applyBorder="1"/>
    <xf numFmtId="3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167" fontId="4" fillId="2" borderId="1" xfId="2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67" fontId="2" fillId="6" borderId="1" xfId="2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center" vertical="center" wrapText="1"/>
    </xf>
    <xf numFmtId="167" fontId="4" fillId="3" borderId="1" xfId="2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167" fontId="4" fillId="0" borderId="1" xfId="2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167" fontId="1" fillId="0" borderId="1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9" fontId="1" fillId="0" borderId="0" xfId="1" applyFont="1" applyAlignment="1">
      <alignment wrapText="1"/>
    </xf>
    <xf numFmtId="49" fontId="4" fillId="0" borderId="0" xfId="0" applyNumberFormat="1" applyFont="1" applyAlignment="1">
      <alignment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7" fillId="3" borderId="1" xfId="0" applyNumberFormat="1" applyFont="1" applyFill="1" applyBorder="1"/>
    <xf numFmtId="3" fontId="4" fillId="7" borderId="2" xfId="0" applyNumberFormat="1" applyFont="1" applyFill="1" applyBorder="1"/>
    <xf numFmtId="0" fontId="2" fillId="8" borderId="1" xfId="0" applyFont="1" applyFill="1" applyBorder="1" applyAlignment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164" fontId="7" fillId="0" borderId="1" xfId="2" applyFont="1" applyFill="1" applyBorder="1" applyAlignment="1">
      <alignment horizontal="right" vertical="center" wrapText="1"/>
    </xf>
    <xf numFmtId="167" fontId="1" fillId="0" borderId="0" xfId="2" applyNumberFormat="1" applyFont="1"/>
    <xf numFmtId="10" fontId="2" fillId="6" borderId="1" xfId="1" applyNumberFormat="1" applyFont="1" applyFill="1" applyBorder="1" applyAlignment="1">
      <alignment horizontal="right" vertical="center"/>
    </xf>
    <xf numFmtId="167" fontId="7" fillId="3" borderId="1" xfId="2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10" fontId="7" fillId="3" borderId="1" xfId="1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7" fontId="4" fillId="0" borderId="1" xfId="2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10" fontId="7" fillId="0" borderId="1" xfId="1" applyNumberFormat="1" applyFont="1" applyFill="1" applyBorder="1" applyAlignment="1">
      <alignment vertical="center"/>
    </xf>
    <xf numFmtId="49" fontId="4" fillId="0" borderId="1" xfId="0" applyNumberFormat="1" applyFont="1" applyBorder="1"/>
    <xf numFmtId="167" fontId="4" fillId="0" borderId="1" xfId="2" applyNumberFormat="1" applyFont="1" applyBorder="1"/>
    <xf numFmtId="49" fontId="0" fillId="0" borderId="1" xfId="0" applyNumberFormat="1" applyBorder="1" applyAlignment="1">
      <alignment horizontal="center" vertical="center"/>
    </xf>
    <xf numFmtId="167" fontId="1" fillId="0" borderId="1" xfId="2" applyNumberFormat="1" applyFont="1" applyBorder="1"/>
    <xf numFmtId="10" fontId="1" fillId="0" borderId="1" xfId="1" applyNumberFormat="1" applyFont="1" applyBorder="1"/>
    <xf numFmtId="167" fontId="1" fillId="0" borderId="1" xfId="2" applyNumberFormat="1" applyFont="1" applyBorder="1" applyAlignment="1">
      <alignment vertical="center"/>
    </xf>
    <xf numFmtId="167" fontId="1" fillId="0" borderId="1" xfId="2" applyNumberFormat="1" applyFont="1" applyFill="1" applyBorder="1" applyAlignment="1">
      <alignment vertical="center"/>
    </xf>
    <xf numFmtId="164" fontId="7" fillId="3" borderId="1" xfId="2" applyFont="1" applyFill="1" applyBorder="1" applyAlignment="1">
      <alignment horizontal="right" vertical="center"/>
    </xf>
    <xf numFmtId="164" fontId="7" fillId="0" borderId="1" xfId="2" applyFont="1" applyBorder="1"/>
    <xf numFmtId="167" fontId="7" fillId="0" borderId="1" xfId="2" applyNumberFormat="1" applyFont="1" applyBorder="1"/>
    <xf numFmtId="167" fontId="5" fillId="0" borderId="1" xfId="2" applyNumberFormat="1" applyFont="1" applyBorder="1"/>
    <xf numFmtId="167" fontId="5" fillId="0" borderId="1" xfId="2" applyNumberFormat="1" applyFont="1" applyBorder="1" applyAlignment="1">
      <alignment vertical="center"/>
    </xf>
    <xf numFmtId="9" fontId="1" fillId="0" borderId="0" xfId="1" applyFont="1"/>
    <xf numFmtId="0" fontId="7" fillId="0" borderId="1" xfId="0" applyFont="1" applyBorder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/>
    <xf numFmtId="0" fontId="20" fillId="0" borderId="12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164" fontId="26" fillId="0" borderId="12" xfId="2" applyFont="1" applyBorder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left" vertical="center"/>
    </xf>
    <xf numFmtId="164" fontId="17" fillId="0" borderId="12" xfId="2" applyFont="1" applyBorder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20" fillId="0" borderId="12" xfId="3" applyFont="1" applyBorder="1" applyAlignment="1">
      <alignment horizontal="left" vertical="center" wrapText="1"/>
    </xf>
    <xf numFmtId="164" fontId="20" fillId="12" borderId="12" xfId="2" applyFont="1" applyFill="1" applyBorder="1" applyAlignment="1">
      <alignment horizontal="center" vertical="center"/>
    </xf>
    <xf numFmtId="165" fontId="20" fillId="12" borderId="12" xfId="3" applyNumberFormat="1" applyFont="1" applyFill="1" applyBorder="1" applyAlignment="1">
      <alignment horizontal="center" vertical="center"/>
    </xf>
    <xf numFmtId="0" fontId="17" fillId="13" borderId="12" xfId="3" applyFont="1" applyFill="1" applyBorder="1" applyAlignment="1">
      <alignment horizontal="left" vertical="center"/>
    </xf>
    <xf numFmtId="3" fontId="17" fillId="13" borderId="12" xfId="3" applyNumberFormat="1" applyFont="1" applyFill="1" applyBorder="1" applyAlignment="1">
      <alignment horizontal="center" vertical="center" wrapText="1"/>
    </xf>
    <xf numFmtId="164" fontId="17" fillId="13" borderId="12" xfId="2" applyFont="1" applyFill="1" applyBorder="1" applyAlignment="1">
      <alignment horizontal="center" vertical="center" wrapText="1"/>
    </xf>
    <xf numFmtId="165" fontId="17" fillId="13" borderId="12" xfId="3" applyNumberFormat="1" applyFont="1" applyFill="1" applyBorder="1" applyAlignment="1">
      <alignment horizontal="center" vertical="center" wrapText="1"/>
    </xf>
    <xf numFmtId="0" fontId="17" fillId="13" borderId="0" xfId="3" applyFont="1" applyFill="1" applyAlignment="1">
      <alignment horizontal="center" vertical="center"/>
    </xf>
    <xf numFmtId="0" fontId="20" fillId="0" borderId="12" xfId="3" applyFont="1" applyBorder="1" applyAlignment="1">
      <alignment horizontal="left" vertical="center"/>
    </xf>
    <xf numFmtId="168" fontId="20" fillId="12" borderId="12" xfId="3" applyNumberFormat="1" applyFont="1" applyFill="1" applyBorder="1" applyAlignment="1">
      <alignment horizontal="center" vertical="center"/>
    </xf>
    <xf numFmtId="0" fontId="20" fillId="12" borderId="12" xfId="3" applyFont="1" applyFill="1" applyBorder="1" applyAlignment="1">
      <alignment horizontal="center" vertical="center"/>
    </xf>
    <xf numFmtId="0" fontId="17" fillId="13" borderId="12" xfId="3" applyFont="1" applyFill="1" applyBorder="1" applyAlignment="1">
      <alignment horizontal="center" vertical="center" wrapText="1"/>
    </xf>
    <xf numFmtId="168" fontId="17" fillId="13" borderId="12" xfId="3" applyNumberFormat="1" applyFont="1" applyFill="1" applyBorder="1" applyAlignment="1">
      <alignment horizontal="center" vertical="center" wrapText="1"/>
    </xf>
    <xf numFmtId="0" fontId="27" fillId="6" borderId="12" xfId="3" applyFont="1" applyFill="1" applyBorder="1" applyAlignment="1">
      <alignment horizontal="left" vertical="center"/>
    </xf>
    <xf numFmtId="3" fontId="27" fillId="6" borderId="12" xfId="3" applyNumberFormat="1" applyFont="1" applyFill="1" applyBorder="1" applyAlignment="1">
      <alignment horizontal="center" vertical="center"/>
    </xf>
    <xf numFmtId="164" fontId="27" fillId="6" borderId="12" xfId="2" applyFont="1" applyFill="1" applyBorder="1" applyAlignment="1">
      <alignment horizontal="center" vertical="center"/>
    </xf>
    <xf numFmtId="165" fontId="27" fillId="6" borderId="12" xfId="3" applyNumberFormat="1" applyFont="1" applyFill="1" applyBorder="1" applyAlignment="1">
      <alignment horizontal="center" vertical="center"/>
    </xf>
    <xf numFmtId="0" fontId="17" fillId="6" borderId="0" xfId="3" applyFont="1" applyFill="1" applyAlignment="1">
      <alignment vertical="center"/>
    </xf>
    <xf numFmtId="164" fontId="20" fillId="0" borderId="0" xfId="2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3" borderId="17" xfId="0" applyFont="1" applyFill="1" applyBorder="1" applyAlignment="1">
      <alignment horizontal="center" vertical="center" wrapText="1"/>
    </xf>
    <xf numFmtId="170" fontId="30" fillId="14" borderId="17" xfId="0" applyNumberFormat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166" fontId="29" fillId="3" borderId="15" xfId="0" applyNumberFormat="1" applyFont="1" applyFill="1" applyBorder="1"/>
    <xf numFmtId="0" fontId="32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2" fillId="0" borderId="17" xfId="0" applyFont="1" applyBorder="1"/>
    <xf numFmtId="166" fontId="29" fillId="0" borderId="17" xfId="2" applyNumberFormat="1" applyFont="1" applyBorder="1"/>
    <xf numFmtId="166" fontId="34" fillId="0" borderId="17" xfId="2" applyNumberFormat="1" applyFont="1" applyBorder="1"/>
    <xf numFmtId="166" fontId="29" fillId="0" borderId="17" xfId="0" applyNumberFormat="1" applyFont="1" applyBorder="1"/>
    <xf numFmtId="166" fontId="29" fillId="0" borderId="0" xfId="0" applyNumberFormat="1" applyFont="1"/>
    <xf numFmtId="0" fontId="32" fillId="0" borderId="17" xfId="0" applyFont="1" applyBorder="1" applyAlignment="1">
      <alignment wrapText="1"/>
    </xf>
    <xf numFmtId="166" fontId="29" fillId="0" borderId="17" xfId="2" applyNumberFormat="1" applyFont="1" applyFill="1" applyBorder="1"/>
    <xf numFmtId="0" fontId="32" fillId="0" borderId="17" xfId="0" applyFont="1" applyBorder="1" applyAlignment="1">
      <alignment horizontal="justify" vertical="center"/>
    </xf>
    <xf numFmtId="0" fontId="32" fillId="0" borderId="0" xfId="0" applyFont="1"/>
    <xf numFmtId="0" fontId="33" fillId="0" borderId="0" xfId="0" applyFont="1"/>
    <xf numFmtId="0" fontId="30" fillId="0" borderId="0" xfId="0" applyFont="1" applyAlignment="1">
      <alignment horizontal="right"/>
    </xf>
    <xf numFmtId="166" fontId="34" fillId="0" borderId="0" xfId="2" applyNumberFormat="1" applyFont="1"/>
    <xf numFmtId="166" fontId="36" fillId="0" borderId="0" xfId="2" applyNumberFormat="1" applyFont="1"/>
    <xf numFmtId="166" fontId="29" fillId="0" borderId="0" xfId="2" applyNumberFormat="1" applyFont="1"/>
    <xf numFmtId="0" fontId="30" fillId="3" borderId="17" xfId="0" applyFont="1" applyFill="1" applyBorder="1" applyAlignment="1">
      <alignment horizontal="center" vertical="center"/>
    </xf>
    <xf numFmtId="166" fontId="30" fillId="3" borderId="17" xfId="0" applyNumberFormat="1" applyFont="1" applyFill="1" applyBorder="1" applyAlignment="1">
      <alignment horizontal="center" vertical="center"/>
    </xf>
    <xf numFmtId="166" fontId="34" fillId="0" borderId="20" xfId="2" applyNumberFormat="1" applyFont="1" applyBorder="1"/>
    <xf numFmtId="0" fontId="30" fillId="0" borderId="21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166" fontId="30" fillId="0" borderId="0" xfId="2" applyNumberFormat="1" applyFont="1"/>
    <xf numFmtId="166" fontId="34" fillId="0" borderId="0" xfId="0" applyNumberFormat="1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6" fontId="36" fillId="0" borderId="0" xfId="0" applyNumberFormat="1" applyFont="1"/>
    <xf numFmtId="0" fontId="37" fillId="0" borderId="0" xfId="0" applyFont="1"/>
    <xf numFmtId="0" fontId="36" fillId="0" borderId="0" xfId="0" applyFont="1" applyAlignment="1">
      <alignment horizontal="center"/>
    </xf>
    <xf numFmtId="0" fontId="39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166" fontId="1" fillId="0" borderId="0" xfId="2" applyNumberFormat="1" applyFont="1"/>
    <xf numFmtId="0" fontId="4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71" fontId="0" fillId="0" borderId="0" xfId="0" applyNumberFormat="1"/>
    <xf numFmtId="0" fontId="40" fillId="7" borderId="1" xfId="0" applyFont="1" applyFill="1" applyBorder="1" applyAlignment="1">
      <alignment horizontal="center" vertical="center"/>
    </xf>
    <xf numFmtId="0" fontId="40" fillId="7" borderId="1" xfId="0" applyFont="1" applyFill="1" applyBorder="1" applyAlignment="1">
      <alignment vertical="center" wrapText="1"/>
    </xf>
    <xf numFmtId="3" fontId="40" fillId="7" borderId="1" xfId="0" applyNumberFormat="1" applyFont="1" applyFill="1" applyBorder="1" applyAlignment="1">
      <alignment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vertical="center" wrapText="1"/>
    </xf>
    <xf numFmtId="3" fontId="40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3" fontId="5" fillId="14" borderId="1" xfId="0" applyNumberFormat="1" applyFont="1" applyFill="1" applyBorder="1"/>
    <xf numFmtId="0" fontId="17" fillId="7" borderId="1" xfId="0" applyFont="1" applyFill="1" applyBorder="1" applyAlignment="1">
      <alignment vertical="center" wrapText="1"/>
    </xf>
    <xf numFmtId="166" fontId="0" fillId="0" borderId="0" xfId="0" applyNumberFormat="1"/>
    <xf numFmtId="0" fontId="27" fillId="10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vertical="center"/>
    </xf>
    <xf numFmtId="3" fontId="27" fillId="10" borderId="1" xfId="0" applyNumberFormat="1" applyFont="1" applyFill="1" applyBorder="1" applyAlignment="1">
      <alignment vertical="center"/>
    </xf>
    <xf numFmtId="166" fontId="1" fillId="0" borderId="0" xfId="2" applyNumberFormat="1" applyFont="1" applyAlignment="1">
      <alignment horizontal="center"/>
    </xf>
    <xf numFmtId="166" fontId="4" fillId="15" borderId="17" xfId="2" applyNumberFormat="1" applyFont="1" applyFill="1" applyBorder="1" applyAlignment="1">
      <alignment horizontal="center" vertical="center" wrapText="1"/>
    </xf>
    <xf numFmtId="166" fontId="4" fillId="15" borderId="17" xfId="2" applyNumberFormat="1" applyFont="1" applyFill="1" applyBorder="1" applyAlignment="1">
      <alignment vertical="center"/>
    </xf>
    <xf numFmtId="0" fontId="0" fillId="0" borderId="17" xfId="0" applyBorder="1" applyAlignment="1">
      <alignment vertical="center" wrapText="1"/>
    </xf>
    <xf numFmtId="166" fontId="1" fillId="0" borderId="17" xfId="2" applyNumberFormat="1" applyFont="1" applyBorder="1" applyAlignment="1">
      <alignment vertical="center"/>
    </xf>
    <xf numFmtId="166" fontId="1" fillId="0" borderId="17" xfId="2" applyNumberFormat="1" applyFont="1" applyBorder="1" applyAlignment="1">
      <alignment horizontal="right" vertical="center"/>
    </xf>
    <xf numFmtId="166" fontId="1" fillId="0" borderId="17" xfId="2" applyNumberFormat="1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/>
    </xf>
    <xf numFmtId="166" fontId="4" fillId="3" borderId="17" xfId="2" applyNumberFormat="1" applyFont="1" applyFill="1" applyBorder="1"/>
    <xf numFmtId="166" fontId="4" fillId="3" borderId="17" xfId="2" applyNumberFormat="1" applyFont="1" applyFill="1" applyBorder="1" applyAlignment="1">
      <alignment horizontal="center"/>
    </xf>
    <xf numFmtId="0" fontId="22" fillId="0" borderId="0" xfId="3" applyFont="1"/>
    <xf numFmtId="0" fontId="19" fillId="0" borderId="0" xfId="3" applyFont="1"/>
    <xf numFmtId="0" fontId="32" fillId="0" borderId="0" xfId="3" applyFont="1" applyAlignment="1">
      <alignment horizontal="center"/>
    </xf>
    <xf numFmtId="49" fontId="21" fillId="0" borderId="0" xfId="3" applyNumberFormat="1" applyFont="1" applyAlignment="1">
      <alignment horizontal="center"/>
    </xf>
    <xf numFmtId="0" fontId="21" fillId="0" borderId="0" xfId="3" applyFont="1"/>
    <xf numFmtId="0" fontId="15" fillId="0" borderId="0" xfId="3"/>
    <xf numFmtId="0" fontId="41" fillId="0" borderId="1" xfId="3" applyFont="1" applyBorder="1" applyAlignment="1">
      <alignment horizontal="center"/>
    </xf>
    <xf numFmtId="49" fontId="41" fillId="0" borderId="1" xfId="3" applyNumberFormat="1" applyFont="1" applyBorder="1" applyAlignment="1">
      <alignment horizontal="center"/>
    </xf>
    <xf numFmtId="0" fontId="21" fillId="0" borderId="1" xfId="3" applyFont="1" applyBorder="1" applyAlignment="1">
      <alignment horizontal="center"/>
    </xf>
    <xf numFmtId="49" fontId="21" fillId="0" borderId="1" xfId="3" applyNumberFormat="1" applyFont="1" applyBorder="1" applyAlignment="1">
      <alignment horizontal="center"/>
    </xf>
    <xf numFmtId="0" fontId="21" fillId="0" borderId="1" xfId="3" applyFont="1" applyBorder="1" applyAlignment="1">
      <alignment horizontal="left" indent="1"/>
    </xf>
    <xf numFmtId="0" fontId="21" fillId="0" borderId="0" xfId="3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7" fontId="7" fillId="2" borderId="11" xfId="2" applyNumberFormat="1" applyFont="1" applyFill="1" applyBorder="1" applyAlignment="1">
      <alignment horizontal="center" vertical="center" wrapText="1"/>
    </xf>
    <xf numFmtId="167" fontId="7" fillId="2" borderId="10" xfId="2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168" fontId="7" fillId="2" borderId="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168" fontId="4" fillId="2" borderId="5" xfId="0" applyNumberFormat="1" applyFont="1" applyFill="1" applyBorder="1" applyAlignment="1">
      <alignment horizontal="center" vertical="center" wrapText="1"/>
    </xf>
    <xf numFmtId="167" fontId="4" fillId="2" borderId="11" xfId="2" applyNumberFormat="1" applyFont="1" applyFill="1" applyBorder="1" applyAlignment="1">
      <alignment horizontal="center" vertical="center" wrapText="1"/>
    </xf>
    <xf numFmtId="167" fontId="4" fillId="2" borderId="10" xfId="2" applyNumberFormat="1" applyFont="1" applyFill="1" applyBorder="1" applyAlignment="1">
      <alignment horizontal="center" vertical="center" wrapText="1"/>
    </xf>
    <xf numFmtId="0" fontId="25" fillId="0" borderId="14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 wrapText="1"/>
    </xf>
    <xf numFmtId="164" fontId="20" fillId="0" borderId="12" xfId="2" applyFont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0" fontId="30" fillId="3" borderId="1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170" fontId="30" fillId="3" borderId="19" xfId="0" applyNumberFormat="1" applyFont="1" applyFill="1" applyBorder="1" applyAlignment="1">
      <alignment horizontal="center" vertical="center" wrapText="1"/>
    </xf>
    <xf numFmtId="170" fontId="30" fillId="3" borderId="15" xfId="0" applyNumberFormat="1" applyFont="1" applyFill="1" applyBorder="1" applyAlignment="1">
      <alignment horizontal="center" vertical="center" wrapText="1"/>
    </xf>
    <xf numFmtId="170" fontId="30" fillId="3" borderId="16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166" fontId="4" fillId="3" borderId="17" xfId="2" applyNumberFormat="1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0" fillId="0" borderId="0" xfId="3" applyFont="1" applyAlignment="1">
      <alignment horizontal="center"/>
    </xf>
  </cellXfs>
  <cellStyles count="4">
    <cellStyle name="Ezres 2" xfId="2" xr:uid="{1BB85691-5ED6-4D12-BCE6-C782CA8FE225}"/>
    <cellStyle name="Normál" xfId="0" builtinId="0"/>
    <cellStyle name="Normál 3" xfId="3" xr:uid="{8EB46663-91C1-49BD-B9E2-4076EA7FE8BB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El&#337;terjeszt&#233;sek/&#214;nkorm&#225;nyzat%20el&#337;terjeszt&#233;sei/2015%20&#233;v/Els&#337;%20f&#233;l&#233;v/20150226/Koltsegvetes%202015/V&#233;gleges%20anyagok/Ktgv_2015_2015_02_25_ja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2016%20&#233;vi%20k&#246;lts&#233;gvet&#233;s\Ktgv_2015_elso_olvasat_2015_10_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2016%20&#233;vi%20k&#246;lts&#233;gvet&#233;s\R&#233;gi%20t&#225;bla\Ktgv_2015_elso_olvasat_2015_10_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Ktgv_2015_elso_olvasat_2015_10_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_2020_R_M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8_2020_R_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yenlegmutató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2E VÉA"/>
      <sheetName val="2F KVA"/>
      <sheetName val="3A PH"/>
      <sheetName val="3B PH fel"/>
      <sheetName val="4A Walla"/>
      <sheetName val="4B Nyitnikék"/>
      <sheetName val="4C Bóbita"/>
      <sheetName val="4D MMMH"/>
      <sheetName val="4E Könyvtár"/>
      <sheetName val="4F Segítő Kéz"/>
      <sheetName val="4G Szérüskert"/>
      <sheetName val="Walla"/>
      <sheetName val="4H VG bev kiad"/>
      <sheetName val="5 GSZNR fel"/>
      <sheetName val="Könyvtár"/>
      <sheetName val="6. létszámkeret"/>
      <sheetName val="Beruházás"/>
      <sheetName val="Felújítás"/>
      <sheetName val="7. projektek"/>
      <sheetName val="7. Fejlesztések"/>
      <sheetName val="8. stab tv"/>
      <sheetName val="9. Uniós tám"/>
      <sheetName val="10. címrend"/>
      <sheetName val="ÖK kiad"/>
      <sheetName val="MMMH"/>
      <sheetName val="Nyitnikék"/>
      <sheetName val="Bóbita"/>
      <sheetName val="SKSZ"/>
      <sheetName val="PH"/>
    </sheetNames>
    <sheetDataSet>
      <sheetData sheetId="0"/>
      <sheetData sheetId="1"/>
      <sheetData sheetId="2">
        <row r="5">
          <cell r="F5">
            <v>674769291</v>
          </cell>
        </row>
        <row r="10">
          <cell r="F10">
            <v>3647000000</v>
          </cell>
        </row>
        <row r="11">
          <cell r="F11">
            <v>1157000000</v>
          </cell>
        </row>
        <row r="12">
          <cell r="F12">
            <v>2480000000</v>
          </cell>
        </row>
        <row r="14">
          <cell r="F14">
            <v>1000000</v>
          </cell>
        </row>
        <row r="15">
          <cell r="F15">
            <v>1000000</v>
          </cell>
        </row>
        <row r="16">
          <cell r="F16">
            <v>0</v>
          </cell>
        </row>
        <row r="17">
          <cell r="F17">
            <v>257523960</v>
          </cell>
        </row>
        <row r="20">
          <cell r="F20">
            <v>34245000</v>
          </cell>
        </row>
        <row r="26">
          <cell r="F26">
            <v>0</v>
          </cell>
        </row>
        <row r="30">
          <cell r="F30">
            <v>439116000</v>
          </cell>
        </row>
        <row r="34">
          <cell r="F34">
            <v>110000000</v>
          </cell>
        </row>
        <row r="39">
          <cell r="F39">
            <v>901655</v>
          </cell>
        </row>
        <row r="48">
          <cell r="F48">
            <v>0</v>
          </cell>
        </row>
        <row r="53">
          <cell r="F53">
            <v>0</v>
          </cell>
        </row>
        <row r="54">
          <cell r="F54">
            <v>1000000000</v>
          </cell>
        </row>
        <row r="56">
          <cell r="F56">
            <v>0</v>
          </cell>
        </row>
        <row r="57">
          <cell r="F57">
            <v>0</v>
          </cell>
        </row>
      </sheetData>
      <sheetData sheetId="3">
        <row r="5">
          <cell r="F5">
            <v>1664186070</v>
          </cell>
        </row>
        <row r="6">
          <cell r="F6">
            <v>327439915</v>
          </cell>
        </row>
        <row r="7">
          <cell r="F7">
            <v>1582950725</v>
          </cell>
        </row>
        <row r="8">
          <cell r="F8">
            <v>34000000</v>
          </cell>
        </row>
        <row r="9">
          <cell r="F9">
            <v>943223006</v>
          </cell>
        </row>
        <row r="16">
          <cell r="F16">
            <v>1155840350</v>
          </cell>
        </row>
        <row r="17">
          <cell r="F17">
            <v>215509840</v>
          </cell>
        </row>
        <row r="18">
          <cell r="F18">
            <v>700000</v>
          </cell>
        </row>
        <row r="27">
          <cell r="B27" t="str">
            <v>1.1. Hitel-, kölcsöntörlesztés államháztartáson kívülre</v>
          </cell>
          <cell r="F27">
            <v>180645000</v>
          </cell>
        </row>
        <row r="29">
          <cell r="F29">
            <v>24816000</v>
          </cell>
        </row>
        <row r="32">
          <cell r="F32">
            <v>0</v>
          </cell>
        </row>
      </sheetData>
      <sheetData sheetId="4"/>
      <sheetData sheetId="5">
        <row r="31">
          <cell r="F31">
            <v>70000000</v>
          </cell>
        </row>
      </sheetData>
      <sheetData sheetId="6">
        <row r="5">
          <cell r="F5">
            <v>11</v>
          </cell>
        </row>
        <row r="6">
          <cell r="F6">
            <v>0</v>
          </cell>
        </row>
      </sheetData>
      <sheetData sheetId="7">
        <row r="220">
          <cell r="E220">
            <v>180645000</v>
          </cell>
        </row>
      </sheetData>
      <sheetData sheetId="8"/>
      <sheetData sheetId="9"/>
      <sheetData sheetId="10"/>
      <sheetData sheetId="11">
        <row r="5">
          <cell r="F5">
            <v>84</v>
          </cell>
        </row>
        <row r="6">
          <cell r="F6">
            <v>0</v>
          </cell>
        </row>
        <row r="7">
          <cell r="F7">
            <v>7</v>
          </cell>
        </row>
      </sheetData>
      <sheetData sheetId="12"/>
      <sheetData sheetId="13">
        <row r="6">
          <cell r="E6">
            <v>13</v>
          </cell>
        </row>
      </sheetData>
      <sheetData sheetId="14">
        <row r="6">
          <cell r="E6">
            <v>32</v>
          </cell>
        </row>
      </sheetData>
      <sheetData sheetId="15">
        <row r="6">
          <cell r="E6">
            <v>55</v>
          </cell>
        </row>
      </sheetData>
      <sheetData sheetId="16">
        <row r="6">
          <cell r="E6">
            <v>17</v>
          </cell>
        </row>
      </sheetData>
      <sheetData sheetId="17">
        <row r="6">
          <cell r="E6">
            <v>5.5</v>
          </cell>
        </row>
      </sheetData>
      <sheetData sheetId="18"/>
      <sheetData sheetId="19">
        <row r="6">
          <cell r="E6">
            <v>24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D9">
            <v>15500000</v>
          </cell>
          <cell r="E9">
            <v>4145000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yenlegmutató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2E VÉA"/>
      <sheetName val="2F KVA"/>
      <sheetName val="3A PH"/>
      <sheetName val="3B PH fel"/>
      <sheetName val="4A Walla"/>
      <sheetName val="4B Nyitnikék"/>
      <sheetName val="4C Bóbita"/>
      <sheetName val="4D MMMH"/>
      <sheetName val="4E Könyvtár"/>
      <sheetName val="4F Segítő Kéz"/>
      <sheetName val="4G Szérüskert"/>
      <sheetName val="Walla"/>
      <sheetName val="4H VG bev kiad"/>
      <sheetName val="Könyvtár"/>
      <sheetName val="5 GSZNR fel"/>
      <sheetName val="7. Fejlesztések"/>
      <sheetName val="6. létszámkeret"/>
      <sheetName val="Beruházás"/>
      <sheetName val="Felújítás"/>
      <sheetName val="7. projektek"/>
      <sheetName val="8. stab tv"/>
      <sheetName val="9. Uniós tám"/>
      <sheetName val="10. címrend"/>
      <sheetName val="ÖK kiad"/>
      <sheetName val="MMMH"/>
      <sheetName val="Nyitnikék"/>
      <sheetName val="Bóbita"/>
      <sheetName val="SKSZ"/>
      <sheetName val="PH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622169291</v>
          </cell>
          <cell r="D7">
            <v>12600000</v>
          </cell>
          <cell r="E7">
            <v>0</v>
          </cell>
          <cell r="G7">
            <v>633894289</v>
          </cell>
          <cell r="H7">
            <v>12600000</v>
          </cell>
          <cell r="I7">
            <v>0</v>
          </cell>
          <cell r="K7">
            <v>306010885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100905775</v>
          </cell>
          <cell r="H16">
            <v>0</v>
          </cell>
          <cell r="I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</row>
        <row r="18">
          <cell r="C18">
            <v>40000000</v>
          </cell>
          <cell r="D18">
            <v>0</v>
          </cell>
          <cell r="E18">
            <v>0</v>
          </cell>
          <cell r="G18">
            <v>40000000</v>
          </cell>
          <cell r="H18">
            <v>0</v>
          </cell>
          <cell r="I18">
            <v>0</v>
          </cell>
          <cell r="K18">
            <v>22378553</v>
          </cell>
        </row>
        <row r="27">
          <cell r="C27">
            <v>1157000000</v>
          </cell>
          <cell r="D27">
            <v>0</v>
          </cell>
          <cell r="E27">
            <v>0</v>
          </cell>
          <cell r="G27">
            <v>1157000000</v>
          </cell>
          <cell r="H27">
            <v>0</v>
          </cell>
          <cell r="I27">
            <v>0</v>
          </cell>
          <cell r="K27">
            <v>571948189</v>
          </cell>
        </row>
        <row r="30">
          <cell r="C30">
            <v>2480000000</v>
          </cell>
          <cell r="D30">
            <v>0</v>
          </cell>
          <cell r="E30">
            <v>0</v>
          </cell>
          <cell r="G30">
            <v>2410000000</v>
          </cell>
          <cell r="H30">
            <v>0</v>
          </cell>
          <cell r="I30">
            <v>0</v>
          </cell>
          <cell r="K30">
            <v>1060106110</v>
          </cell>
        </row>
        <row r="33">
          <cell r="C33">
            <v>9000000</v>
          </cell>
          <cell r="D33">
            <v>0</v>
          </cell>
          <cell r="E33">
            <v>0</v>
          </cell>
          <cell r="G33">
            <v>1450000</v>
          </cell>
          <cell r="H33">
            <v>0</v>
          </cell>
          <cell r="I33">
            <v>0</v>
          </cell>
          <cell r="K33">
            <v>1961400</v>
          </cell>
        </row>
        <row r="38">
          <cell r="C38"/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4596786</v>
          </cell>
        </row>
        <row r="39">
          <cell r="C39"/>
          <cell r="D39">
            <v>0</v>
          </cell>
          <cell r="E39">
            <v>0</v>
          </cell>
          <cell r="G39"/>
          <cell r="H39">
            <v>0</v>
          </cell>
          <cell r="I39">
            <v>0</v>
          </cell>
          <cell r="K39"/>
        </row>
        <row r="40">
          <cell r="C40"/>
          <cell r="D40">
            <v>0</v>
          </cell>
          <cell r="E40">
            <v>0</v>
          </cell>
          <cell r="G40"/>
          <cell r="H40">
            <v>0</v>
          </cell>
          <cell r="I40">
            <v>0</v>
          </cell>
          <cell r="K40"/>
        </row>
        <row r="41">
          <cell r="C41"/>
          <cell r="D41">
            <v>0</v>
          </cell>
          <cell r="E41">
            <v>0</v>
          </cell>
          <cell r="G41"/>
          <cell r="H41">
            <v>0</v>
          </cell>
          <cell r="I41">
            <v>0</v>
          </cell>
          <cell r="K41"/>
        </row>
        <row r="43"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</row>
        <row r="44">
          <cell r="C44">
            <v>24490000</v>
          </cell>
          <cell r="D44">
            <v>0</v>
          </cell>
          <cell r="E44">
            <v>0</v>
          </cell>
          <cell r="G44">
            <v>24490000</v>
          </cell>
          <cell r="H44">
            <v>0</v>
          </cell>
          <cell r="I44">
            <v>0</v>
          </cell>
          <cell r="K44">
            <v>9560718</v>
          </cell>
        </row>
        <row r="47">
          <cell r="C47">
            <v>5397000</v>
          </cell>
          <cell r="D47">
            <v>28848000</v>
          </cell>
          <cell r="E47">
            <v>0</v>
          </cell>
          <cell r="G47">
            <v>5397000</v>
          </cell>
          <cell r="H47">
            <v>28848000</v>
          </cell>
          <cell r="I47">
            <v>0</v>
          </cell>
          <cell r="K47">
            <v>14543974</v>
          </cell>
        </row>
        <row r="51"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  <cell r="K51">
            <v>11580</v>
          </cell>
        </row>
        <row r="52">
          <cell r="C52">
            <v>0</v>
          </cell>
          <cell r="D52">
            <v>7788960</v>
          </cell>
          <cell r="E52">
            <v>0</v>
          </cell>
          <cell r="G52">
            <v>0</v>
          </cell>
          <cell r="H52">
            <v>7788960</v>
          </cell>
          <cell r="I52">
            <v>0</v>
          </cell>
          <cell r="K52">
            <v>5920290</v>
          </cell>
        </row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</row>
        <row r="54">
          <cell r="C54"/>
          <cell r="D54">
            <v>0</v>
          </cell>
          <cell r="E54">
            <v>0</v>
          </cell>
          <cell r="G54"/>
          <cell r="H54">
            <v>0</v>
          </cell>
          <cell r="I54">
            <v>0</v>
          </cell>
          <cell r="K54">
            <v>0</v>
          </cell>
        </row>
        <row r="55">
          <cell r="C55">
            <v>10000000</v>
          </cell>
          <cell r="D55">
            <v>0</v>
          </cell>
          <cell r="E55">
            <v>0</v>
          </cell>
          <cell r="G55">
            <v>10000000</v>
          </cell>
          <cell r="H55">
            <v>0</v>
          </cell>
          <cell r="I55">
            <v>0</v>
          </cell>
          <cell r="K55">
            <v>14343349</v>
          </cell>
        </row>
        <row r="57"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C58"/>
          <cell r="D58">
            <v>0</v>
          </cell>
          <cell r="E58">
            <v>0</v>
          </cell>
          <cell r="G58"/>
          <cell r="H58">
            <v>0</v>
          </cell>
          <cell r="I58">
            <v>0</v>
          </cell>
          <cell r="K58">
            <v>976767</v>
          </cell>
        </row>
        <row r="65">
          <cell r="C65">
            <v>400000000</v>
          </cell>
          <cell r="D65">
            <v>0</v>
          </cell>
          <cell r="E65">
            <v>0</v>
          </cell>
          <cell r="G65">
            <v>400000000</v>
          </cell>
          <cell r="H65">
            <v>0</v>
          </cell>
          <cell r="I65">
            <v>0</v>
          </cell>
          <cell r="K65"/>
        </row>
        <row r="66"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C67">
            <v>39116000</v>
          </cell>
          <cell r="D67">
            <v>0</v>
          </cell>
          <cell r="E67">
            <v>0</v>
          </cell>
          <cell r="G67">
            <v>47524022</v>
          </cell>
          <cell r="H67">
            <v>0</v>
          </cell>
          <cell r="I67">
            <v>0</v>
          </cell>
          <cell r="K67">
            <v>8408022</v>
          </cell>
        </row>
        <row r="69"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</row>
        <row r="70">
          <cell r="C70">
            <v>110000000</v>
          </cell>
          <cell r="D70">
            <v>0</v>
          </cell>
          <cell r="E70">
            <v>0</v>
          </cell>
          <cell r="G70">
            <v>110000000</v>
          </cell>
          <cell r="H70">
            <v>0</v>
          </cell>
          <cell r="I70">
            <v>0</v>
          </cell>
          <cell r="K70">
            <v>1025195</v>
          </cell>
        </row>
        <row r="74"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K77"/>
        </row>
        <row r="78"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  <cell r="K78"/>
        </row>
        <row r="79">
          <cell r="C79">
            <v>0</v>
          </cell>
          <cell r="D79">
            <v>901655</v>
          </cell>
          <cell r="E79">
            <v>0</v>
          </cell>
          <cell r="G79">
            <v>0</v>
          </cell>
          <cell r="H79">
            <v>901655</v>
          </cell>
          <cell r="I79">
            <v>0</v>
          </cell>
          <cell r="K79">
            <v>621385</v>
          </cell>
        </row>
        <row r="83"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  <cell r="K83">
            <v>1692930</v>
          </cell>
        </row>
        <row r="96">
          <cell r="C96">
            <v>0</v>
          </cell>
          <cell r="D96"/>
          <cell r="E96">
            <v>0</v>
          </cell>
          <cell r="G96">
            <v>0</v>
          </cell>
          <cell r="H96"/>
          <cell r="I96">
            <v>0</v>
          </cell>
        </row>
        <row r="101">
          <cell r="C101">
            <v>1000000000</v>
          </cell>
          <cell r="D101">
            <v>0</v>
          </cell>
          <cell r="E101">
            <v>0</v>
          </cell>
          <cell r="G101">
            <v>1379715282</v>
          </cell>
          <cell r="I101">
            <v>0</v>
          </cell>
          <cell r="K101">
            <v>0</v>
          </cell>
        </row>
        <row r="104">
          <cell r="G104">
            <v>186454375</v>
          </cell>
          <cell r="K104">
            <v>186454375</v>
          </cell>
        </row>
        <row r="105">
          <cell r="C105">
            <v>0</v>
          </cell>
          <cell r="D105"/>
          <cell r="E105">
            <v>0</v>
          </cell>
          <cell r="G105">
            <v>0</v>
          </cell>
          <cell r="H105"/>
          <cell r="I105">
            <v>0</v>
          </cell>
        </row>
      </sheetData>
      <sheetData sheetId="6">
        <row r="8">
          <cell r="C8">
            <v>132280000</v>
          </cell>
          <cell r="D8">
            <v>67548320</v>
          </cell>
          <cell r="E8"/>
          <cell r="G8">
            <v>132280000</v>
          </cell>
          <cell r="H8">
            <v>63884007</v>
          </cell>
          <cell r="I8"/>
          <cell r="K8">
            <v>48197367</v>
          </cell>
        </row>
        <row r="9">
          <cell r="C9">
            <v>24013000</v>
          </cell>
          <cell r="D9">
            <v>9733000</v>
          </cell>
          <cell r="E9"/>
          <cell r="G9">
            <v>24013000</v>
          </cell>
          <cell r="H9">
            <v>9733000</v>
          </cell>
          <cell r="I9"/>
          <cell r="K9">
            <v>7546140</v>
          </cell>
        </row>
        <row r="10">
          <cell r="C10">
            <v>299972600</v>
          </cell>
          <cell r="D10">
            <v>153996445</v>
          </cell>
          <cell r="E10"/>
          <cell r="G10">
            <v>373648566</v>
          </cell>
          <cell r="H10">
            <v>216863003</v>
          </cell>
          <cell r="I10"/>
          <cell r="K10">
            <v>128072329</v>
          </cell>
        </row>
        <row r="11">
          <cell r="C11">
            <v>18000000</v>
          </cell>
          <cell r="D11">
            <v>16000000</v>
          </cell>
          <cell r="E11"/>
          <cell r="G11">
            <v>48233000</v>
          </cell>
          <cell r="H11">
            <v>16484500</v>
          </cell>
          <cell r="I11"/>
          <cell r="K11">
            <v>23564881</v>
          </cell>
        </row>
        <row r="12">
          <cell r="C12">
            <v>636311006</v>
          </cell>
          <cell r="D12">
            <v>306912000</v>
          </cell>
          <cell r="E12">
            <v>0</v>
          </cell>
          <cell r="G12">
            <v>610057483</v>
          </cell>
          <cell r="H12">
            <v>303893000</v>
          </cell>
          <cell r="I12">
            <v>0</v>
          </cell>
          <cell r="K12">
            <v>280748087</v>
          </cell>
        </row>
        <row r="22">
          <cell r="C22">
            <v>744196350</v>
          </cell>
          <cell r="D22">
            <v>392408000</v>
          </cell>
          <cell r="E22"/>
          <cell r="G22">
            <v>799740926</v>
          </cell>
          <cell r="H22">
            <v>571066901</v>
          </cell>
          <cell r="I22"/>
          <cell r="K22">
            <v>141999855</v>
          </cell>
        </row>
        <row r="23">
          <cell r="C23">
            <v>215509840</v>
          </cell>
          <cell r="D23">
            <v>0</v>
          </cell>
          <cell r="E23"/>
          <cell r="G23">
            <v>216246451</v>
          </cell>
          <cell r="H23">
            <v>28145601</v>
          </cell>
          <cell r="I23"/>
          <cell r="K23">
            <v>5426456</v>
          </cell>
        </row>
        <row r="24">
          <cell r="C24">
            <v>700000</v>
          </cell>
          <cell r="D24">
            <v>0</v>
          </cell>
          <cell r="E24">
            <v>0</v>
          </cell>
          <cell r="G24">
            <v>1400000</v>
          </cell>
          <cell r="H24">
            <v>0</v>
          </cell>
          <cell r="I24">
            <v>0</v>
          </cell>
          <cell r="K24">
            <v>0</v>
          </cell>
        </row>
        <row r="33">
          <cell r="C33">
            <v>180645000</v>
          </cell>
          <cell r="D33"/>
          <cell r="E33"/>
          <cell r="G33">
            <v>180645000</v>
          </cell>
          <cell r="H33"/>
          <cell r="I33"/>
          <cell r="K33">
            <v>45161289</v>
          </cell>
        </row>
        <row r="36">
          <cell r="C36"/>
          <cell r="D36"/>
          <cell r="E36"/>
          <cell r="G36"/>
          <cell r="H36"/>
          <cell r="I36"/>
          <cell r="K36"/>
        </row>
        <row r="37">
          <cell r="C37"/>
          <cell r="D37">
            <v>0</v>
          </cell>
          <cell r="E37">
            <v>24816000</v>
          </cell>
          <cell r="G37"/>
          <cell r="H37">
            <v>0</v>
          </cell>
          <cell r="I37">
            <v>211270375</v>
          </cell>
          <cell r="K37">
            <v>211269867</v>
          </cell>
        </row>
        <row r="39">
          <cell r="C39"/>
          <cell r="E39">
            <v>0</v>
          </cell>
          <cell r="G39"/>
          <cell r="I39">
            <v>0</v>
          </cell>
        </row>
        <row r="40">
          <cell r="C40"/>
          <cell r="D40"/>
          <cell r="E40"/>
          <cell r="G40"/>
          <cell r="H40"/>
          <cell r="I40"/>
        </row>
        <row r="42">
          <cell r="C42"/>
          <cell r="D42"/>
          <cell r="E42"/>
          <cell r="G42"/>
          <cell r="H42"/>
          <cell r="I42"/>
        </row>
        <row r="43">
          <cell r="C43"/>
          <cell r="D43"/>
          <cell r="E43"/>
          <cell r="G43"/>
          <cell r="H43"/>
          <cell r="I43"/>
        </row>
        <row r="44">
          <cell r="J44">
            <v>6556969358</v>
          </cell>
        </row>
      </sheetData>
      <sheetData sheetId="7">
        <row r="5">
          <cell r="E5">
            <v>5947310906</v>
          </cell>
          <cell r="I5">
            <v>6556969358</v>
          </cell>
        </row>
        <row r="7">
          <cell r="E7">
            <v>20230000</v>
          </cell>
          <cell r="I7">
            <v>23463000</v>
          </cell>
          <cell r="J7">
            <v>24130</v>
          </cell>
        </row>
        <row r="10">
          <cell r="E10">
            <v>4530000</v>
          </cell>
          <cell r="I10">
            <v>4650000</v>
          </cell>
        </row>
        <row r="11">
          <cell r="E11">
            <v>15000000</v>
          </cell>
          <cell r="I11">
            <v>17413000</v>
          </cell>
        </row>
        <row r="12">
          <cell r="E12">
            <v>700000</v>
          </cell>
          <cell r="I12">
            <v>1400000</v>
          </cell>
        </row>
        <row r="13">
          <cell r="E13">
            <v>6175000</v>
          </cell>
          <cell r="I13">
            <v>6831717</v>
          </cell>
          <cell r="J13">
            <v>681430</v>
          </cell>
        </row>
        <row r="14">
          <cell r="E14">
            <v>6175000</v>
          </cell>
          <cell r="I14">
            <v>6831717</v>
          </cell>
        </row>
        <row r="15">
          <cell r="E15"/>
          <cell r="I15"/>
        </row>
        <row r="16">
          <cell r="E16">
            <v>31417000</v>
          </cell>
          <cell r="I16">
            <v>32760248</v>
          </cell>
          <cell r="J16">
            <v>13248128</v>
          </cell>
        </row>
        <row r="17">
          <cell r="E17"/>
          <cell r="I17"/>
        </row>
        <row r="18">
          <cell r="E18"/>
          <cell r="I18"/>
        </row>
        <row r="19">
          <cell r="E19">
            <v>31417000</v>
          </cell>
          <cell r="I19">
            <v>32760248</v>
          </cell>
        </row>
        <row r="21">
          <cell r="E21">
            <v>57394100</v>
          </cell>
          <cell r="I21">
            <v>57394100</v>
          </cell>
          <cell r="J21">
            <v>20748075</v>
          </cell>
        </row>
        <row r="22">
          <cell r="E22">
            <v>46129000</v>
          </cell>
          <cell r="I22">
            <v>46129000</v>
          </cell>
        </row>
        <row r="23">
          <cell r="E23">
            <v>8303000</v>
          </cell>
          <cell r="I23">
            <v>8303000</v>
          </cell>
        </row>
        <row r="24">
          <cell r="E24">
            <v>2962100</v>
          </cell>
          <cell r="I24">
            <v>2962100</v>
          </cell>
        </row>
        <row r="26">
          <cell r="E26">
            <v>1000000</v>
          </cell>
          <cell r="I26">
            <v>1000000</v>
          </cell>
          <cell r="J26">
            <v>0</v>
          </cell>
        </row>
        <row r="27">
          <cell r="E27">
            <v>1000000</v>
          </cell>
          <cell r="I27">
            <v>1000000</v>
          </cell>
        </row>
        <row r="28">
          <cell r="E28">
            <v>500000</v>
          </cell>
          <cell r="I28">
            <v>500000</v>
          </cell>
          <cell r="J28">
            <v>0</v>
          </cell>
        </row>
        <row r="29">
          <cell r="E29">
            <v>500000</v>
          </cell>
          <cell r="I29">
            <v>500000</v>
          </cell>
        </row>
        <row r="30">
          <cell r="E30">
            <v>4483000</v>
          </cell>
          <cell r="I30">
            <v>7095590</v>
          </cell>
          <cell r="J30">
            <v>1269159</v>
          </cell>
        </row>
        <row r="31">
          <cell r="E31">
            <v>4483000</v>
          </cell>
          <cell r="I31">
            <v>4556276</v>
          </cell>
        </row>
        <row r="32">
          <cell r="E32"/>
          <cell r="I32">
            <v>2539314</v>
          </cell>
        </row>
        <row r="34">
          <cell r="E34">
            <v>9040000</v>
          </cell>
          <cell r="I34">
            <v>9040000</v>
          </cell>
          <cell r="J34">
            <v>1270000</v>
          </cell>
        </row>
        <row r="35">
          <cell r="E35">
            <v>9040000</v>
          </cell>
          <cell r="I35">
            <v>9040000</v>
          </cell>
        </row>
        <row r="36">
          <cell r="E36">
            <v>0</v>
          </cell>
          <cell r="I36">
            <v>0</v>
          </cell>
        </row>
        <row r="37">
          <cell r="E37">
            <v>9000500</v>
          </cell>
          <cell r="I37">
            <v>13001255</v>
          </cell>
          <cell r="J37">
            <v>4000755</v>
          </cell>
        </row>
        <row r="40">
          <cell r="E40">
            <v>7000500</v>
          </cell>
          <cell r="I40">
            <v>9000433</v>
          </cell>
        </row>
        <row r="42">
          <cell r="E42">
            <v>2000000</v>
          </cell>
          <cell r="I42">
            <v>4000822</v>
          </cell>
        </row>
        <row r="43">
          <cell r="E43">
            <v>928637006</v>
          </cell>
          <cell r="I43">
            <v>931589813</v>
          </cell>
          <cell r="J43">
            <v>260016212</v>
          </cell>
        </row>
        <row r="44">
          <cell r="E44">
            <v>86151000</v>
          </cell>
          <cell r="I44">
            <v>86151000</v>
          </cell>
        </row>
        <row r="45">
          <cell r="E45">
            <v>15710000</v>
          </cell>
          <cell r="I45">
            <v>15710000</v>
          </cell>
        </row>
        <row r="46">
          <cell r="E46">
            <v>190465000</v>
          </cell>
          <cell r="I46">
            <v>190388048</v>
          </cell>
        </row>
        <row r="47">
          <cell r="E47">
            <v>444312663</v>
          </cell>
          <cell r="I47">
            <v>446142774</v>
          </cell>
        </row>
        <row r="49">
          <cell r="E49"/>
          <cell r="I49">
            <v>14568440</v>
          </cell>
        </row>
        <row r="50">
          <cell r="I50">
            <v>14714842</v>
          </cell>
        </row>
        <row r="51">
          <cell r="E51">
            <v>889706190</v>
          </cell>
          <cell r="I51">
            <v>979310703</v>
          </cell>
          <cell r="J51">
            <v>119495716</v>
          </cell>
        </row>
        <row r="54">
          <cell r="E54">
            <v>10000000</v>
          </cell>
          <cell r="I54">
            <v>18559744</v>
          </cell>
        </row>
        <row r="55">
          <cell r="E55">
            <v>727196350</v>
          </cell>
          <cell r="I55">
            <v>761219350</v>
          </cell>
        </row>
        <row r="56">
          <cell r="E56">
            <v>152509840</v>
          </cell>
          <cell r="I56">
            <v>199531609</v>
          </cell>
        </row>
        <row r="57">
          <cell r="E57">
            <v>400000</v>
          </cell>
          <cell r="I57">
            <v>400000</v>
          </cell>
          <cell r="J57">
            <v>0</v>
          </cell>
        </row>
        <row r="60">
          <cell r="E60">
            <v>400000</v>
          </cell>
          <cell r="I60">
            <v>400000</v>
          </cell>
        </row>
        <row r="61">
          <cell r="E61">
            <v>18000000</v>
          </cell>
          <cell r="I61">
            <v>48233000</v>
          </cell>
          <cell r="J61">
            <v>22014966</v>
          </cell>
        </row>
        <row r="63">
          <cell r="E63">
            <v>18000000</v>
          </cell>
          <cell r="I63">
            <v>18233000</v>
          </cell>
        </row>
        <row r="64">
          <cell r="I64">
            <v>30000000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/>
          <cell r="I66"/>
        </row>
        <row r="67">
          <cell r="E67"/>
          <cell r="I67"/>
        </row>
        <row r="69">
          <cell r="E69">
            <v>95000000</v>
          </cell>
          <cell r="I69">
            <v>95000000</v>
          </cell>
          <cell r="J69">
            <v>1930116</v>
          </cell>
        </row>
        <row r="70">
          <cell r="E70">
            <v>32000000</v>
          </cell>
          <cell r="I70">
            <v>93000000</v>
          </cell>
        </row>
        <row r="72">
          <cell r="E72">
            <v>63000000</v>
          </cell>
          <cell r="I72">
            <v>2000000</v>
          </cell>
        </row>
        <row r="74">
          <cell r="E74">
            <v>5360000</v>
          </cell>
          <cell r="I74">
            <v>5360000</v>
          </cell>
          <cell r="J74">
            <v>2104096</v>
          </cell>
        </row>
        <row r="75">
          <cell r="E75">
            <v>5360000</v>
          </cell>
          <cell r="I75">
            <v>5360000</v>
          </cell>
        </row>
        <row r="77">
          <cell r="E77">
            <v>1000000</v>
          </cell>
          <cell r="I77">
            <v>1000000</v>
          </cell>
          <cell r="J77">
            <v>151930</v>
          </cell>
        </row>
        <row r="78">
          <cell r="E78">
            <v>1000000</v>
          </cell>
          <cell r="I78">
            <v>1000000</v>
          </cell>
        </row>
        <row r="79">
          <cell r="E79"/>
          <cell r="I79"/>
        </row>
        <row r="80">
          <cell r="E80">
            <v>1500000</v>
          </cell>
          <cell r="I80">
            <v>1500000</v>
          </cell>
          <cell r="J80">
            <v>81960</v>
          </cell>
        </row>
        <row r="81">
          <cell r="E81">
            <v>500000</v>
          </cell>
          <cell r="I81">
            <v>500000</v>
          </cell>
        </row>
        <row r="82">
          <cell r="E82">
            <v>250000</v>
          </cell>
          <cell r="I82">
            <v>250000</v>
          </cell>
        </row>
        <row r="83">
          <cell r="E83">
            <v>750000</v>
          </cell>
          <cell r="I83">
            <v>750000</v>
          </cell>
        </row>
        <row r="84">
          <cell r="E84">
            <v>4000000</v>
          </cell>
          <cell r="I84">
            <v>4000000</v>
          </cell>
          <cell r="J84">
            <v>450000</v>
          </cell>
        </row>
        <row r="85">
          <cell r="E85">
            <v>1500000</v>
          </cell>
          <cell r="I85">
            <v>1500000</v>
          </cell>
        </row>
        <row r="86">
          <cell r="E86"/>
          <cell r="I86"/>
        </row>
        <row r="87">
          <cell r="E87">
            <v>2500000</v>
          </cell>
          <cell r="G87"/>
          <cell r="I87">
            <v>2500000</v>
          </cell>
        </row>
        <row r="88">
          <cell r="E88">
            <v>6308000</v>
          </cell>
          <cell r="I88">
            <v>6308000</v>
          </cell>
          <cell r="J88">
            <v>0</v>
          </cell>
        </row>
        <row r="89">
          <cell r="E89">
            <v>6308000</v>
          </cell>
          <cell r="I89">
            <v>6308000</v>
          </cell>
        </row>
        <row r="90">
          <cell r="E90">
            <v>5000000</v>
          </cell>
          <cell r="I90">
            <v>5000000</v>
          </cell>
          <cell r="J90">
            <v>1600000</v>
          </cell>
        </row>
        <row r="91">
          <cell r="E91">
            <v>5000000</v>
          </cell>
          <cell r="I91">
            <v>5000000</v>
          </cell>
        </row>
        <row r="92">
          <cell r="E92">
            <v>5810400</v>
          </cell>
          <cell r="I92">
            <v>5810400</v>
          </cell>
          <cell r="J92">
            <v>2246400</v>
          </cell>
        </row>
        <row r="93">
          <cell r="E93">
            <v>5810400</v>
          </cell>
          <cell r="I93">
            <v>5810400</v>
          </cell>
        </row>
        <row r="94">
          <cell r="E94">
            <v>1080000</v>
          </cell>
          <cell r="I94">
            <v>1080000</v>
          </cell>
          <cell r="J94">
            <v>0</v>
          </cell>
        </row>
        <row r="95">
          <cell r="E95">
            <v>1080000</v>
          </cell>
          <cell r="I95">
            <v>1080000</v>
          </cell>
        </row>
        <row r="96">
          <cell r="E96">
            <v>0</v>
          </cell>
          <cell r="I96">
            <v>0</v>
          </cell>
          <cell r="J96">
            <v>0</v>
          </cell>
        </row>
        <row r="97">
          <cell r="E97"/>
          <cell r="I97"/>
        </row>
        <row r="98">
          <cell r="E98">
            <v>2286000</v>
          </cell>
          <cell r="I98">
            <v>2286000</v>
          </cell>
          <cell r="J98">
            <v>952500</v>
          </cell>
        </row>
        <row r="99">
          <cell r="E99">
            <v>2286000</v>
          </cell>
          <cell r="I99">
            <v>2286000</v>
          </cell>
        </row>
        <row r="100">
          <cell r="E100">
            <v>2420000</v>
          </cell>
          <cell r="I100">
            <v>2420000</v>
          </cell>
          <cell r="J100">
            <v>1008170</v>
          </cell>
        </row>
        <row r="101">
          <cell r="E101">
            <v>2420000</v>
          </cell>
          <cell r="I101">
            <v>2420000</v>
          </cell>
        </row>
        <row r="102">
          <cell r="E102">
            <v>2400000</v>
          </cell>
          <cell r="I102">
            <v>2400000</v>
          </cell>
          <cell r="J102">
            <v>236200</v>
          </cell>
        </row>
        <row r="103">
          <cell r="E103">
            <v>2400000</v>
          </cell>
          <cell r="I103">
            <v>2400000</v>
          </cell>
        </row>
        <row r="104">
          <cell r="E104">
            <v>2540000</v>
          </cell>
          <cell r="I104">
            <v>2540000</v>
          </cell>
          <cell r="J104">
            <v>0</v>
          </cell>
        </row>
        <row r="107">
          <cell r="E107">
            <v>2540000</v>
          </cell>
          <cell r="I107">
            <v>2540000</v>
          </cell>
        </row>
        <row r="108">
          <cell r="E108">
            <v>17819045</v>
          </cell>
          <cell r="I108">
            <v>19446133</v>
          </cell>
          <cell r="J108">
            <v>11185728</v>
          </cell>
        </row>
        <row r="109">
          <cell r="E109"/>
          <cell r="I109"/>
        </row>
        <row r="110">
          <cell r="E110"/>
          <cell r="I110"/>
        </row>
        <row r="111">
          <cell r="E111">
            <v>17819045</v>
          </cell>
          <cell r="I111">
            <v>19446133</v>
          </cell>
        </row>
        <row r="112">
          <cell r="E112"/>
          <cell r="I112"/>
        </row>
        <row r="113">
          <cell r="E113">
            <v>8163000</v>
          </cell>
          <cell r="I113">
            <v>8163000</v>
          </cell>
          <cell r="J113">
            <v>4081500</v>
          </cell>
        </row>
        <row r="114">
          <cell r="E114">
            <v>8163000</v>
          </cell>
          <cell r="G114"/>
          <cell r="I114">
            <v>8163000</v>
          </cell>
        </row>
        <row r="115">
          <cell r="E115">
            <v>3024000</v>
          </cell>
          <cell r="I115">
            <v>3024000</v>
          </cell>
          <cell r="J115">
            <v>0</v>
          </cell>
        </row>
        <row r="117">
          <cell r="E117">
            <v>3024000</v>
          </cell>
          <cell r="G117"/>
          <cell r="I117">
            <v>3024000</v>
          </cell>
        </row>
        <row r="118">
          <cell r="E118">
            <v>32945000</v>
          </cell>
          <cell r="I118">
            <v>32945000</v>
          </cell>
          <cell r="J118">
            <v>12437500</v>
          </cell>
        </row>
        <row r="119">
          <cell r="E119">
            <v>32945000</v>
          </cell>
          <cell r="G119"/>
          <cell r="I119">
            <v>32945000</v>
          </cell>
        </row>
        <row r="122">
          <cell r="E122">
            <v>2000000</v>
          </cell>
          <cell r="I122">
            <v>2000000</v>
          </cell>
          <cell r="J122">
            <v>1000000</v>
          </cell>
        </row>
        <row r="123">
          <cell r="E123">
            <v>2000000</v>
          </cell>
          <cell r="G123"/>
          <cell r="I123">
            <v>2000000</v>
          </cell>
        </row>
        <row r="124">
          <cell r="E124">
            <v>200000</v>
          </cell>
          <cell r="I124">
            <v>200000</v>
          </cell>
          <cell r="J124">
            <v>100000</v>
          </cell>
        </row>
        <row r="125">
          <cell r="E125">
            <v>200000</v>
          </cell>
          <cell r="G125"/>
          <cell r="I125">
            <v>200000</v>
          </cell>
        </row>
        <row r="126">
          <cell r="E126">
            <v>3000000</v>
          </cell>
          <cell r="I126">
            <v>3000000</v>
          </cell>
          <cell r="J126">
            <v>0</v>
          </cell>
        </row>
        <row r="127">
          <cell r="E127">
            <v>3000000</v>
          </cell>
          <cell r="I127">
            <v>3000000</v>
          </cell>
        </row>
        <row r="128">
          <cell r="E128">
            <v>5400000</v>
          </cell>
          <cell r="I128">
            <v>5400000</v>
          </cell>
          <cell r="J128">
            <v>5400000</v>
          </cell>
        </row>
        <row r="129">
          <cell r="E129">
            <v>5400000</v>
          </cell>
          <cell r="I129">
            <v>5400000</v>
          </cell>
        </row>
        <row r="130">
          <cell r="E130">
            <v>400000</v>
          </cell>
          <cell r="I130">
            <v>400000</v>
          </cell>
          <cell r="J130">
            <v>0</v>
          </cell>
        </row>
        <row r="131">
          <cell r="E131">
            <v>400000</v>
          </cell>
          <cell r="I131">
            <v>400000</v>
          </cell>
        </row>
        <row r="132">
          <cell r="E132">
            <v>81300000</v>
          </cell>
          <cell r="I132">
            <v>81300000</v>
          </cell>
          <cell r="J132">
            <v>6762069</v>
          </cell>
        </row>
        <row r="133">
          <cell r="E133"/>
          <cell r="I133"/>
        </row>
        <row r="134">
          <cell r="E134">
            <v>81300000</v>
          </cell>
          <cell r="I134">
            <v>81300000</v>
          </cell>
        </row>
        <row r="135">
          <cell r="E135">
            <v>45380000</v>
          </cell>
          <cell r="I135">
            <v>46861000</v>
          </cell>
          <cell r="J135">
            <v>20389335</v>
          </cell>
        </row>
        <row r="136">
          <cell r="E136">
            <v>45380000</v>
          </cell>
          <cell r="I136">
            <v>46861000</v>
          </cell>
        </row>
        <row r="137">
          <cell r="E137">
            <v>0</v>
          </cell>
          <cell r="I137">
            <v>0</v>
          </cell>
        </row>
        <row r="138">
          <cell r="E138">
            <v>6500000</v>
          </cell>
          <cell r="I138">
            <v>6200000</v>
          </cell>
          <cell r="J138">
            <v>900000</v>
          </cell>
        </row>
        <row r="139">
          <cell r="E139">
            <v>6500000</v>
          </cell>
          <cell r="I139">
            <v>6200000</v>
          </cell>
        </row>
        <row r="141">
          <cell r="E141">
            <v>2000000</v>
          </cell>
          <cell r="I141">
            <v>2000000</v>
          </cell>
          <cell r="J141">
            <v>0</v>
          </cell>
        </row>
        <row r="142">
          <cell r="E142">
            <v>2000000</v>
          </cell>
          <cell r="I142">
            <v>2000000</v>
          </cell>
        </row>
        <row r="143">
          <cell r="E143">
            <v>41500000</v>
          </cell>
          <cell r="I143">
            <v>13300000</v>
          </cell>
          <cell r="J143">
            <v>0</v>
          </cell>
        </row>
        <row r="144">
          <cell r="E144">
            <v>41500000</v>
          </cell>
          <cell r="I144">
            <v>13300000</v>
          </cell>
        </row>
        <row r="146">
          <cell r="I146">
            <v>24000000</v>
          </cell>
          <cell r="J146">
            <v>10000000</v>
          </cell>
        </row>
        <row r="147">
          <cell r="I147">
            <v>24000000</v>
          </cell>
        </row>
        <row r="148">
          <cell r="E148">
            <v>12600000</v>
          </cell>
          <cell r="I148">
            <v>12600000</v>
          </cell>
          <cell r="J148">
            <v>0</v>
          </cell>
        </row>
        <row r="149">
          <cell r="E149">
            <v>12600000</v>
          </cell>
          <cell r="I149">
            <v>12600000</v>
          </cell>
        </row>
        <row r="150">
          <cell r="E150">
            <v>3190000</v>
          </cell>
          <cell r="I150">
            <v>3687000</v>
          </cell>
          <cell r="J150">
            <v>1069500</v>
          </cell>
        </row>
        <row r="151">
          <cell r="E151">
            <v>3190000</v>
          </cell>
          <cell r="I151">
            <v>3687000</v>
          </cell>
        </row>
        <row r="152">
          <cell r="E152">
            <v>16000000</v>
          </cell>
          <cell r="I152">
            <v>16484500</v>
          </cell>
          <cell r="J152">
            <v>1549915</v>
          </cell>
        </row>
        <row r="154">
          <cell r="E154">
            <v>16000000</v>
          </cell>
          <cell r="I154">
            <v>16484500</v>
          </cell>
        </row>
        <row r="155">
          <cell r="E155">
            <v>67457320</v>
          </cell>
          <cell r="I155">
            <v>75622087</v>
          </cell>
          <cell r="J155">
            <v>13305653</v>
          </cell>
        </row>
        <row r="156">
          <cell r="E156">
            <v>27148320</v>
          </cell>
          <cell r="I156">
            <v>27484007</v>
          </cell>
        </row>
        <row r="157">
          <cell r="E157">
            <v>9083000</v>
          </cell>
          <cell r="I157">
            <v>9083000</v>
          </cell>
        </row>
        <row r="158">
          <cell r="E158">
            <v>31226000</v>
          </cell>
          <cell r="I158">
            <v>39055080</v>
          </cell>
        </row>
        <row r="160">
          <cell r="E160"/>
          <cell r="I160"/>
        </row>
        <row r="162">
          <cell r="I162"/>
        </row>
        <row r="163">
          <cell r="E163">
            <v>392408000</v>
          </cell>
          <cell r="I163">
            <v>619682477</v>
          </cell>
          <cell r="J163">
            <v>43887666</v>
          </cell>
        </row>
        <row r="166">
          <cell r="E166"/>
          <cell r="I166">
            <v>22292975</v>
          </cell>
        </row>
        <row r="167">
          <cell r="E167">
            <v>392408000</v>
          </cell>
          <cell r="I167">
            <v>569243901</v>
          </cell>
        </row>
        <row r="168">
          <cell r="E168"/>
          <cell r="I168">
            <v>28145601</v>
          </cell>
        </row>
        <row r="170">
          <cell r="E170">
            <v>0</v>
          </cell>
          <cell r="I170">
            <v>0</v>
          </cell>
          <cell r="J170">
            <v>0</v>
          </cell>
        </row>
        <row r="171">
          <cell r="E171"/>
          <cell r="I171"/>
        </row>
        <row r="172">
          <cell r="E172"/>
          <cell r="I172"/>
        </row>
        <row r="173">
          <cell r="E173"/>
          <cell r="I173"/>
        </row>
        <row r="174">
          <cell r="E174"/>
          <cell r="I174"/>
        </row>
        <row r="175">
          <cell r="E175"/>
          <cell r="I175"/>
        </row>
        <row r="176">
          <cell r="E176"/>
          <cell r="I176"/>
        </row>
        <row r="177">
          <cell r="E177">
            <v>30000000</v>
          </cell>
          <cell r="I177">
            <v>26000000</v>
          </cell>
          <cell r="J177">
            <v>5336433</v>
          </cell>
        </row>
        <row r="178">
          <cell r="E178">
            <v>30000000</v>
          </cell>
          <cell r="I178">
            <v>26000000</v>
          </cell>
        </row>
        <row r="179">
          <cell r="E179"/>
          <cell r="I179"/>
        </row>
        <row r="181">
          <cell r="E181">
            <v>5300000</v>
          </cell>
          <cell r="I181">
            <v>5300000</v>
          </cell>
          <cell r="J181">
            <v>1218750</v>
          </cell>
        </row>
        <row r="182">
          <cell r="E182">
            <v>5300000</v>
          </cell>
          <cell r="I182">
            <v>5300000</v>
          </cell>
        </row>
        <row r="183">
          <cell r="E183">
            <v>8512000</v>
          </cell>
          <cell r="I183">
            <v>8512000</v>
          </cell>
          <cell r="J183">
            <v>7787</v>
          </cell>
        </row>
        <row r="184">
          <cell r="E184">
            <v>8000000</v>
          </cell>
          <cell r="I184">
            <v>8000000</v>
          </cell>
        </row>
        <row r="185">
          <cell r="E185"/>
          <cell r="I185"/>
        </row>
        <row r="186">
          <cell r="E186">
            <v>512000</v>
          </cell>
          <cell r="I186">
            <v>512000</v>
          </cell>
        </row>
        <row r="187">
          <cell r="E187">
            <v>80000000</v>
          </cell>
          <cell r="I187">
            <v>81324000</v>
          </cell>
          <cell r="J187">
            <v>31324000</v>
          </cell>
        </row>
        <row r="188">
          <cell r="E188">
            <v>60000000</v>
          </cell>
          <cell r="I188">
            <v>60000000</v>
          </cell>
        </row>
        <row r="189">
          <cell r="E189">
            <v>20000000</v>
          </cell>
          <cell r="I189">
            <v>21324000</v>
          </cell>
        </row>
        <row r="190">
          <cell r="E190"/>
          <cell r="I190"/>
        </row>
        <row r="191">
          <cell r="E191">
            <v>3000000</v>
          </cell>
          <cell r="I191">
            <v>3000000</v>
          </cell>
          <cell r="J191">
            <v>0</v>
          </cell>
        </row>
        <row r="192">
          <cell r="E192">
            <v>3000000</v>
          </cell>
          <cell r="I192">
            <v>3000000</v>
          </cell>
        </row>
        <row r="193">
          <cell r="E193">
            <v>1000000</v>
          </cell>
          <cell r="I193">
            <v>1000000</v>
          </cell>
          <cell r="J193">
            <v>0</v>
          </cell>
        </row>
        <row r="194">
          <cell r="E194">
            <v>400000</v>
          </cell>
          <cell r="I194">
            <v>400000</v>
          </cell>
        </row>
        <row r="195">
          <cell r="E195">
            <v>200000</v>
          </cell>
          <cell r="I195">
            <v>200000</v>
          </cell>
        </row>
        <row r="196">
          <cell r="E196">
            <v>400000</v>
          </cell>
          <cell r="I196">
            <v>400000</v>
          </cell>
        </row>
        <row r="197">
          <cell r="E197">
            <v>26000000</v>
          </cell>
          <cell r="I197">
            <v>26000000</v>
          </cell>
          <cell r="J197">
            <v>0</v>
          </cell>
        </row>
        <row r="200">
          <cell r="E200">
            <v>26000000</v>
          </cell>
          <cell r="I200">
            <v>26000000</v>
          </cell>
        </row>
        <row r="201">
          <cell r="E201">
            <v>0</v>
          </cell>
          <cell r="I201">
            <v>0</v>
          </cell>
          <cell r="J201">
            <v>0</v>
          </cell>
        </row>
        <row r="205">
          <cell r="E205">
            <v>5000000</v>
          </cell>
          <cell r="I205">
            <v>5000000</v>
          </cell>
          <cell r="J205">
            <v>0</v>
          </cell>
        </row>
        <row r="206">
          <cell r="E206">
            <v>5000000</v>
          </cell>
          <cell r="I206">
            <v>5000000</v>
          </cell>
        </row>
        <row r="207">
          <cell r="E207">
            <v>2000000</v>
          </cell>
          <cell r="I207">
            <v>2000000</v>
          </cell>
          <cell r="J207">
            <v>0</v>
          </cell>
        </row>
        <row r="210">
          <cell r="E210">
            <v>2000000</v>
          </cell>
          <cell r="I210">
            <v>2000000</v>
          </cell>
        </row>
        <row r="211">
          <cell r="E211">
            <v>1635000</v>
          </cell>
          <cell r="I211">
            <v>1635000</v>
          </cell>
          <cell r="J211">
            <v>38738</v>
          </cell>
        </row>
        <row r="212">
          <cell r="E212"/>
          <cell r="I212"/>
        </row>
        <row r="213">
          <cell r="E213">
            <v>200000</v>
          </cell>
          <cell r="I213">
            <v>200000</v>
          </cell>
        </row>
        <row r="214">
          <cell r="E214">
            <v>1435000</v>
          </cell>
          <cell r="I214">
            <v>1435000</v>
          </cell>
        </row>
        <row r="215">
          <cell r="E215">
            <v>1000000</v>
          </cell>
          <cell r="I215">
            <v>1000000</v>
          </cell>
          <cell r="J215">
            <v>0</v>
          </cell>
        </row>
        <row r="216">
          <cell r="E216">
            <v>1000000</v>
          </cell>
          <cell r="I216">
            <v>1000000</v>
          </cell>
        </row>
        <row r="217">
          <cell r="E217">
            <v>2160000</v>
          </cell>
          <cell r="I217">
            <v>2160000</v>
          </cell>
          <cell r="J217">
            <v>0</v>
          </cell>
        </row>
        <row r="218">
          <cell r="E218">
            <v>2160000</v>
          </cell>
          <cell r="I218">
            <v>2160000</v>
          </cell>
        </row>
        <row r="219">
          <cell r="I219">
            <v>31119415</v>
          </cell>
          <cell r="J219">
            <v>12030598</v>
          </cell>
        </row>
        <row r="220">
          <cell r="I220">
            <v>29296415</v>
          </cell>
        </row>
        <row r="221">
          <cell r="I221">
            <v>1823000</v>
          </cell>
        </row>
        <row r="224">
          <cell r="E224">
            <v>2724269345</v>
          </cell>
          <cell r="I224">
            <v>2749364545</v>
          </cell>
          <cell r="J224">
            <v>894062046</v>
          </cell>
        </row>
        <row r="225">
          <cell r="E225">
            <v>24816000</v>
          </cell>
          <cell r="I225">
            <v>211270375</v>
          </cell>
          <cell r="J225">
            <v>211269867</v>
          </cell>
        </row>
        <row r="226">
          <cell r="E226">
            <v>180645000</v>
          </cell>
          <cell r="I226">
            <v>180645000</v>
          </cell>
          <cell r="J226">
            <v>45161289</v>
          </cell>
        </row>
        <row r="227">
          <cell r="E227"/>
          <cell r="I227"/>
          <cell r="J227"/>
        </row>
        <row r="229">
          <cell r="J229">
            <v>48197367</v>
          </cell>
        </row>
        <row r="230">
          <cell r="J230">
            <v>7546140</v>
          </cell>
        </row>
        <row r="231">
          <cell r="J231">
            <v>128072329</v>
          </cell>
        </row>
        <row r="232">
          <cell r="J232">
            <v>23564881</v>
          </cell>
        </row>
        <row r="233">
          <cell r="J233">
            <v>280748087</v>
          </cell>
        </row>
        <row r="234">
          <cell r="J234">
            <v>141999855</v>
          </cell>
        </row>
        <row r="235">
          <cell r="J235">
            <v>5426456</v>
          </cell>
        </row>
        <row r="236">
          <cell r="J236">
            <v>0</v>
          </cell>
        </row>
      </sheetData>
      <sheetData sheetId="8">
        <row r="3">
          <cell r="B3">
            <v>80037488</v>
          </cell>
          <cell r="C3">
            <v>65945832</v>
          </cell>
        </row>
        <row r="4">
          <cell r="B4">
            <v>108960855</v>
          </cell>
          <cell r="C4">
            <v>94968877</v>
          </cell>
        </row>
        <row r="26">
          <cell r="B26">
            <v>3000000</v>
          </cell>
          <cell r="C26">
            <v>3000000</v>
          </cell>
        </row>
        <row r="34">
          <cell r="B34">
            <v>191998343</v>
          </cell>
          <cell r="C34">
            <v>163914709</v>
          </cell>
        </row>
      </sheetData>
      <sheetData sheetId="9"/>
      <sheetData sheetId="10"/>
      <sheetData sheetId="11">
        <row r="12">
          <cell r="C12">
            <v>1000000</v>
          </cell>
          <cell r="D12">
            <v>0</v>
          </cell>
          <cell r="E12">
            <v>0</v>
          </cell>
          <cell r="G12">
            <v>1000000</v>
          </cell>
          <cell r="H12">
            <v>0</v>
          </cell>
          <cell r="I12">
            <v>0</v>
          </cell>
          <cell r="K12">
            <v>250000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/>
        </row>
        <row r="16">
          <cell r="C16">
            <v>2000000</v>
          </cell>
          <cell r="D16">
            <v>0</v>
          </cell>
          <cell r="E16">
            <v>0</v>
          </cell>
          <cell r="G16">
            <v>2000000</v>
          </cell>
          <cell r="H16">
            <v>0</v>
          </cell>
          <cell r="I16">
            <v>0</v>
          </cell>
          <cell r="K16">
            <v>465785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/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66764</v>
          </cell>
        </row>
        <row r="19">
          <cell r="C19">
            <v>350000</v>
          </cell>
          <cell r="D19">
            <v>0</v>
          </cell>
          <cell r="E19">
            <v>0</v>
          </cell>
          <cell r="G19">
            <v>350000</v>
          </cell>
          <cell r="H19">
            <v>0</v>
          </cell>
          <cell r="I19">
            <v>0</v>
          </cell>
          <cell r="K19"/>
        </row>
        <row r="20"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/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/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151474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G36">
            <v>43104827</v>
          </cell>
          <cell r="I36">
            <v>0</v>
          </cell>
          <cell r="K36"/>
        </row>
        <row r="37">
          <cell r="F37">
            <v>817546000</v>
          </cell>
          <cell r="J37">
            <v>842546000</v>
          </cell>
          <cell r="K37">
            <v>250723144</v>
          </cell>
        </row>
        <row r="40">
          <cell r="C40">
            <v>481833000</v>
          </cell>
          <cell r="D40">
            <v>22593000</v>
          </cell>
          <cell r="E40">
            <v>40000</v>
          </cell>
          <cell r="G40">
            <v>523148724</v>
          </cell>
          <cell r="H40">
            <v>22593000</v>
          </cell>
          <cell r="I40">
            <v>40000</v>
          </cell>
          <cell r="K40">
            <v>174095666</v>
          </cell>
        </row>
        <row r="41">
          <cell r="C41">
            <v>96143000</v>
          </cell>
          <cell r="D41">
            <v>4293000</v>
          </cell>
          <cell r="E41">
            <v>16000</v>
          </cell>
          <cell r="G41">
            <v>103366000</v>
          </cell>
          <cell r="H41">
            <v>4293000</v>
          </cell>
          <cell r="I41">
            <v>16000</v>
          </cell>
          <cell r="K41">
            <v>32528385</v>
          </cell>
        </row>
        <row r="42">
          <cell r="C42">
            <v>201931000</v>
          </cell>
          <cell r="D42">
            <v>4874000</v>
          </cell>
          <cell r="E42">
            <v>1173000</v>
          </cell>
          <cell r="G42">
            <v>205619800</v>
          </cell>
          <cell r="H42">
            <v>4874000</v>
          </cell>
          <cell r="I42">
            <v>1173000</v>
          </cell>
          <cell r="K42">
            <v>60911206</v>
          </cell>
        </row>
        <row r="43"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G44">
            <v>15877303</v>
          </cell>
          <cell r="H44">
            <v>0</v>
          </cell>
          <cell r="I44">
            <v>0</v>
          </cell>
          <cell r="K44">
            <v>0</v>
          </cell>
        </row>
        <row r="46">
          <cell r="C46">
            <v>8000000</v>
          </cell>
          <cell r="D46">
            <v>0</v>
          </cell>
          <cell r="E46">
            <v>0</v>
          </cell>
          <cell r="F46">
            <v>8000000</v>
          </cell>
          <cell r="G46">
            <v>8000000</v>
          </cell>
          <cell r="H46">
            <v>0</v>
          </cell>
          <cell r="I46">
            <v>0</v>
          </cell>
          <cell r="J46">
            <v>8000000</v>
          </cell>
          <cell r="K46">
            <v>869204</v>
          </cell>
        </row>
        <row r="47"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</row>
      </sheetData>
      <sheetData sheetId="12">
        <row r="5">
          <cell r="C5">
            <v>79</v>
          </cell>
          <cell r="G5">
            <v>79</v>
          </cell>
        </row>
        <row r="6">
          <cell r="C6">
            <v>79</v>
          </cell>
          <cell r="F6">
            <v>787907000</v>
          </cell>
          <cell r="G6">
            <v>79</v>
          </cell>
          <cell r="J6">
            <v>856011827</v>
          </cell>
          <cell r="K6">
            <v>255798551</v>
          </cell>
        </row>
        <row r="7">
          <cell r="F7">
            <v>481833000</v>
          </cell>
          <cell r="J7">
            <v>523148724</v>
          </cell>
          <cell r="K7">
            <v>164796967</v>
          </cell>
        </row>
        <row r="8">
          <cell r="F8">
            <v>96143000</v>
          </cell>
          <cell r="J8">
            <v>103366000</v>
          </cell>
          <cell r="K8">
            <v>30900183</v>
          </cell>
        </row>
        <row r="9">
          <cell r="F9">
            <v>201931000</v>
          </cell>
          <cell r="J9">
            <v>205619800</v>
          </cell>
          <cell r="K9">
            <v>59514559</v>
          </cell>
        </row>
        <row r="10">
          <cell r="J10">
            <v>15877303</v>
          </cell>
        </row>
        <row r="11">
          <cell r="F11">
            <v>8000000</v>
          </cell>
          <cell r="J11">
            <v>8000000</v>
          </cell>
          <cell r="K11">
            <v>586842</v>
          </cell>
        </row>
        <row r="12">
          <cell r="F12">
            <v>0</v>
          </cell>
          <cell r="J12">
            <v>0</v>
          </cell>
          <cell r="K12">
            <v>0</v>
          </cell>
        </row>
        <row r="13">
          <cell r="F13"/>
          <cell r="J13"/>
          <cell r="K13"/>
        </row>
        <row r="14">
          <cell r="F14"/>
          <cell r="J14"/>
          <cell r="K14"/>
        </row>
        <row r="15">
          <cell r="F15"/>
          <cell r="J15"/>
          <cell r="K15"/>
        </row>
        <row r="18">
          <cell r="F18">
            <v>25883000</v>
          </cell>
          <cell r="J18">
            <v>25883000</v>
          </cell>
          <cell r="K18">
            <v>10677470.83</v>
          </cell>
        </row>
        <row r="19">
          <cell r="F19">
            <v>18869000</v>
          </cell>
          <cell r="J19">
            <v>18869000</v>
          </cell>
          <cell r="K19">
            <v>7717920.1699999999</v>
          </cell>
        </row>
        <row r="20">
          <cell r="F20">
            <v>3585000</v>
          </cell>
          <cell r="J20">
            <v>3585000</v>
          </cell>
          <cell r="K20">
            <v>1351407.66</v>
          </cell>
        </row>
        <row r="21">
          <cell r="F21">
            <v>3429000</v>
          </cell>
          <cell r="J21">
            <v>3429000</v>
          </cell>
          <cell r="K21">
            <v>1325781</v>
          </cell>
        </row>
        <row r="22">
          <cell r="F22"/>
          <cell r="J22"/>
          <cell r="K22">
            <v>282362</v>
          </cell>
        </row>
        <row r="23">
          <cell r="F23">
            <v>5877000</v>
          </cell>
          <cell r="J23">
            <v>5877000</v>
          </cell>
          <cell r="K23">
            <v>1857573.1700000002</v>
          </cell>
        </row>
        <row r="24">
          <cell r="F24">
            <v>3724000</v>
          </cell>
          <cell r="J24">
            <v>3724000</v>
          </cell>
          <cell r="K24">
            <v>1580778.83</v>
          </cell>
        </row>
        <row r="25">
          <cell r="F25">
            <v>708000</v>
          </cell>
          <cell r="J25">
            <v>708000</v>
          </cell>
          <cell r="K25">
            <v>276794.34000000003</v>
          </cell>
        </row>
        <row r="26">
          <cell r="F26">
            <v>1445000</v>
          </cell>
          <cell r="J26">
            <v>1445000</v>
          </cell>
          <cell r="K26"/>
        </row>
        <row r="27">
          <cell r="F27"/>
          <cell r="J27"/>
          <cell r="K27"/>
        </row>
        <row r="31">
          <cell r="F31">
            <v>1229000</v>
          </cell>
          <cell r="J31">
            <v>1229000</v>
          </cell>
          <cell r="K31">
            <v>70866</v>
          </cell>
        </row>
        <row r="32">
          <cell r="F32">
            <v>40000</v>
          </cell>
          <cell r="J32">
            <v>40000</v>
          </cell>
          <cell r="K32"/>
        </row>
        <row r="33">
          <cell r="F33">
            <v>16000</v>
          </cell>
          <cell r="J33">
            <v>16000</v>
          </cell>
          <cell r="K33"/>
        </row>
        <row r="34">
          <cell r="F34">
            <v>1173000</v>
          </cell>
          <cell r="J34">
            <v>1173000</v>
          </cell>
          <cell r="K34">
            <v>70866</v>
          </cell>
        </row>
      </sheetData>
      <sheetData sheetId="13"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/>
        </row>
        <row r="13">
          <cell r="C13">
            <v>0</v>
          </cell>
          <cell r="D13">
            <v>0</v>
          </cell>
          <cell r="G13">
            <v>0</v>
          </cell>
          <cell r="H13">
            <v>0</v>
          </cell>
          <cell r="I13"/>
        </row>
        <row r="14"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C15">
            <v>1400000</v>
          </cell>
          <cell r="D15">
            <v>0</v>
          </cell>
          <cell r="G15">
            <v>0</v>
          </cell>
          <cell r="H15">
            <v>1400000</v>
          </cell>
          <cell r="I15">
            <v>395873</v>
          </cell>
        </row>
        <row r="16">
          <cell r="C16">
            <v>350000</v>
          </cell>
          <cell r="D16">
            <v>0</v>
          </cell>
          <cell r="G16">
            <v>0</v>
          </cell>
          <cell r="H16">
            <v>350000</v>
          </cell>
          <cell r="I16">
            <v>106893</v>
          </cell>
        </row>
        <row r="17">
          <cell r="C17">
            <v>0</v>
          </cell>
          <cell r="D17">
            <v>0</v>
          </cell>
          <cell r="G17">
            <v>0</v>
          </cell>
          <cell r="H17">
            <v>0</v>
          </cell>
          <cell r="I17">
            <v>280000</v>
          </cell>
        </row>
        <row r="18">
          <cell r="C18">
            <v>0</v>
          </cell>
          <cell r="D18">
            <v>0</v>
          </cell>
          <cell r="G18">
            <v>0</v>
          </cell>
          <cell r="H18">
            <v>0</v>
          </cell>
          <cell r="I18"/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322630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33">
          <cell r="C33"/>
          <cell r="D33">
            <v>0</v>
          </cell>
          <cell r="F33">
            <v>14166184</v>
          </cell>
        </row>
        <row r="34">
          <cell r="E34">
            <v>81445430</v>
          </cell>
          <cell r="H34">
            <v>81445430</v>
          </cell>
          <cell r="I34">
            <v>24008724</v>
          </cell>
        </row>
        <row r="37">
          <cell r="C37">
            <v>53690000</v>
          </cell>
          <cell r="D37">
            <v>0</v>
          </cell>
          <cell r="F37">
            <v>53690000</v>
          </cell>
          <cell r="G37">
            <v>0</v>
          </cell>
          <cell r="I37">
            <v>15465446</v>
          </cell>
        </row>
        <row r="38">
          <cell r="C38">
            <v>10289630</v>
          </cell>
          <cell r="D38">
            <v>0</v>
          </cell>
          <cell r="F38">
            <v>10289630</v>
          </cell>
          <cell r="G38">
            <v>0</v>
          </cell>
          <cell r="I38">
            <v>2724706</v>
          </cell>
        </row>
        <row r="39">
          <cell r="C39">
            <v>17945800</v>
          </cell>
          <cell r="D39">
            <v>0</v>
          </cell>
          <cell r="F39">
            <v>17945800</v>
          </cell>
          <cell r="G39">
            <v>0</v>
          </cell>
          <cell r="I39">
            <v>3510556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F41">
            <v>14166184</v>
          </cell>
          <cell r="G41">
            <v>0</v>
          </cell>
          <cell r="I41">
            <v>0</v>
          </cell>
        </row>
        <row r="43">
          <cell r="C43">
            <v>1270000</v>
          </cell>
          <cell r="D43">
            <v>0</v>
          </cell>
          <cell r="E43">
            <v>1270000</v>
          </cell>
          <cell r="F43">
            <v>1270000</v>
          </cell>
          <cell r="G43">
            <v>0</v>
          </cell>
          <cell r="H43">
            <v>1270000</v>
          </cell>
          <cell r="I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D45">
            <v>0</v>
          </cell>
          <cell r="G45">
            <v>0</v>
          </cell>
          <cell r="I45">
            <v>0</v>
          </cell>
        </row>
      </sheetData>
      <sheetData sheetId="14"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/>
        </row>
        <row r="13">
          <cell r="C13">
            <v>0</v>
          </cell>
          <cell r="D13">
            <v>0</v>
          </cell>
          <cell r="G13">
            <v>0</v>
          </cell>
          <cell r="H13">
            <v>0</v>
          </cell>
          <cell r="I13"/>
        </row>
        <row r="14"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C15">
            <v>4300000</v>
          </cell>
          <cell r="D15">
            <v>0</v>
          </cell>
          <cell r="G15">
            <v>0</v>
          </cell>
          <cell r="H15">
            <v>4300000</v>
          </cell>
          <cell r="I15">
            <v>1310354</v>
          </cell>
        </row>
        <row r="16">
          <cell r="C16">
            <v>1200000</v>
          </cell>
          <cell r="D16">
            <v>0</v>
          </cell>
          <cell r="G16">
            <v>0</v>
          </cell>
          <cell r="H16">
            <v>1200000</v>
          </cell>
          <cell r="I16">
            <v>353790</v>
          </cell>
        </row>
        <row r="17">
          <cell r="C17">
            <v>800000</v>
          </cell>
          <cell r="D17">
            <v>0</v>
          </cell>
          <cell r="G17">
            <v>0</v>
          </cell>
          <cell r="H17">
            <v>800000</v>
          </cell>
          <cell r="I17">
            <v>482000</v>
          </cell>
        </row>
        <row r="18">
          <cell r="C18">
            <v>0</v>
          </cell>
          <cell r="D18">
            <v>0</v>
          </cell>
          <cell r="G18">
            <v>0</v>
          </cell>
          <cell r="H18">
            <v>0</v>
          </cell>
          <cell r="I18"/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3491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33">
          <cell r="C33">
            <v>0</v>
          </cell>
          <cell r="D33">
            <v>0</v>
          </cell>
          <cell r="F33">
            <v>8450124</v>
          </cell>
        </row>
        <row r="34">
          <cell r="E34">
            <v>197026150</v>
          </cell>
          <cell r="H34">
            <v>197026150</v>
          </cell>
          <cell r="I34">
            <v>62729668</v>
          </cell>
        </row>
        <row r="37">
          <cell r="C37">
            <v>125417000</v>
          </cell>
          <cell r="D37">
            <v>0</v>
          </cell>
          <cell r="F37">
            <v>125417000</v>
          </cell>
          <cell r="G37">
            <v>0</v>
          </cell>
          <cell r="I37">
            <v>40919429</v>
          </cell>
        </row>
        <row r="38">
          <cell r="C38">
            <v>26169150</v>
          </cell>
          <cell r="D38">
            <v>0</v>
          </cell>
          <cell r="F38">
            <v>26169150</v>
          </cell>
          <cell r="G38">
            <v>0</v>
          </cell>
          <cell r="I38">
            <v>8499537</v>
          </cell>
        </row>
        <row r="39">
          <cell r="C39">
            <v>50470000</v>
          </cell>
          <cell r="D39">
            <v>0</v>
          </cell>
          <cell r="F39">
            <v>49672440</v>
          </cell>
          <cell r="G39">
            <v>0</v>
          </cell>
          <cell r="I39">
            <v>12510140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F41">
            <v>8244384</v>
          </cell>
          <cell r="G41">
            <v>0</v>
          </cell>
          <cell r="I41">
            <v>0</v>
          </cell>
        </row>
        <row r="43">
          <cell r="C43">
            <v>1270000</v>
          </cell>
          <cell r="D43">
            <v>0</v>
          </cell>
          <cell r="E43">
            <v>1270000</v>
          </cell>
          <cell r="F43">
            <v>2273300</v>
          </cell>
          <cell r="G43">
            <v>0</v>
          </cell>
          <cell r="H43">
            <v>2273300</v>
          </cell>
          <cell r="I43">
            <v>7990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D45">
            <v>0</v>
          </cell>
          <cell r="G45">
            <v>0</v>
          </cell>
          <cell r="I45">
            <v>0</v>
          </cell>
        </row>
      </sheetData>
      <sheetData sheetId="15"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/>
        </row>
        <row r="13">
          <cell r="C13">
            <v>0</v>
          </cell>
          <cell r="D13">
            <v>0</v>
          </cell>
          <cell r="G13">
            <v>0</v>
          </cell>
          <cell r="H13">
            <v>0</v>
          </cell>
          <cell r="I13"/>
        </row>
        <row r="14"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C15">
            <v>7700000</v>
          </cell>
          <cell r="D15">
            <v>0</v>
          </cell>
          <cell r="G15">
            <v>0</v>
          </cell>
          <cell r="H15">
            <v>7700000</v>
          </cell>
          <cell r="I15">
            <v>2556767</v>
          </cell>
        </row>
        <row r="16">
          <cell r="C16">
            <v>2000000</v>
          </cell>
          <cell r="D16">
            <v>0</v>
          </cell>
          <cell r="G16">
            <v>0</v>
          </cell>
          <cell r="H16">
            <v>2000000</v>
          </cell>
          <cell r="I16">
            <v>690277</v>
          </cell>
        </row>
        <row r="17">
          <cell r="C17">
            <v>1000000</v>
          </cell>
          <cell r="D17">
            <v>0</v>
          </cell>
          <cell r="G17">
            <v>0</v>
          </cell>
          <cell r="H17">
            <v>1000000</v>
          </cell>
          <cell r="I17">
            <v>700000</v>
          </cell>
        </row>
        <row r="18">
          <cell r="C18">
            <v>0</v>
          </cell>
          <cell r="D18">
            <v>0</v>
          </cell>
          <cell r="G18">
            <v>0</v>
          </cell>
          <cell r="H18">
            <v>0</v>
          </cell>
          <cell r="I18"/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1017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33">
          <cell r="C33">
            <v>0</v>
          </cell>
          <cell r="D33">
            <v>0</v>
          </cell>
          <cell r="F33">
            <v>12674400</v>
          </cell>
        </row>
        <row r="34">
          <cell r="E34">
            <v>348872890</v>
          </cell>
          <cell r="H34">
            <v>348872890</v>
          </cell>
          <cell r="I34">
            <v>113501611</v>
          </cell>
        </row>
        <row r="37">
          <cell r="C37">
            <v>222046000</v>
          </cell>
          <cell r="D37">
            <v>0</v>
          </cell>
          <cell r="F37">
            <v>222046000</v>
          </cell>
          <cell r="G37">
            <v>0</v>
          </cell>
          <cell r="I37">
            <v>76554887</v>
          </cell>
        </row>
        <row r="38">
          <cell r="C38">
            <v>46170290</v>
          </cell>
          <cell r="D38">
            <v>0</v>
          </cell>
          <cell r="F38">
            <v>46170290</v>
          </cell>
          <cell r="G38">
            <v>0</v>
          </cell>
          <cell r="I38">
            <v>15950319</v>
          </cell>
        </row>
        <row r="39">
          <cell r="C39">
            <v>90340600</v>
          </cell>
          <cell r="D39">
            <v>0</v>
          </cell>
          <cell r="F39">
            <v>90660895</v>
          </cell>
          <cell r="G39">
            <v>0</v>
          </cell>
          <cell r="I39">
            <v>26146951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F41">
            <v>12354105</v>
          </cell>
          <cell r="G41">
            <v>0</v>
          </cell>
          <cell r="I41">
            <v>0</v>
          </cell>
        </row>
        <row r="43">
          <cell r="C43">
            <v>1016000</v>
          </cell>
          <cell r="D43">
            <v>0</v>
          </cell>
          <cell r="E43">
            <v>1016000</v>
          </cell>
          <cell r="F43">
            <v>1016000</v>
          </cell>
          <cell r="G43">
            <v>0</v>
          </cell>
          <cell r="H43">
            <v>1016000</v>
          </cell>
          <cell r="I43">
            <v>90492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D45">
            <v>0</v>
          </cell>
          <cell r="G45">
            <v>0</v>
          </cell>
          <cell r="I45">
            <v>0</v>
          </cell>
        </row>
      </sheetData>
      <sheetData sheetId="16"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/>
        </row>
        <row r="13">
          <cell r="C13">
            <v>27000000</v>
          </cell>
          <cell r="D13">
            <v>0</v>
          </cell>
          <cell r="G13">
            <v>0</v>
          </cell>
          <cell r="H13">
            <v>27000000</v>
          </cell>
          <cell r="I13">
            <v>6104537</v>
          </cell>
        </row>
        <row r="14">
          <cell r="C14"/>
          <cell r="D14">
            <v>0</v>
          </cell>
          <cell r="G14">
            <v>0</v>
          </cell>
          <cell r="H14">
            <v>0</v>
          </cell>
        </row>
        <row r="15">
          <cell r="C15"/>
          <cell r="D15">
            <v>0</v>
          </cell>
          <cell r="G15">
            <v>0</v>
          </cell>
          <cell r="H15">
            <v>0</v>
          </cell>
          <cell r="I15"/>
        </row>
        <row r="16">
          <cell r="C16">
            <v>7000000</v>
          </cell>
          <cell r="D16">
            <v>0</v>
          </cell>
          <cell r="G16">
            <v>0</v>
          </cell>
          <cell r="H16">
            <v>7000000</v>
          </cell>
          <cell r="I16">
            <v>1648229</v>
          </cell>
        </row>
        <row r="17">
          <cell r="C17"/>
          <cell r="D17">
            <v>0</v>
          </cell>
          <cell r="G17">
            <v>0</v>
          </cell>
          <cell r="H17">
            <v>0</v>
          </cell>
          <cell r="I17"/>
        </row>
        <row r="18">
          <cell r="C18"/>
          <cell r="D18">
            <v>0</v>
          </cell>
          <cell r="G18">
            <v>0</v>
          </cell>
          <cell r="H18">
            <v>0</v>
          </cell>
          <cell r="I18"/>
        </row>
        <row r="19">
          <cell r="C19">
            <v>1000000</v>
          </cell>
          <cell r="D19">
            <v>0</v>
          </cell>
          <cell r="G19">
            <v>0</v>
          </cell>
          <cell r="H19">
            <v>1000000</v>
          </cell>
          <cell r="I19">
            <v>12815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33">
          <cell r="C33">
            <v>0</v>
          </cell>
          <cell r="D33">
            <v>0</v>
          </cell>
          <cell r="F33">
            <v>5139815</v>
          </cell>
        </row>
        <row r="34">
          <cell r="E34">
            <v>222914160</v>
          </cell>
          <cell r="H34">
            <v>223009360</v>
          </cell>
          <cell r="I34">
            <v>72338452</v>
          </cell>
        </row>
        <row r="37">
          <cell r="C37">
            <v>83854000</v>
          </cell>
          <cell r="D37">
            <v>0</v>
          </cell>
          <cell r="F37">
            <v>83854000</v>
          </cell>
          <cell r="G37">
            <v>0</v>
          </cell>
          <cell r="I37">
            <v>28486244</v>
          </cell>
        </row>
        <row r="38">
          <cell r="C38">
            <v>16333160</v>
          </cell>
          <cell r="D38">
            <v>0</v>
          </cell>
          <cell r="F38">
            <v>16333160</v>
          </cell>
          <cell r="G38">
            <v>0</v>
          </cell>
          <cell r="I38">
            <v>5173226</v>
          </cell>
        </row>
        <row r="39">
          <cell r="C39">
            <v>156457000</v>
          </cell>
          <cell r="D39">
            <v>0</v>
          </cell>
          <cell r="F39">
            <v>158878518</v>
          </cell>
          <cell r="G39">
            <v>0</v>
          </cell>
          <cell r="I39">
            <v>45789685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F41">
            <v>2813497</v>
          </cell>
          <cell r="G41">
            <v>0</v>
          </cell>
          <cell r="I41">
            <v>95200</v>
          </cell>
        </row>
        <row r="43">
          <cell r="C43">
            <v>1270000</v>
          </cell>
          <cell r="D43">
            <v>0</v>
          </cell>
          <cell r="E43">
            <v>1270000</v>
          </cell>
          <cell r="F43">
            <v>1270000</v>
          </cell>
          <cell r="G43">
            <v>0</v>
          </cell>
          <cell r="H43">
            <v>1270000</v>
          </cell>
          <cell r="I43">
            <v>43730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D45">
            <v>0</v>
          </cell>
          <cell r="G45">
            <v>0</v>
          </cell>
          <cell r="I45"/>
        </row>
      </sheetData>
      <sheetData sheetId="17"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/>
        </row>
        <row r="13">
          <cell r="C13">
            <v>0</v>
          </cell>
          <cell r="D13">
            <v>0</v>
          </cell>
          <cell r="G13">
            <v>0</v>
          </cell>
          <cell r="H13">
            <v>0</v>
          </cell>
          <cell r="I13"/>
        </row>
        <row r="14"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G15">
            <v>0</v>
          </cell>
          <cell r="H15">
            <v>0</v>
          </cell>
          <cell r="I15"/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I16"/>
        </row>
        <row r="17">
          <cell r="C17">
            <v>0</v>
          </cell>
          <cell r="D17">
            <v>0</v>
          </cell>
          <cell r="G17">
            <v>0</v>
          </cell>
          <cell r="H17">
            <v>0</v>
          </cell>
          <cell r="I17"/>
        </row>
        <row r="18">
          <cell r="C18">
            <v>0</v>
          </cell>
          <cell r="D18">
            <v>0</v>
          </cell>
          <cell r="G18">
            <v>0</v>
          </cell>
          <cell r="H18">
            <v>0</v>
          </cell>
          <cell r="I18"/>
        </row>
        <row r="19">
          <cell r="C19"/>
          <cell r="D19">
            <v>0</v>
          </cell>
          <cell r="G19">
            <v>0</v>
          </cell>
          <cell r="H19">
            <v>0</v>
          </cell>
          <cell r="I19">
            <v>76228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33">
          <cell r="C33">
            <v>0</v>
          </cell>
          <cell r="D33">
            <v>0</v>
          </cell>
          <cell r="F33">
            <v>2281595</v>
          </cell>
        </row>
        <row r="34">
          <cell r="E34">
            <v>55319630</v>
          </cell>
          <cell r="H34">
            <v>55319630</v>
          </cell>
          <cell r="I34">
            <v>14578685</v>
          </cell>
        </row>
        <row r="37">
          <cell r="C37">
            <v>16831500</v>
          </cell>
          <cell r="D37">
            <v>5382000</v>
          </cell>
          <cell r="F37">
            <v>16831500</v>
          </cell>
          <cell r="G37">
            <v>5382000</v>
          </cell>
          <cell r="I37">
            <v>7357748</v>
          </cell>
        </row>
        <row r="38">
          <cell r="C38">
            <v>3228630</v>
          </cell>
          <cell r="D38">
            <v>1216500</v>
          </cell>
          <cell r="F38">
            <v>3228630</v>
          </cell>
          <cell r="G38">
            <v>1216500</v>
          </cell>
          <cell r="I38">
            <v>1313936</v>
          </cell>
        </row>
        <row r="39">
          <cell r="C39">
            <v>23902000</v>
          </cell>
          <cell r="D39">
            <v>2159000</v>
          </cell>
          <cell r="F39">
            <v>24138339</v>
          </cell>
          <cell r="G39">
            <v>2159000</v>
          </cell>
          <cell r="I39">
            <v>5305797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F41">
            <v>2045256</v>
          </cell>
          <cell r="G41">
            <v>0</v>
          </cell>
          <cell r="I41">
            <v>0</v>
          </cell>
        </row>
        <row r="43">
          <cell r="C43">
            <v>2600000</v>
          </cell>
          <cell r="D43">
            <v>0</v>
          </cell>
          <cell r="E43">
            <v>2600000</v>
          </cell>
          <cell r="F43">
            <v>2600000</v>
          </cell>
          <cell r="G43">
            <v>0</v>
          </cell>
          <cell r="H43">
            <v>2600000</v>
          </cell>
          <cell r="I43">
            <v>639981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D45">
            <v>0</v>
          </cell>
          <cell r="G45">
            <v>0</v>
          </cell>
          <cell r="I45">
            <v>0</v>
          </cell>
        </row>
      </sheetData>
      <sheetData sheetId="18"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/>
        </row>
        <row r="13">
          <cell r="C13">
            <v>0</v>
          </cell>
          <cell r="D13">
            <v>0</v>
          </cell>
          <cell r="G13">
            <v>0</v>
          </cell>
          <cell r="H13">
            <v>0</v>
          </cell>
          <cell r="I13"/>
        </row>
        <row r="14"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C15">
            <v>7500000</v>
          </cell>
          <cell r="D15">
            <v>0</v>
          </cell>
          <cell r="G15">
            <v>0</v>
          </cell>
          <cell r="H15">
            <v>7500000</v>
          </cell>
          <cell r="I15">
            <v>3152106</v>
          </cell>
        </row>
        <row r="16">
          <cell r="C16">
            <v>1700000</v>
          </cell>
          <cell r="D16">
            <v>0</v>
          </cell>
          <cell r="G16">
            <v>0</v>
          </cell>
          <cell r="H16">
            <v>1700000</v>
          </cell>
          <cell r="I16">
            <v>799031</v>
          </cell>
        </row>
        <row r="17">
          <cell r="C17">
            <v>0</v>
          </cell>
          <cell r="D17">
            <v>0</v>
          </cell>
          <cell r="G17">
            <v>0</v>
          </cell>
          <cell r="H17">
            <v>0</v>
          </cell>
          <cell r="I17"/>
        </row>
        <row r="18">
          <cell r="C18">
            <v>0</v>
          </cell>
          <cell r="D18">
            <v>0</v>
          </cell>
          <cell r="G18">
            <v>0</v>
          </cell>
          <cell r="H18">
            <v>0</v>
          </cell>
          <cell r="I18"/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258036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33">
          <cell r="C33">
            <v>0</v>
          </cell>
          <cell r="D33">
            <v>0</v>
          </cell>
          <cell r="F33">
            <v>9459517</v>
          </cell>
        </row>
        <row r="34">
          <cell r="E34">
            <v>162085590</v>
          </cell>
          <cell r="H34">
            <v>162085590</v>
          </cell>
          <cell r="I34">
            <v>49591613</v>
          </cell>
        </row>
        <row r="37">
          <cell r="C37">
            <v>91480000</v>
          </cell>
          <cell r="D37">
            <v>0</v>
          </cell>
          <cell r="F37">
            <v>91480000</v>
          </cell>
          <cell r="G37">
            <v>0</v>
          </cell>
          <cell r="I37">
            <v>31819833</v>
          </cell>
        </row>
        <row r="38">
          <cell r="C38">
            <v>17491590</v>
          </cell>
          <cell r="D38">
            <v>0</v>
          </cell>
          <cell r="F38">
            <v>17491590</v>
          </cell>
          <cell r="G38">
            <v>0</v>
          </cell>
          <cell r="I38">
            <v>6024774</v>
          </cell>
        </row>
        <row r="39">
          <cell r="C39">
            <v>61044000</v>
          </cell>
          <cell r="D39">
            <v>0</v>
          </cell>
          <cell r="F39">
            <v>61474790</v>
          </cell>
          <cell r="G39">
            <v>0</v>
          </cell>
          <cell r="I39">
            <v>18303255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F41">
            <v>9028727</v>
          </cell>
          <cell r="G41">
            <v>0</v>
          </cell>
          <cell r="I41">
            <v>0</v>
          </cell>
        </row>
        <row r="43">
          <cell r="C43">
            <v>1270000</v>
          </cell>
          <cell r="D43">
            <v>0</v>
          </cell>
          <cell r="E43">
            <v>1270000</v>
          </cell>
          <cell r="F43">
            <v>1270000</v>
          </cell>
          <cell r="G43">
            <v>0</v>
          </cell>
          <cell r="H43">
            <v>1270000</v>
          </cell>
          <cell r="I43">
            <v>325723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D45">
            <v>0</v>
          </cell>
          <cell r="G45">
            <v>0</v>
          </cell>
          <cell r="I45">
            <v>0</v>
          </cell>
        </row>
      </sheetData>
      <sheetData sheetId="19">
        <row r="15">
          <cell r="C15">
            <v>7000000</v>
          </cell>
          <cell r="D15">
            <v>0</v>
          </cell>
          <cell r="G15">
            <v>0</v>
          </cell>
          <cell r="H15">
            <v>7000000</v>
          </cell>
          <cell r="I15">
            <v>1981833</v>
          </cell>
        </row>
        <row r="16">
          <cell r="C16">
            <v>700000</v>
          </cell>
          <cell r="D16">
            <v>0</v>
          </cell>
          <cell r="G16">
            <v>0</v>
          </cell>
          <cell r="H16">
            <v>700000</v>
          </cell>
          <cell r="I16">
            <v>188389</v>
          </cell>
        </row>
        <row r="17">
          <cell r="I17"/>
        </row>
        <row r="18">
          <cell r="I18">
            <v>2</v>
          </cell>
        </row>
        <row r="19">
          <cell r="I19">
            <v>1178</v>
          </cell>
        </row>
        <row r="33">
          <cell r="C33">
            <v>0</v>
          </cell>
          <cell r="F33">
            <v>4202370</v>
          </cell>
        </row>
        <row r="34">
          <cell r="E34">
            <v>143668720</v>
          </cell>
          <cell r="H34">
            <v>143668720</v>
          </cell>
          <cell r="I34">
            <v>50183056</v>
          </cell>
        </row>
        <row r="37">
          <cell r="C37">
            <v>97000000</v>
          </cell>
          <cell r="D37">
            <v>0</v>
          </cell>
          <cell r="F37">
            <v>97000000</v>
          </cell>
          <cell r="G37">
            <v>0</v>
          </cell>
          <cell r="I37">
            <v>34494584</v>
          </cell>
        </row>
        <row r="38">
          <cell r="C38">
            <v>18593440</v>
          </cell>
          <cell r="D38">
            <v>0</v>
          </cell>
          <cell r="F38">
            <v>18593440</v>
          </cell>
          <cell r="G38">
            <v>0</v>
          </cell>
          <cell r="I38">
            <v>6331692</v>
          </cell>
        </row>
        <row r="39">
          <cell r="C39">
            <v>34505280</v>
          </cell>
          <cell r="D39">
            <v>0</v>
          </cell>
          <cell r="F39">
            <v>34519785</v>
          </cell>
          <cell r="G39">
            <v>0</v>
          </cell>
          <cell r="I39">
            <v>6942115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F41">
            <v>4187865</v>
          </cell>
          <cell r="G41">
            <v>0</v>
          </cell>
          <cell r="I41">
            <v>0</v>
          </cell>
        </row>
        <row r="43">
          <cell r="C43">
            <v>1270000</v>
          </cell>
          <cell r="D43">
            <v>0</v>
          </cell>
          <cell r="E43">
            <v>1270000</v>
          </cell>
          <cell r="F43">
            <v>1270000</v>
          </cell>
          <cell r="G43">
            <v>0</v>
          </cell>
          <cell r="H43">
            <v>1270000</v>
          </cell>
          <cell r="I43">
            <v>698690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D45">
            <v>0</v>
          </cell>
          <cell r="G45">
            <v>0</v>
          </cell>
          <cell r="I45">
            <v>0</v>
          </cell>
        </row>
      </sheetData>
      <sheetData sheetId="20"/>
      <sheetData sheetId="21">
        <row r="12">
          <cell r="C12"/>
          <cell r="D12">
            <v>0</v>
          </cell>
          <cell r="G12">
            <v>0</v>
          </cell>
          <cell r="H12">
            <v>0</v>
          </cell>
          <cell r="I12">
            <v>551180</v>
          </cell>
        </row>
        <row r="13">
          <cell r="C13">
            <v>19000000</v>
          </cell>
          <cell r="D13">
            <v>0</v>
          </cell>
          <cell r="G13">
            <v>0</v>
          </cell>
          <cell r="H13">
            <v>19000000</v>
          </cell>
          <cell r="I13">
            <v>6976956</v>
          </cell>
        </row>
        <row r="14">
          <cell r="C14"/>
          <cell r="D14">
            <v>0</v>
          </cell>
          <cell r="G14">
            <v>0</v>
          </cell>
          <cell r="H14">
            <v>0</v>
          </cell>
        </row>
        <row r="15">
          <cell r="C15">
            <v>61000000</v>
          </cell>
          <cell r="D15">
            <v>0</v>
          </cell>
          <cell r="G15">
            <v>0</v>
          </cell>
          <cell r="H15">
            <v>61000000</v>
          </cell>
          <cell r="I15">
            <v>21066619</v>
          </cell>
        </row>
        <row r="16">
          <cell r="C16">
            <v>18000000</v>
          </cell>
          <cell r="D16">
            <v>0</v>
          </cell>
          <cell r="G16">
            <v>0</v>
          </cell>
          <cell r="H16">
            <v>18000000</v>
          </cell>
          <cell r="I16">
            <v>5758902</v>
          </cell>
        </row>
        <row r="17">
          <cell r="C17">
            <v>10000000</v>
          </cell>
          <cell r="D17">
            <v>0</v>
          </cell>
          <cell r="G17">
            <v>0</v>
          </cell>
          <cell r="H17">
            <v>10000000</v>
          </cell>
          <cell r="I17">
            <v>8323000</v>
          </cell>
        </row>
        <row r="18">
          <cell r="C18"/>
          <cell r="D18">
            <v>0</v>
          </cell>
          <cell r="G18">
            <v>0</v>
          </cell>
          <cell r="H18">
            <v>0</v>
          </cell>
          <cell r="I18"/>
        </row>
        <row r="19">
          <cell r="C19"/>
          <cell r="D19">
            <v>0</v>
          </cell>
          <cell r="G19">
            <v>0</v>
          </cell>
          <cell r="H19">
            <v>0</v>
          </cell>
          <cell r="I19">
            <v>971451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33">
          <cell r="C33"/>
          <cell r="D33">
            <v>0</v>
          </cell>
          <cell r="F33">
            <v>39255962</v>
          </cell>
        </row>
        <row r="34">
          <cell r="E34">
            <v>695390775</v>
          </cell>
          <cell r="H34">
            <v>695390775</v>
          </cell>
          <cell r="I34">
            <v>256407093</v>
          </cell>
        </row>
        <row r="37">
          <cell r="C37">
            <v>264191250</v>
          </cell>
          <cell r="D37">
            <v>0</v>
          </cell>
          <cell r="F37">
            <v>264191250</v>
          </cell>
          <cell r="G37">
            <v>0</v>
          </cell>
          <cell r="I37">
            <v>89749715</v>
          </cell>
        </row>
        <row r="38">
          <cell r="C38">
            <v>53749525</v>
          </cell>
          <cell r="D38">
            <v>0</v>
          </cell>
          <cell r="F38">
            <v>53749525</v>
          </cell>
          <cell r="G38">
            <v>0</v>
          </cell>
          <cell r="I38">
            <v>18295854</v>
          </cell>
        </row>
        <row r="39">
          <cell r="C39">
            <v>484180000</v>
          </cell>
          <cell r="D39">
            <v>0</v>
          </cell>
          <cell r="F39">
            <v>488013052</v>
          </cell>
          <cell r="G39">
            <v>0</v>
          </cell>
          <cell r="I39">
            <v>162371639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F41">
            <v>32188454</v>
          </cell>
          <cell r="G41">
            <v>0</v>
          </cell>
          <cell r="I41">
            <v>0</v>
          </cell>
        </row>
        <row r="43">
          <cell r="C43">
            <v>1270000</v>
          </cell>
          <cell r="D43"/>
          <cell r="E43">
            <v>1270000</v>
          </cell>
          <cell r="F43">
            <v>2690610</v>
          </cell>
          <cell r="G43"/>
          <cell r="H43">
            <v>2690610</v>
          </cell>
          <cell r="I43">
            <v>2746948</v>
          </cell>
        </row>
        <row r="44">
          <cell r="C44"/>
          <cell r="D44"/>
          <cell r="F44">
            <v>1813846</v>
          </cell>
          <cell r="G44"/>
          <cell r="I44">
            <v>724408</v>
          </cell>
        </row>
        <row r="45">
          <cell r="D45">
            <v>0</v>
          </cell>
          <cell r="G45">
            <v>0</v>
          </cell>
          <cell r="I45">
            <v>0</v>
          </cell>
        </row>
      </sheetData>
      <sheetData sheetId="22"/>
      <sheetData sheetId="23">
        <row r="8">
          <cell r="E8">
            <v>72400430</v>
          </cell>
          <cell r="H8">
            <v>86566614</v>
          </cell>
          <cell r="I8">
            <v>19157080</v>
          </cell>
        </row>
        <row r="9">
          <cell r="D9"/>
          <cell r="E9">
            <v>53690000</v>
          </cell>
          <cell r="G9"/>
          <cell r="H9">
            <v>53690000</v>
          </cell>
          <cell r="I9">
            <v>15465446</v>
          </cell>
        </row>
        <row r="10">
          <cell r="D10"/>
          <cell r="E10">
            <v>10289630</v>
          </cell>
          <cell r="G10"/>
          <cell r="H10">
            <v>10289630</v>
          </cell>
          <cell r="I10">
            <v>2724706</v>
          </cell>
        </row>
        <row r="11">
          <cell r="D11"/>
          <cell r="E11">
            <v>7150800</v>
          </cell>
          <cell r="G11"/>
          <cell r="H11">
            <v>7150800</v>
          </cell>
          <cell r="I11">
            <v>966928</v>
          </cell>
        </row>
        <row r="12">
          <cell r="D12"/>
          <cell r="E12"/>
          <cell r="G12"/>
          <cell r="H12">
            <v>14166184</v>
          </cell>
          <cell r="I12"/>
        </row>
        <row r="13">
          <cell r="D13"/>
          <cell r="E13">
            <v>1270000</v>
          </cell>
          <cell r="G13"/>
          <cell r="H13">
            <v>1270000</v>
          </cell>
          <cell r="I13"/>
        </row>
        <row r="14">
          <cell r="E14"/>
          <cell r="H14"/>
          <cell r="I14"/>
        </row>
        <row r="15">
          <cell r="E15">
            <v>10795000</v>
          </cell>
          <cell r="H15">
            <v>10795000</v>
          </cell>
          <cell r="I15">
            <v>2543628</v>
          </cell>
        </row>
        <row r="16">
          <cell r="D16"/>
          <cell r="E16"/>
          <cell r="G16"/>
          <cell r="H16"/>
          <cell r="I16"/>
        </row>
        <row r="17">
          <cell r="D17"/>
          <cell r="E17"/>
          <cell r="G17"/>
          <cell r="H17"/>
          <cell r="I17"/>
        </row>
        <row r="18">
          <cell r="D18"/>
          <cell r="E18">
            <v>10795000</v>
          </cell>
          <cell r="G18"/>
          <cell r="H18">
            <v>10795000</v>
          </cell>
          <cell r="I18">
            <v>2543628</v>
          </cell>
        </row>
        <row r="19">
          <cell r="D19"/>
          <cell r="E19"/>
          <cell r="G19"/>
          <cell r="H19"/>
          <cell r="I19"/>
        </row>
        <row r="20">
          <cell r="E20">
            <v>0</v>
          </cell>
          <cell r="H20">
            <v>0</v>
          </cell>
          <cell r="I20">
            <v>0</v>
          </cell>
        </row>
        <row r="23">
          <cell r="E23">
            <v>171434150</v>
          </cell>
          <cell r="H23">
            <v>179884274</v>
          </cell>
          <cell r="I23">
            <v>53367387</v>
          </cell>
        </row>
        <row r="24">
          <cell r="D24"/>
          <cell r="E24">
            <v>125417000</v>
          </cell>
          <cell r="G24"/>
          <cell r="H24">
            <v>125417000</v>
          </cell>
          <cell r="I24">
            <v>40919429</v>
          </cell>
        </row>
        <row r="25">
          <cell r="D25"/>
          <cell r="E25">
            <v>26169150</v>
          </cell>
          <cell r="G25"/>
          <cell r="H25">
            <v>26169150</v>
          </cell>
          <cell r="I25">
            <v>8499537</v>
          </cell>
        </row>
        <row r="26">
          <cell r="D26"/>
          <cell r="E26">
            <v>18578000</v>
          </cell>
          <cell r="G26"/>
          <cell r="H26">
            <v>17780440</v>
          </cell>
          <cell r="I26">
            <v>3940431</v>
          </cell>
        </row>
        <row r="27">
          <cell r="D27"/>
          <cell r="E27"/>
          <cell r="G27"/>
          <cell r="H27">
            <v>8244384</v>
          </cell>
          <cell r="I27"/>
        </row>
        <row r="28">
          <cell r="D28"/>
          <cell r="E28">
            <v>1270000</v>
          </cell>
          <cell r="G28"/>
          <cell r="H28">
            <v>2273300</v>
          </cell>
          <cell r="I28">
            <v>7990</v>
          </cell>
        </row>
        <row r="29">
          <cell r="E29">
            <v>31892000</v>
          </cell>
          <cell r="H29">
            <v>31892000</v>
          </cell>
          <cell r="I29">
            <v>8569709</v>
          </cell>
        </row>
        <row r="30">
          <cell r="D30"/>
          <cell r="E30"/>
          <cell r="G30"/>
          <cell r="H30"/>
          <cell r="I30"/>
        </row>
        <row r="31">
          <cell r="D31"/>
          <cell r="E31"/>
          <cell r="G31"/>
          <cell r="H31"/>
          <cell r="I31"/>
        </row>
        <row r="32">
          <cell r="D32"/>
          <cell r="E32">
            <v>31892000</v>
          </cell>
          <cell r="G32"/>
          <cell r="H32">
            <v>31892000</v>
          </cell>
          <cell r="I32">
            <v>8569709</v>
          </cell>
        </row>
        <row r="33">
          <cell r="D33"/>
          <cell r="E33"/>
          <cell r="G33"/>
          <cell r="H33"/>
          <cell r="I33"/>
        </row>
        <row r="35">
          <cell r="C35">
            <v>55</v>
          </cell>
          <cell r="F35">
            <v>55</v>
          </cell>
        </row>
        <row r="37">
          <cell r="E37">
            <v>311808190</v>
          </cell>
          <cell r="H37">
            <v>324482590</v>
          </cell>
          <cell r="I37">
            <v>104280627</v>
          </cell>
        </row>
        <row r="38">
          <cell r="D38"/>
          <cell r="E38">
            <v>222046000</v>
          </cell>
          <cell r="G38"/>
          <cell r="H38">
            <v>222046000</v>
          </cell>
          <cell r="I38">
            <v>76554887</v>
          </cell>
        </row>
        <row r="39">
          <cell r="D39"/>
          <cell r="E39">
            <v>46170290</v>
          </cell>
          <cell r="G39"/>
          <cell r="H39">
            <v>46170290</v>
          </cell>
          <cell r="I39">
            <v>15950319</v>
          </cell>
        </row>
        <row r="40">
          <cell r="D40"/>
          <cell r="E40">
            <v>42575900</v>
          </cell>
          <cell r="G40"/>
          <cell r="H40">
            <v>42896195</v>
          </cell>
          <cell r="I40">
            <v>11684929</v>
          </cell>
        </row>
        <row r="41">
          <cell r="D41"/>
          <cell r="E41"/>
          <cell r="G41"/>
          <cell r="H41">
            <v>12354105</v>
          </cell>
          <cell r="I41"/>
        </row>
        <row r="42">
          <cell r="D42"/>
          <cell r="E42">
            <v>1016000</v>
          </cell>
          <cell r="G42"/>
          <cell r="H42">
            <v>1016000</v>
          </cell>
          <cell r="I42">
            <v>90492</v>
          </cell>
        </row>
        <row r="43">
          <cell r="E43">
            <v>47764700</v>
          </cell>
          <cell r="H43">
            <v>47764700</v>
          </cell>
          <cell r="I43">
            <v>14462022</v>
          </cell>
        </row>
        <row r="44">
          <cell r="D44"/>
          <cell r="E44"/>
          <cell r="G44"/>
          <cell r="H44"/>
          <cell r="I44"/>
        </row>
        <row r="45">
          <cell r="D45"/>
          <cell r="E45"/>
          <cell r="G45"/>
          <cell r="H45"/>
          <cell r="I45"/>
        </row>
        <row r="46">
          <cell r="D46"/>
          <cell r="E46">
            <v>47764700</v>
          </cell>
          <cell r="G46"/>
          <cell r="H46">
            <v>47764700</v>
          </cell>
          <cell r="I46">
            <v>14462022</v>
          </cell>
        </row>
        <row r="47">
          <cell r="D47"/>
          <cell r="E47"/>
          <cell r="G47"/>
          <cell r="H47"/>
          <cell r="I47"/>
        </row>
        <row r="51">
          <cell r="E51">
            <v>65711310</v>
          </cell>
          <cell r="H51">
            <v>68524807</v>
          </cell>
          <cell r="I51">
            <v>17383122</v>
          </cell>
        </row>
        <row r="52">
          <cell r="D52"/>
          <cell r="E52">
            <v>28226000</v>
          </cell>
          <cell r="G52"/>
          <cell r="H52">
            <v>28226000</v>
          </cell>
          <cell r="I52">
            <v>9599882</v>
          </cell>
        </row>
        <row r="53">
          <cell r="D53"/>
          <cell r="E53">
            <v>5675310</v>
          </cell>
          <cell r="G53"/>
          <cell r="H53">
            <v>5675310</v>
          </cell>
          <cell r="I53">
            <v>1961097</v>
          </cell>
        </row>
        <row r="54">
          <cell r="D54"/>
          <cell r="E54">
            <v>31810000</v>
          </cell>
          <cell r="G54"/>
          <cell r="H54">
            <v>31810000</v>
          </cell>
          <cell r="I54">
            <v>5726943</v>
          </cell>
        </row>
        <row r="55">
          <cell r="E55"/>
          <cell r="H55">
            <v>2813497</v>
          </cell>
          <cell r="I55">
            <v>95200</v>
          </cell>
        </row>
        <row r="56">
          <cell r="D56"/>
          <cell r="E56"/>
          <cell r="G56"/>
          <cell r="H56"/>
          <cell r="I56"/>
        </row>
        <row r="57">
          <cell r="E57"/>
          <cell r="H57"/>
          <cell r="I57"/>
        </row>
        <row r="58">
          <cell r="E58">
            <v>189916850</v>
          </cell>
          <cell r="H58">
            <v>192338368</v>
          </cell>
          <cell r="I58">
            <v>62204963</v>
          </cell>
        </row>
        <row r="59">
          <cell r="D59"/>
          <cell r="E59">
            <v>55628000</v>
          </cell>
          <cell r="G59"/>
          <cell r="H59">
            <v>55628000</v>
          </cell>
          <cell r="I59">
            <v>18886362</v>
          </cell>
        </row>
        <row r="60">
          <cell r="D60"/>
          <cell r="E60">
            <v>10657850</v>
          </cell>
          <cell r="G60"/>
          <cell r="H60">
            <v>10657850</v>
          </cell>
          <cell r="I60">
            <v>3212129</v>
          </cell>
        </row>
        <row r="61">
          <cell r="D61"/>
          <cell r="E61">
            <v>122361000</v>
          </cell>
          <cell r="G61"/>
          <cell r="H61">
            <v>124782518</v>
          </cell>
          <cell r="I61">
            <v>40062742</v>
          </cell>
        </row>
        <row r="62">
          <cell r="D62"/>
          <cell r="E62">
            <v>1270000</v>
          </cell>
          <cell r="G62"/>
          <cell r="H62">
            <v>1270000</v>
          </cell>
          <cell r="I62">
            <v>43730</v>
          </cell>
        </row>
        <row r="63">
          <cell r="E63">
            <v>2286000</v>
          </cell>
          <cell r="H63">
            <v>2286000</v>
          </cell>
          <cell r="I63">
            <v>0</v>
          </cell>
        </row>
        <row r="64">
          <cell r="D64"/>
          <cell r="E64"/>
          <cell r="G64"/>
          <cell r="H64"/>
          <cell r="I64"/>
        </row>
        <row r="65">
          <cell r="D65"/>
          <cell r="E65"/>
          <cell r="G65"/>
          <cell r="H65"/>
          <cell r="I65"/>
        </row>
        <row r="66">
          <cell r="D66"/>
          <cell r="E66">
            <v>2286000</v>
          </cell>
          <cell r="G66"/>
          <cell r="H66">
            <v>2286000</v>
          </cell>
          <cell r="I66"/>
        </row>
        <row r="67">
          <cell r="D67"/>
          <cell r="E67"/>
          <cell r="G67"/>
          <cell r="H67"/>
          <cell r="I67"/>
        </row>
        <row r="70">
          <cell r="E70"/>
          <cell r="H70"/>
        </row>
        <row r="71">
          <cell r="E71"/>
          <cell r="H71"/>
        </row>
        <row r="72">
          <cell r="E72"/>
          <cell r="H72"/>
        </row>
        <row r="76">
          <cell r="E76">
            <v>43962130</v>
          </cell>
          <cell r="H76">
            <v>46243725</v>
          </cell>
          <cell r="I76">
            <v>11321021</v>
          </cell>
        </row>
        <row r="77">
          <cell r="E77">
            <v>16831500</v>
          </cell>
          <cell r="H77">
            <v>16831500</v>
          </cell>
          <cell r="I77">
            <v>5826586</v>
          </cell>
        </row>
        <row r="78">
          <cell r="E78">
            <v>3228630</v>
          </cell>
          <cell r="H78">
            <v>3228630</v>
          </cell>
          <cell r="I78">
            <v>1040903</v>
          </cell>
        </row>
        <row r="79">
          <cell r="E79">
            <v>23902000</v>
          </cell>
          <cell r="H79">
            <v>24138339</v>
          </cell>
          <cell r="I79">
            <v>4258965</v>
          </cell>
        </row>
        <row r="80">
          <cell r="E80"/>
          <cell r="H80">
            <v>2045256</v>
          </cell>
        </row>
        <row r="81">
          <cell r="E81">
            <v>0</v>
          </cell>
          <cell r="H81">
            <v>0</v>
          </cell>
          <cell r="I81">
            <v>194567</v>
          </cell>
        </row>
        <row r="82">
          <cell r="E82"/>
          <cell r="H82"/>
          <cell r="I82"/>
        </row>
        <row r="83">
          <cell r="E83">
            <v>2600000</v>
          </cell>
          <cell r="H83">
            <v>2600000</v>
          </cell>
          <cell r="I83">
            <v>633398</v>
          </cell>
        </row>
        <row r="84">
          <cell r="E84"/>
          <cell r="H84"/>
          <cell r="I84"/>
        </row>
        <row r="85">
          <cell r="E85"/>
          <cell r="H85"/>
          <cell r="I85"/>
        </row>
        <row r="86">
          <cell r="E86"/>
          <cell r="H86"/>
          <cell r="I86">
            <v>187984</v>
          </cell>
        </row>
        <row r="87">
          <cell r="E87">
            <v>2600000</v>
          </cell>
          <cell r="H87">
            <v>2600000</v>
          </cell>
          <cell r="I87">
            <v>445414</v>
          </cell>
        </row>
        <row r="89">
          <cell r="E89">
            <v>8757500</v>
          </cell>
          <cell r="H89">
            <v>8757500</v>
          </cell>
          <cell r="I89">
            <v>2663043</v>
          </cell>
        </row>
        <row r="90">
          <cell r="E90">
            <v>5382000</v>
          </cell>
          <cell r="H90">
            <v>5382000</v>
          </cell>
          <cell r="I90">
            <v>1531162</v>
          </cell>
        </row>
        <row r="91">
          <cell r="E91">
            <v>1216500</v>
          </cell>
          <cell r="H91">
            <v>1216500</v>
          </cell>
          <cell r="I91">
            <v>273033</v>
          </cell>
        </row>
        <row r="92">
          <cell r="E92">
            <v>2159000</v>
          </cell>
          <cell r="H92">
            <v>2159000</v>
          </cell>
          <cell r="I92">
            <v>858848</v>
          </cell>
        </row>
        <row r="93">
          <cell r="E93"/>
          <cell r="H93"/>
          <cell r="I93"/>
        </row>
        <row r="94">
          <cell r="C94">
            <v>19</v>
          </cell>
          <cell r="F94">
            <v>19</v>
          </cell>
        </row>
        <row r="96">
          <cell r="E96">
            <v>120929930</v>
          </cell>
          <cell r="H96">
            <v>130389447</v>
          </cell>
          <cell r="I96">
            <v>36006088</v>
          </cell>
        </row>
        <row r="97">
          <cell r="D97"/>
          <cell r="E97">
            <v>70486000</v>
          </cell>
          <cell r="G97"/>
          <cell r="H97">
            <v>70486000</v>
          </cell>
          <cell r="I97">
            <v>22381023</v>
          </cell>
        </row>
        <row r="98">
          <cell r="D98"/>
          <cell r="E98">
            <v>11967930</v>
          </cell>
          <cell r="G98"/>
          <cell r="H98">
            <v>11967930</v>
          </cell>
          <cell r="I98">
            <v>4367912</v>
          </cell>
        </row>
        <row r="99">
          <cell r="D99"/>
          <cell r="E99">
            <v>37206000</v>
          </cell>
          <cell r="G99"/>
          <cell r="H99">
            <v>37636790</v>
          </cell>
          <cell r="I99">
            <v>8997130</v>
          </cell>
        </row>
        <row r="100">
          <cell r="E100"/>
          <cell r="H100">
            <v>9028727</v>
          </cell>
          <cell r="I100"/>
        </row>
        <row r="101">
          <cell r="D101"/>
          <cell r="E101">
            <v>1270000</v>
          </cell>
          <cell r="G101"/>
          <cell r="H101">
            <v>1270000</v>
          </cell>
          <cell r="I101">
            <v>260023</v>
          </cell>
        </row>
        <row r="102">
          <cell r="E102">
            <v>31609660</v>
          </cell>
          <cell r="H102">
            <v>31609660</v>
          </cell>
          <cell r="I102">
            <v>12424468</v>
          </cell>
        </row>
        <row r="103">
          <cell r="D103"/>
          <cell r="E103">
            <v>20994000</v>
          </cell>
          <cell r="G103"/>
          <cell r="H103">
            <v>20994000</v>
          </cell>
          <cell r="I103">
            <v>9438810</v>
          </cell>
        </row>
        <row r="104">
          <cell r="D104"/>
          <cell r="E104">
            <v>5523660</v>
          </cell>
          <cell r="G104"/>
          <cell r="H104">
            <v>5523660</v>
          </cell>
          <cell r="I104">
            <v>1656862</v>
          </cell>
        </row>
        <row r="105">
          <cell r="D105"/>
          <cell r="E105">
            <v>5092000</v>
          </cell>
          <cell r="G105"/>
          <cell r="H105">
            <v>5092000</v>
          </cell>
          <cell r="I105">
            <v>1263096</v>
          </cell>
        </row>
        <row r="106">
          <cell r="D106"/>
          <cell r="E106"/>
          <cell r="G106"/>
          <cell r="H106"/>
          <cell r="I106">
            <v>65700</v>
          </cell>
        </row>
        <row r="107">
          <cell r="E107">
            <v>18746000</v>
          </cell>
          <cell r="H107">
            <v>18746000</v>
          </cell>
          <cell r="I107">
            <v>8043029</v>
          </cell>
        </row>
        <row r="108">
          <cell r="D108"/>
          <cell r="E108"/>
          <cell r="G108"/>
          <cell r="H108"/>
          <cell r="I108"/>
        </row>
        <row r="109">
          <cell r="D109"/>
          <cell r="E109"/>
          <cell r="G109"/>
          <cell r="H109"/>
          <cell r="I109"/>
        </row>
        <row r="110">
          <cell r="D110"/>
          <cell r="E110">
            <v>18746000</v>
          </cell>
          <cell r="G110"/>
          <cell r="H110">
            <v>18746000</v>
          </cell>
          <cell r="I110">
            <v>8043029</v>
          </cell>
        </row>
        <row r="111">
          <cell r="D111"/>
          <cell r="E111"/>
          <cell r="G111"/>
          <cell r="H111"/>
          <cell r="I111"/>
        </row>
        <row r="120">
          <cell r="E120">
            <v>138668720</v>
          </cell>
          <cell r="H120">
            <v>142871090</v>
          </cell>
          <cell r="I120">
            <v>46680502</v>
          </cell>
        </row>
        <row r="121">
          <cell r="D121"/>
          <cell r="E121">
            <v>97000000</v>
          </cell>
          <cell r="G121"/>
          <cell r="H121">
            <v>97000000</v>
          </cell>
          <cell r="I121">
            <v>34494584</v>
          </cell>
        </row>
        <row r="122">
          <cell r="D122"/>
          <cell r="E122">
            <v>18593440</v>
          </cell>
          <cell r="G122"/>
          <cell r="H122">
            <v>18593440</v>
          </cell>
          <cell r="I122">
            <v>6331692</v>
          </cell>
        </row>
        <row r="123">
          <cell r="D123"/>
          <cell r="E123">
            <v>21805280</v>
          </cell>
          <cell r="G123"/>
          <cell r="H123">
            <v>21819785</v>
          </cell>
          <cell r="I123">
            <v>5155536</v>
          </cell>
        </row>
        <row r="124">
          <cell r="E124"/>
          <cell r="H124">
            <v>4187865</v>
          </cell>
          <cell r="I124"/>
        </row>
        <row r="125">
          <cell r="D125"/>
          <cell r="E125">
            <v>1270000</v>
          </cell>
          <cell r="G125"/>
          <cell r="H125">
            <v>1270000</v>
          </cell>
          <cell r="I125">
            <v>698690</v>
          </cell>
        </row>
        <row r="126">
          <cell r="E126">
            <v>12700000</v>
          </cell>
          <cell r="H126">
            <v>12700000</v>
          </cell>
          <cell r="I126">
            <v>1786579</v>
          </cell>
        </row>
        <row r="127">
          <cell r="D127"/>
          <cell r="E127"/>
          <cell r="G127"/>
          <cell r="H127"/>
          <cell r="I127"/>
        </row>
        <row r="128">
          <cell r="D128"/>
          <cell r="E128">
            <v>0</v>
          </cell>
          <cell r="G128"/>
          <cell r="H128">
            <v>0</v>
          </cell>
          <cell r="I128">
            <v>0</v>
          </cell>
        </row>
        <row r="129">
          <cell r="D129"/>
          <cell r="E129">
            <v>12700000</v>
          </cell>
          <cell r="G129"/>
          <cell r="H129">
            <v>12700000</v>
          </cell>
          <cell r="I129">
            <v>1786579</v>
          </cell>
        </row>
        <row r="130">
          <cell r="C130"/>
          <cell r="D130"/>
          <cell r="E130">
            <v>0</v>
          </cell>
          <cell r="F130"/>
          <cell r="G130"/>
          <cell r="H130">
            <v>0</v>
          </cell>
          <cell r="I130">
            <v>0</v>
          </cell>
        </row>
        <row r="132">
          <cell r="C132">
            <v>68.75</v>
          </cell>
          <cell r="F132">
            <v>68.75</v>
          </cell>
        </row>
        <row r="134">
          <cell r="E134">
            <v>90511500</v>
          </cell>
          <cell r="H134">
            <v>90511500</v>
          </cell>
          <cell r="I134">
            <v>36892927</v>
          </cell>
        </row>
        <row r="135">
          <cell r="C135"/>
          <cell r="F135"/>
        </row>
        <row r="139">
          <cell r="E139">
            <v>124299500</v>
          </cell>
          <cell r="H139">
            <v>124299500</v>
          </cell>
          <cell r="I139">
            <v>36902980</v>
          </cell>
        </row>
        <row r="144">
          <cell r="E144">
            <v>56134000</v>
          </cell>
          <cell r="H144">
            <v>56300472</v>
          </cell>
          <cell r="I144">
            <v>24967206</v>
          </cell>
        </row>
        <row r="147">
          <cell r="E147">
            <v>21975000</v>
          </cell>
          <cell r="H147">
            <v>22971550</v>
          </cell>
          <cell r="I147">
            <v>4205160</v>
          </cell>
        </row>
        <row r="151">
          <cell r="E151">
            <v>8930000</v>
          </cell>
          <cell r="H151">
            <v>8930000</v>
          </cell>
          <cell r="I151">
            <v>3840998</v>
          </cell>
        </row>
        <row r="154">
          <cell r="C154">
            <v>1.75</v>
          </cell>
          <cell r="E154">
            <v>10614125</v>
          </cell>
          <cell r="F154">
            <v>1.75</v>
          </cell>
          <cell r="H154">
            <v>10614125</v>
          </cell>
          <cell r="I154">
            <v>3846777</v>
          </cell>
        </row>
        <row r="159">
          <cell r="E159">
            <v>15217000</v>
          </cell>
          <cell r="H159">
            <v>15217000</v>
          </cell>
          <cell r="I159">
            <v>3915338</v>
          </cell>
        </row>
        <row r="164">
          <cell r="E164">
            <v>11000000</v>
          </cell>
          <cell r="H164">
            <v>11000000</v>
          </cell>
          <cell r="I164">
            <v>1564301</v>
          </cell>
        </row>
        <row r="168">
          <cell r="E168">
            <v>110669650</v>
          </cell>
          <cell r="H168">
            <v>142949267</v>
          </cell>
          <cell r="I168">
            <v>37944791.159999996</v>
          </cell>
        </row>
        <row r="175">
          <cell r="E175">
            <v>45011500</v>
          </cell>
          <cell r="H175">
            <v>45011500</v>
          </cell>
          <cell r="I175">
            <v>15981865.84</v>
          </cell>
        </row>
        <row r="180">
          <cell r="E180">
            <v>309028500</v>
          </cell>
          <cell r="H180">
            <v>314841823</v>
          </cell>
          <cell r="I180">
            <v>103826220</v>
          </cell>
        </row>
        <row r="192">
          <cell r="E192">
            <v>264191250</v>
          </cell>
          <cell r="H192">
            <v>264191250</v>
          </cell>
          <cell r="I192">
            <v>89749715</v>
          </cell>
        </row>
        <row r="193">
          <cell r="E193">
            <v>53749525</v>
          </cell>
          <cell r="H193">
            <v>53749525</v>
          </cell>
          <cell r="I193">
            <v>18295854</v>
          </cell>
        </row>
        <row r="194">
          <cell r="E194">
            <v>484180000</v>
          </cell>
          <cell r="H194">
            <v>488013052</v>
          </cell>
          <cell r="I194">
            <v>162371639</v>
          </cell>
        </row>
        <row r="195">
          <cell r="E195">
            <v>0</v>
          </cell>
          <cell r="H195">
            <v>32188454</v>
          </cell>
          <cell r="I195">
            <v>0</v>
          </cell>
        </row>
        <row r="196">
          <cell r="E196">
            <v>1270000</v>
          </cell>
          <cell r="H196">
            <v>2690610</v>
          </cell>
          <cell r="I196">
            <v>2746948</v>
          </cell>
        </row>
        <row r="197">
          <cell r="H197">
            <v>1813846</v>
          </cell>
          <cell r="I197">
            <v>724408</v>
          </cell>
        </row>
      </sheetData>
      <sheetData sheetId="24">
        <row r="5">
          <cell r="F5">
            <v>670080000</v>
          </cell>
          <cell r="I5">
            <v>701703000</v>
          </cell>
          <cell r="J5">
            <v>18973800</v>
          </cell>
        </row>
        <row r="6">
          <cell r="F6">
            <v>118483000</v>
          </cell>
          <cell r="I6">
            <v>122743596</v>
          </cell>
          <cell r="J6">
            <v>8694396</v>
          </cell>
        </row>
        <row r="7">
          <cell r="F7">
            <v>85000000</v>
          </cell>
          <cell r="I7">
            <v>85000000</v>
          </cell>
          <cell r="J7"/>
        </row>
        <row r="8">
          <cell r="F8">
            <v>12500000</v>
          </cell>
          <cell r="I8">
            <v>12500000</v>
          </cell>
          <cell r="J8"/>
        </row>
        <row r="9">
          <cell r="F9">
            <v>19645000</v>
          </cell>
          <cell r="I9">
            <v>19645000</v>
          </cell>
          <cell r="J9"/>
        </row>
        <row r="10">
          <cell r="F10">
            <v>6000000</v>
          </cell>
          <cell r="I10">
            <v>6000000</v>
          </cell>
          <cell r="J10"/>
        </row>
        <row r="11">
          <cell r="D11">
            <v>11820000</v>
          </cell>
          <cell r="E11">
            <v>3180000</v>
          </cell>
          <cell r="G11">
            <v>13720000</v>
          </cell>
          <cell r="H11">
            <v>3693000</v>
          </cell>
        </row>
        <row r="12">
          <cell r="F12">
            <v>2501900</v>
          </cell>
          <cell r="I12">
            <v>2501900</v>
          </cell>
          <cell r="J12"/>
        </row>
        <row r="13">
          <cell r="F13">
            <v>4445000</v>
          </cell>
          <cell r="I13">
            <v>4445000</v>
          </cell>
          <cell r="J13"/>
        </row>
        <row r="14">
          <cell r="F14">
            <v>10000000</v>
          </cell>
          <cell r="I14">
            <v>10000000</v>
          </cell>
          <cell r="J14"/>
        </row>
        <row r="15">
          <cell r="F15">
            <v>9000000</v>
          </cell>
          <cell r="I15">
            <v>9000000</v>
          </cell>
          <cell r="J15"/>
        </row>
        <row r="16">
          <cell r="F16">
            <v>19050000</v>
          </cell>
          <cell r="I16">
            <v>19050000</v>
          </cell>
          <cell r="J16"/>
        </row>
        <row r="17">
          <cell r="F17">
            <v>40000000</v>
          </cell>
          <cell r="I17">
            <v>40000000</v>
          </cell>
          <cell r="J17"/>
        </row>
        <row r="18">
          <cell r="F18">
            <v>5000000</v>
          </cell>
          <cell r="I18">
            <v>5000000</v>
          </cell>
          <cell r="J18"/>
        </row>
        <row r="19">
          <cell r="F19">
            <v>20000000</v>
          </cell>
          <cell r="I19">
            <v>20000000</v>
          </cell>
          <cell r="J19"/>
        </row>
        <row r="20">
          <cell r="F20">
            <v>15875000</v>
          </cell>
          <cell r="I20">
            <v>15875000</v>
          </cell>
          <cell r="J20">
            <v>28286006</v>
          </cell>
        </row>
        <row r="21">
          <cell r="D21">
            <v>1600000</v>
          </cell>
          <cell r="E21">
            <v>400000</v>
          </cell>
          <cell r="G21">
            <v>1600000</v>
          </cell>
          <cell r="H21">
            <v>400000</v>
          </cell>
        </row>
        <row r="22">
          <cell r="F22">
            <v>533400</v>
          </cell>
          <cell r="I22">
            <v>533400</v>
          </cell>
          <cell r="J22"/>
        </row>
        <row r="23">
          <cell r="F23">
            <v>2012950</v>
          </cell>
          <cell r="I23">
            <v>2012950</v>
          </cell>
          <cell r="J23"/>
        </row>
        <row r="24">
          <cell r="F24">
            <v>355600</v>
          </cell>
          <cell r="I24">
            <v>355600</v>
          </cell>
          <cell r="J24"/>
        </row>
        <row r="25">
          <cell r="F25">
            <v>14859000</v>
          </cell>
          <cell r="I25">
            <v>14859000</v>
          </cell>
          <cell r="J25"/>
        </row>
        <row r="26">
          <cell r="F26">
            <v>825500</v>
          </cell>
          <cell r="I26">
            <v>825500</v>
          </cell>
          <cell r="J26"/>
        </row>
        <row r="27">
          <cell r="F27">
            <v>11938000</v>
          </cell>
          <cell r="I27">
            <v>11938000</v>
          </cell>
          <cell r="J27"/>
        </row>
        <row r="28">
          <cell r="F28">
            <v>50000000</v>
          </cell>
          <cell r="I28">
            <v>53325091</v>
          </cell>
          <cell r="J28">
            <v>1701800</v>
          </cell>
        </row>
        <row r="29">
          <cell r="F29">
            <v>1500000</v>
          </cell>
          <cell r="I29">
            <v>1500000</v>
          </cell>
          <cell r="J29"/>
        </row>
        <row r="30">
          <cell r="I30">
            <v>2857500</v>
          </cell>
          <cell r="J30">
            <v>2133600</v>
          </cell>
        </row>
        <row r="31">
          <cell r="I31">
            <v>49404175</v>
          </cell>
          <cell r="J31">
            <v>49404174</v>
          </cell>
        </row>
        <row r="32">
          <cell r="I32">
            <v>9471660</v>
          </cell>
          <cell r="J32">
            <v>9471660</v>
          </cell>
        </row>
        <row r="33">
          <cell r="J33">
            <v>857250</v>
          </cell>
        </row>
        <row r="34">
          <cell r="I34">
            <v>54610000</v>
          </cell>
          <cell r="J34">
            <v>16383000</v>
          </cell>
        </row>
        <row r="36">
          <cell r="J36">
            <v>990600</v>
          </cell>
        </row>
        <row r="37">
          <cell r="J37">
            <v>875665</v>
          </cell>
        </row>
        <row r="38">
          <cell r="I38">
            <v>29902805</v>
          </cell>
          <cell r="J38"/>
        </row>
        <row r="39">
          <cell r="I39">
            <v>13302548</v>
          </cell>
        </row>
        <row r="40">
          <cell r="I40">
            <v>8795000</v>
          </cell>
        </row>
        <row r="41">
          <cell r="I41">
            <v>2400000</v>
          </cell>
        </row>
        <row r="42">
          <cell r="I42">
            <v>1823000</v>
          </cell>
        </row>
        <row r="43">
          <cell r="I43">
            <v>906526</v>
          </cell>
        </row>
        <row r="44">
          <cell r="I44">
            <v>0</v>
          </cell>
        </row>
        <row r="49">
          <cell r="D49">
            <v>49606300</v>
          </cell>
          <cell r="E49">
            <v>13393700</v>
          </cell>
          <cell r="G49">
            <v>1574800</v>
          </cell>
          <cell r="H49">
            <v>425200</v>
          </cell>
          <cell r="J49"/>
        </row>
        <row r="50">
          <cell r="F50">
            <v>63627000</v>
          </cell>
          <cell r="I50">
            <v>63627000</v>
          </cell>
          <cell r="J50">
            <v>1490726</v>
          </cell>
        </row>
        <row r="51">
          <cell r="F51">
            <v>3123500</v>
          </cell>
          <cell r="I51">
            <v>3123500</v>
          </cell>
          <cell r="J51"/>
        </row>
        <row r="52">
          <cell r="F52">
            <v>14228500</v>
          </cell>
          <cell r="I52">
            <v>55728500</v>
          </cell>
          <cell r="J52"/>
        </row>
        <row r="53">
          <cell r="F53">
            <v>30765040</v>
          </cell>
          <cell r="I53">
            <v>30765040</v>
          </cell>
          <cell r="J53">
            <v>2438390</v>
          </cell>
        </row>
        <row r="54">
          <cell r="F54">
            <v>25000000</v>
          </cell>
          <cell r="I54">
            <v>25000000</v>
          </cell>
          <cell r="J54"/>
        </row>
        <row r="55">
          <cell r="F55">
            <v>5000000</v>
          </cell>
          <cell r="I55">
            <v>5000000</v>
          </cell>
          <cell r="J55"/>
        </row>
        <row r="56">
          <cell r="F56">
            <v>4749800</v>
          </cell>
          <cell r="I56">
            <v>4749800</v>
          </cell>
          <cell r="J56"/>
        </row>
        <row r="57">
          <cell r="F57">
            <v>5000000</v>
          </cell>
          <cell r="I57">
            <v>5000000</v>
          </cell>
          <cell r="J57"/>
        </row>
        <row r="58">
          <cell r="I58">
            <v>4370832</v>
          </cell>
        </row>
        <row r="59">
          <cell r="F59">
            <v>1016000</v>
          </cell>
          <cell r="I59">
            <v>1016000</v>
          </cell>
          <cell r="J59"/>
        </row>
        <row r="60">
          <cell r="J60">
            <v>1497340</v>
          </cell>
        </row>
        <row r="61">
          <cell r="I61">
            <v>1150937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355F9-E4AC-46D4-85FA-E8735EC969F1}">
  <sheetPr>
    <pageSetUpPr fitToPage="1"/>
  </sheetPr>
  <dimension ref="A1:N74"/>
  <sheetViews>
    <sheetView view="pageBreakPreview" topLeftCell="C1" zoomScale="98" zoomScaleNormal="90" zoomScaleSheetLayoutView="98" workbookViewId="0">
      <selection activeCell="N3" sqref="N3"/>
    </sheetView>
  </sheetViews>
  <sheetFormatPr defaultRowHeight="15" x14ac:dyDescent="0.25"/>
  <cols>
    <col min="1" max="1" width="5.7109375" customWidth="1"/>
    <col min="2" max="2" width="38.85546875" customWidth="1"/>
    <col min="3" max="3" width="14.7109375" customWidth="1"/>
    <col min="4" max="4" width="13.7109375" customWidth="1"/>
    <col min="5" max="5" width="12.7109375" bestFit="1" customWidth="1"/>
    <col min="6" max="6" width="13.85546875" customWidth="1"/>
    <col min="7" max="7" width="5.85546875" customWidth="1"/>
    <col min="8" max="8" width="43.85546875" customWidth="1"/>
    <col min="9" max="9" width="14.140625" customWidth="1"/>
    <col min="10" max="10" width="13" customWidth="1"/>
    <col min="11" max="11" width="12.7109375" bestFit="1" customWidth="1"/>
    <col min="12" max="12" width="15.7109375" customWidth="1"/>
    <col min="257" max="257" width="5.7109375" customWidth="1"/>
    <col min="258" max="258" width="38.85546875" customWidth="1"/>
    <col min="259" max="259" width="14.7109375" customWidth="1"/>
    <col min="260" max="260" width="13.7109375" customWidth="1"/>
    <col min="261" max="261" width="12.7109375" bestFit="1" customWidth="1"/>
    <col min="262" max="262" width="13.85546875" customWidth="1"/>
    <col min="263" max="263" width="5.85546875" customWidth="1"/>
    <col min="264" max="264" width="43.85546875" customWidth="1"/>
    <col min="265" max="265" width="14.140625" customWidth="1"/>
    <col min="266" max="266" width="13" customWidth="1"/>
    <col min="267" max="267" width="12.7109375" bestFit="1" customWidth="1"/>
    <col min="268" max="268" width="15.7109375" customWidth="1"/>
    <col min="513" max="513" width="5.7109375" customWidth="1"/>
    <col min="514" max="514" width="38.85546875" customWidth="1"/>
    <col min="515" max="515" width="14.7109375" customWidth="1"/>
    <col min="516" max="516" width="13.7109375" customWidth="1"/>
    <col min="517" max="517" width="12.7109375" bestFit="1" customWidth="1"/>
    <col min="518" max="518" width="13.85546875" customWidth="1"/>
    <col min="519" max="519" width="5.85546875" customWidth="1"/>
    <col min="520" max="520" width="43.85546875" customWidth="1"/>
    <col min="521" max="521" width="14.140625" customWidth="1"/>
    <col min="522" max="522" width="13" customWidth="1"/>
    <col min="523" max="523" width="12.7109375" bestFit="1" customWidth="1"/>
    <col min="524" max="524" width="15.7109375" customWidth="1"/>
    <col min="769" max="769" width="5.7109375" customWidth="1"/>
    <col min="770" max="770" width="38.85546875" customWidth="1"/>
    <col min="771" max="771" width="14.7109375" customWidth="1"/>
    <col min="772" max="772" width="13.7109375" customWidth="1"/>
    <col min="773" max="773" width="12.7109375" bestFit="1" customWidth="1"/>
    <col min="774" max="774" width="13.85546875" customWidth="1"/>
    <col min="775" max="775" width="5.85546875" customWidth="1"/>
    <col min="776" max="776" width="43.85546875" customWidth="1"/>
    <col min="777" max="777" width="14.140625" customWidth="1"/>
    <col min="778" max="778" width="13" customWidth="1"/>
    <col min="779" max="779" width="12.7109375" bestFit="1" customWidth="1"/>
    <col min="780" max="780" width="15.7109375" customWidth="1"/>
    <col min="1025" max="1025" width="5.7109375" customWidth="1"/>
    <col min="1026" max="1026" width="38.85546875" customWidth="1"/>
    <col min="1027" max="1027" width="14.7109375" customWidth="1"/>
    <col min="1028" max="1028" width="13.7109375" customWidth="1"/>
    <col min="1029" max="1029" width="12.7109375" bestFit="1" customWidth="1"/>
    <col min="1030" max="1030" width="13.85546875" customWidth="1"/>
    <col min="1031" max="1031" width="5.85546875" customWidth="1"/>
    <col min="1032" max="1032" width="43.85546875" customWidth="1"/>
    <col min="1033" max="1033" width="14.140625" customWidth="1"/>
    <col min="1034" max="1034" width="13" customWidth="1"/>
    <col min="1035" max="1035" width="12.7109375" bestFit="1" customWidth="1"/>
    <col min="1036" max="1036" width="15.7109375" customWidth="1"/>
    <col min="1281" max="1281" width="5.7109375" customWidth="1"/>
    <col min="1282" max="1282" width="38.85546875" customWidth="1"/>
    <col min="1283" max="1283" width="14.7109375" customWidth="1"/>
    <col min="1284" max="1284" width="13.7109375" customWidth="1"/>
    <col min="1285" max="1285" width="12.7109375" bestFit="1" customWidth="1"/>
    <col min="1286" max="1286" width="13.85546875" customWidth="1"/>
    <col min="1287" max="1287" width="5.85546875" customWidth="1"/>
    <col min="1288" max="1288" width="43.85546875" customWidth="1"/>
    <col min="1289" max="1289" width="14.140625" customWidth="1"/>
    <col min="1290" max="1290" width="13" customWidth="1"/>
    <col min="1291" max="1291" width="12.7109375" bestFit="1" customWidth="1"/>
    <col min="1292" max="1292" width="15.7109375" customWidth="1"/>
    <col min="1537" max="1537" width="5.7109375" customWidth="1"/>
    <col min="1538" max="1538" width="38.85546875" customWidth="1"/>
    <col min="1539" max="1539" width="14.7109375" customWidth="1"/>
    <col min="1540" max="1540" width="13.7109375" customWidth="1"/>
    <col min="1541" max="1541" width="12.7109375" bestFit="1" customWidth="1"/>
    <col min="1542" max="1542" width="13.85546875" customWidth="1"/>
    <col min="1543" max="1543" width="5.85546875" customWidth="1"/>
    <col min="1544" max="1544" width="43.85546875" customWidth="1"/>
    <col min="1545" max="1545" width="14.140625" customWidth="1"/>
    <col min="1546" max="1546" width="13" customWidth="1"/>
    <col min="1547" max="1547" width="12.7109375" bestFit="1" customWidth="1"/>
    <col min="1548" max="1548" width="15.7109375" customWidth="1"/>
    <col min="1793" max="1793" width="5.7109375" customWidth="1"/>
    <col min="1794" max="1794" width="38.85546875" customWidth="1"/>
    <col min="1795" max="1795" width="14.7109375" customWidth="1"/>
    <col min="1796" max="1796" width="13.7109375" customWidth="1"/>
    <col min="1797" max="1797" width="12.7109375" bestFit="1" customWidth="1"/>
    <col min="1798" max="1798" width="13.85546875" customWidth="1"/>
    <col min="1799" max="1799" width="5.85546875" customWidth="1"/>
    <col min="1800" max="1800" width="43.85546875" customWidth="1"/>
    <col min="1801" max="1801" width="14.140625" customWidth="1"/>
    <col min="1802" max="1802" width="13" customWidth="1"/>
    <col min="1803" max="1803" width="12.7109375" bestFit="1" customWidth="1"/>
    <col min="1804" max="1804" width="15.7109375" customWidth="1"/>
    <col min="2049" max="2049" width="5.7109375" customWidth="1"/>
    <col min="2050" max="2050" width="38.85546875" customWidth="1"/>
    <col min="2051" max="2051" width="14.7109375" customWidth="1"/>
    <col min="2052" max="2052" width="13.7109375" customWidth="1"/>
    <col min="2053" max="2053" width="12.7109375" bestFit="1" customWidth="1"/>
    <col min="2054" max="2054" width="13.85546875" customWidth="1"/>
    <col min="2055" max="2055" width="5.85546875" customWidth="1"/>
    <col min="2056" max="2056" width="43.85546875" customWidth="1"/>
    <col min="2057" max="2057" width="14.140625" customWidth="1"/>
    <col min="2058" max="2058" width="13" customWidth="1"/>
    <col min="2059" max="2059" width="12.7109375" bestFit="1" customWidth="1"/>
    <col min="2060" max="2060" width="15.7109375" customWidth="1"/>
    <col min="2305" max="2305" width="5.7109375" customWidth="1"/>
    <col min="2306" max="2306" width="38.85546875" customWidth="1"/>
    <col min="2307" max="2307" width="14.7109375" customWidth="1"/>
    <col min="2308" max="2308" width="13.7109375" customWidth="1"/>
    <col min="2309" max="2309" width="12.7109375" bestFit="1" customWidth="1"/>
    <col min="2310" max="2310" width="13.85546875" customWidth="1"/>
    <col min="2311" max="2311" width="5.85546875" customWidth="1"/>
    <col min="2312" max="2312" width="43.85546875" customWidth="1"/>
    <col min="2313" max="2313" width="14.140625" customWidth="1"/>
    <col min="2314" max="2314" width="13" customWidth="1"/>
    <col min="2315" max="2315" width="12.7109375" bestFit="1" customWidth="1"/>
    <col min="2316" max="2316" width="15.7109375" customWidth="1"/>
    <col min="2561" max="2561" width="5.7109375" customWidth="1"/>
    <col min="2562" max="2562" width="38.85546875" customWidth="1"/>
    <col min="2563" max="2563" width="14.7109375" customWidth="1"/>
    <col min="2564" max="2564" width="13.7109375" customWidth="1"/>
    <col min="2565" max="2565" width="12.7109375" bestFit="1" customWidth="1"/>
    <col min="2566" max="2566" width="13.85546875" customWidth="1"/>
    <col min="2567" max="2567" width="5.85546875" customWidth="1"/>
    <col min="2568" max="2568" width="43.85546875" customWidth="1"/>
    <col min="2569" max="2569" width="14.140625" customWidth="1"/>
    <col min="2570" max="2570" width="13" customWidth="1"/>
    <col min="2571" max="2571" width="12.7109375" bestFit="1" customWidth="1"/>
    <col min="2572" max="2572" width="15.7109375" customWidth="1"/>
    <col min="2817" max="2817" width="5.7109375" customWidth="1"/>
    <col min="2818" max="2818" width="38.85546875" customWidth="1"/>
    <col min="2819" max="2819" width="14.7109375" customWidth="1"/>
    <col min="2820" max="2820" width="13.7109375" customWidth="1"/>
    <col min="2821" max="2821" width="12.7109375" bestFit="1" customWidth="1"/>
    <col min="2822" max="2822" width="13.85546875" customWidth="1"/>
    <col min="2823" max="2823" width="5.85546875" customWidth="1"/>
    <col min="2824" max="2824" width="43.85546875" customWidth="1"/>
    <col min="2825" max="2825" width="14.140625" customWidth="1"/>
    <col min="2826" max="2826" width="13" customWidth="1"/>
    <col min="2827" max="2827" width="12.7109375" bestFit="1" customWidth="1"/>
    <col min="2828" max="2828" width="15.7109375" customWidth="1"/>
    <col min="3073" max="3073" width="5.7109375" customWidth="1"/>
    <col min="3074" max="3074" width="38.85546875" customWidth="1"/>
    <col min="3075" max="3075" width="14.7109375" customWidth="1"/>
    <col min="3076" max="3076" width="13.7109375" customWidth="1"/>
    <col min="3077" max="3077" width="12.7109375" bestFit="1" customWidth="1"/>
    <col min="3078" max="3078" width="13.85546875" customWidth="1"/>
    <col min="3079" max="3079" width="5.85546875" customWidth="1"/>
    <col min="3080" max="3080" width="43.85546875" customWidth="1"/>
    <col min="3081" max="3081" width="14.140625" customWidth="1"/>
    <col min="3082" max="3082" width="13" customWidth="1"/>
    <col min="3083" max="3083" width="12.7109375" bestFit="1" customWidth="1"/>
    <col min="3084" max="3084" width="15.7109375" customWidth="1"/>
    <col min="3329" max="3329" width="5.7109375" customWidth="1"/>
    <col min="3330" max="3330" width="38.85546875" customWidth="1"/>
    <col min="3331" max="3331" width="14.7109375" customWidth="1"/>
    <col min="3332" max="3332" width="13.7109375" customWidth="1"/>
    <col min="3333" max="3333" width="12.7109375" bestFit="1" customWidth="1"/>
    <col min="3334" max="3334" width="13.85546875" customWidth="1"/>
    <col min="3335" max="3335" width="5.85546875" customWidth="1"/>
    <col min="3336" max="3336" width="43.85546875" customWidth="1"/>
    <col min="3337" max="3337" width="14.140625" customWidth="1"/>
    <col min="3338" max="3338" width="13" customWidth="1"/>
    <col min="3339" max="3339" width="12.7109375" bestFit="1" customWidth="1"/>
    <col min="3340" max="3340" width="15.7109375" customWidth="1"/>
    <col min="3585" max="3585" width="5.7109375" customWidth="1"/>
    <col min="3586" max="3586" width="38.85546875" customWidth="1"/>
    <col min="3587" max="3587" width="14.7109375" customWidth="1"/>
    <col min="3588" max="3588" width="13.7109375" customWidth="1"/>
    <col min="3589" max="3589" width="12.7109375" bestFit="1" customWidth="1"/>
    <col min="3590" max="3590" width="13.85546875" customWidth="1"/>
    <col min="3591" max="3591" width="5.85546875" customWidth="1"/>
    <col min="3592" max="3592" width="43.85546875" customWidth="1"/>
    <col min="3593" max="3593" width="14.140625" customWidth="1"/>
    <col min="3594" max="3594" width="13" customWidth="1"/>
    <col min="3595" max="3595" width="12.7109375" bestFit="1" customWidth="1"/>
    <col min="3596" max="3596" width="15.7109375" customWidth="1"/>
    <col min="3841" max="3841" width="5.7109375" customWidth="1"/>
    <col min="3842" max="3842" width="38.85546875" customWidth="1"/>
    <col min="3843" max="3843" width="14.7109375" customWidth="1"/>
    <col min="3844" max="3844" width="13.7109375" customWidth="1"/>
    <col min="3845" max="3845" width="12.7109375" bestFit="1" customWidth="1"/>
    <col min="3846" max="3846" width="13.85546875" customWidth="1"/>
    <col min="3847" max="3847" width="5.85546875" customWidth="1"/>
    <col min="3848" max="3848" width="43.85546875" customWidth="1"/>
    <col min="3849" max="3849" width="14.140625" customWidth="1"/>
    <col min="3850" max="3850" width="13" customWidth="1"/>
    <col min="3851" max="3851" width="12.7109375" bestFit="1" customWidth="1"/>
    <col min="3852" max="3852" width="15.7109375" customWidth="1"/>
    <col min="4097" max="4097" width="5.7109375" customWidth="1"/>
    <col min="4098" max="4098" width="38.85546875" customWidth="1"/>
    <col min="4099" max="4099" width="14.7109375" customWidth="1"/>
    <col min="4100" max="4100" width="13.7109375" customWidth="1"/>
    <col min="4101" max="4101" width="12.7109375" bestFit="1" customWidth="1"/>
    <col min="4102" max="4102" width="13.85546875" customWidth="1"/>
    <col min="4103" max="4103" width="5.85546875" customWidth="1"/>
    <col min="4104" max="4104" width="43.85546875" customWidth="1"/>
    <col min="4105" max="4105" width="14.140625" customWidth="1"/>
    <col min="4106" max="4106" width="13" customWidth="1"/>
    <col min="4107" max="4107" width="12.7109375" bestFit="1" customWidth="1"/>
    <col min="4108" max="4108" width="15.7109375" customWidth="1"/>
    <col min="4353" max="4353" width="5.7109375" customWidth="1"/>
    <col min="4354" max="4354" width="38.85546875" customWidth="1"/>
    <col min="4355" max="4355" width="14.7109375" customWidth="1"/>
    <col min="4356" max="4356" width="13.7109375" customWidth="1"/>
    <col min="4357" max="4357" width="12.7109375" bestFit="1" customWidth="1"/>
    <col min="4358" max="4358" width="13.85546875" customWidth="1"/>
    <col min="4359" max="4359" width="5.85546875" customWidth="1"/>
    <col min="4360" max="4360" width="43.85546875" customWidth="1"/>
    <col min="4361" max="4361" width="14.140625" customWidth="1"/>
    <col min="4362" max="4362" width="13" customWidth="1"/>
    <col min="4363" max="4363" width="12.7109375" bestFit="1" customWidth="1"/>
    <col min="4364" max="4364" width="15.7109375" customWidth="1"/>
    <col min="4609" max="4609" width="5.7109375" customWidth="1"/>
    <col min="4610" max="4610" width="38.85546875" customWidth="1"/>
    <col min="4611" max="4611" width="14.7109375" customWidth="1"/>
    <col min="4612" max="4612" width="13.7109375" customWidth="1"/>
    <col min="4613" max="4613" width="12.7109375" bestFit="1" customWidth="1"/>
    <col min="4614" max="4614" width="13.85546875" customWidth="1"/>
    <col min="4615" max="4615" width="5.85546875" customWidth="1"/>
    <col min="4616" max="4616" width="43.85546875" customWidth="1"/>
    <col min="4617" max="4617" width="14.140625" customWidth="1"/>
    <col min="4618" max="4618" width="13" customWidth="1"/>
    <col min="4619" max="4619" width="12.7109375" bestFit="1" customWidth="1"/>
    <col min="4620" max="4620" width="15.7109375" customWidth="1"/>
    <col min="4865" max="4865" width="5.7109375" customWidth="1"/>
    <col min="4866" max="4866" width="38.85546875" customWidth="1"/>
    <col min="4867" max="4867" width="14.7109375" customWidth="1"/>
    <col min="4868" max="4868" width="13.7109375" customWidth="1"/>
    <col min="4869" max="4869" width="12.7109375" bestFit="1" customWidth="1"/>
    <col min="4870" max="4870" width="13.85546875" customWidth="1"/>
    <col min="4871" max="4871" width="5.85546875" customWidth="1"/>
    <col min="4872" max="4872" width="43.85546875" customWidth="1"/>
    <col min="4873" max="4873" width="14.140625" customWidth="1"/>
    <col min="4874" max="4874" width="13" customWidth="1"/>
    <col min="4875" max="4875" width="12.7109375" bestFit="1" customWidth="1"/>
    <col min="4876" max="4876" width="15.7109375" customWidth="1"/>
    <col min="5121" max="5121" width="5.7109375" customWidth="1"/>
    <col min="5122" max="5122" width="38.85546875" customWidth="1"/>
    <col min="5123" max="5123" width="14.7109375" customWidth="1"/>
    <col min="5124" max="5124" width="13.7109375" customWidth="1"/>
    <col min="5125" max="5125" width="12.7109375" bestFit="1" customWidth="1"/>
    <col min="5126" max="5126" width="13.85546875" customWidth="1"/>
    <col min="5127" max="5127" width="5.85546875" customWidth="1"/>
    <col min="5128" max="5128" width="43.85546875" customWidth="1"/>
    <col min="5129" max="5129" width="14.140625" customWidth="1"/>
    <col min="5130" max="5130" width="13" customWidth="1"/>
    <col min="5131" max="5131" width="12.7109375" bestFit="1" customWidth="1"/>
    <col min="5132" max="5132" width="15.7109375" customWidth="1"/>
    <col min="5377" max="5377" width="5.7109375" customWidth="1"/>
    <col min="5378" max="5378" width="38.85546875" customWidth="1"/>
    <col min="5379" max="5379" width="14.7109375" customWidth="1"/>
    <col min="5380" max="5380" width="13.7109375" customWidth="1"/>
    <col min="5381" max="5381" width="12.7109375" bestFit="1" customWidth="1"/>
    <col min="5382" max="5382" width="13.85546875" customWidth="1"/>
    <col min="5383" max="5383" width="5.85546875" customWidth="1"/>
    <col min="5384" max="5384" width="43.85546875" customWidth="1"/>
    <col min="5385" max="5385" width="14.140625" customWidth="1"/>
    <col min="5386" max="5386" width="13" customWidth="1"/>
    <col min="5387" max="5387" width="12.7109375" bestFit="1" customWidth="1"/>
    <col min="5388" max="5388" width="15.7109375" customWidth="1"/>
    <col min="5633" max="5633" width="5.7109375" customWidth="1"/>
    <col min="5634" max="5634" width="38.85546875" customWidth="1"/>
    <col min="5635" max="5635" width="14.7109375" customWidth="1"/>
    <col min="5636" max="5636" width="13.7109375" customWidth="1"/>
    <col min="5637" max="5637" width="12.7109375" bestFit="1" customWidth="1"/>
    <col min="5638" max="5638" width="13.85546875" customWidth="1"/>
    <col min="5639" max="5639" width="5.85546875" customWidth="1"/>
    <col min="5640" max="5640" width="43.85546875" customWidth="1"/>
    <col min="5641" max="5641" width="14.140625" customWidth="1"/>
    <col min="5642" max="5642" width="13" customWidth="1"/>
    <col min="5643" max="5643" width="12.7109375" bestFit="1" customWidth="1"/>
    <col min="5644" max="5644" width="15.7109375" customWidth="1"/>
    <col min="5889" max="5889" width="5.7109375" customWidth="1"/>
    <col min="5890" max="5890" width="38.85546875" customWidth="1"/>
    <col min="5891" max="5891" width="14.7109375" customWidth="1"/>
    <col min="5892" max="5892" width="13.7109375" customWidth="1"/>
    <col min="5893" max="5893" width="12.7109375" bestFit="1" customWidth="1"/>
    <col min="5894" max="5894" width="13.85546875" customWidth="1"/>
    <col min="5895" max="5895" width="5.85546875" customWidth="1"/>
    <col min="5896" max="5896" width="43.85546875" customWidth="1"/>
    <col min="5897" max="5897" width="14.140625" customWidth="1"/>
    <col min="5898" max="5898" width="13" customWidth="1"/>
    <col min="5899" max="5899" width="12.7109375" bestFit="1" customWidth="1"/>
    <col min="5900" max="5900" width="15.7109375" customWidth="1"/>
    <col min="6145" max="6145" width="5.7109375" customWidth="1"/>
    <col min="6146" max="6146" width="38.85546875" customWidth="1"/>
    <col min="6147" max="6147" width="14.7109375" customWidth="1"/>
    <col min="6148" max="6148" width="13.7109375" customWidth="1"/>
    <col min="6149" max="6149" width="12.7109375" bestFit="1" customWidth="1"/>
    <col min="6150" max="6150" width="13.85546875" customWidth="1"/>
    <col min="6151" max="6151" width="5.85546875" customWidth="1"/>
    <col min="6152" max="6152" width="43.85546875" customWidth="1"/>
    <col min="6153" max="6153" width="14.140625" customWidth="1"/>
    <col min="6154" max="6154" width="13" customWidth="1"/>
    <col min="6155" max="6155" width="12.7109375" bestFit="1" customWidth="1"/>
    <col min="6156" max="6156" width="15.7109375" customWidth="1"/>
    <col min="6401" max="6401" width="5.7109375" customWidth="1"/>
    <col min="6402" max="6402" width="38.85546875" customWidth="1"/>
    <col min="6403" max="6403" width="14.7109375" customWidth="1"/>
    <col min="6404" max="6404" width="13.7109375" customWidth="1"/>
    <col min="6405" max="6405" width="12.7109375" bestFit="1" customWidth="1"/>
    <col min="6406" max="6406" width="13.85546875" customWidth="1"/>
    <col min="6407" max="6407" width="5.85546875" customWidth="1"/>
    <col min="6408" max="6408" width="43.85546875" customWidth="1"/>
    <col min="6409" max="6409" width="14.140625" customWidth="1"/>
    <col min="6410" max="6410" width="13" customWidth="1"/>
    <col min="6411" max="6411" width="12.7109375" bestFit="1" customWidth="1"/>
    <col min="6412" max="6412" width="15.7109375" customWidth="1"/>
    <col min="6657" max="6657" width="5.7109375" customWidth="1"/>
    <col min="6658" max="6658" width="38.85546875" customWidth="1"/>
    <col min="6659" max="6659" width="14.7109375" customWidth="1"/>
    <col min="6660" max="6660" width="13.7109375" customWidth="1"/>
    <col min="6661" max="6661" width="12.7109375" bestFit="1" customWidth="1"/>
    <col min="6662" max="6662" width="13.85546875" customWidth="1"/>
    <col min="6663" max="6663" width="5.85546875" customWidth="1"/>
    <col min="6664" max="6664" width="43.85546875" customWidth="1"/>
    <col min="6665" max="6665" width="14.140625" customWidth="1"/>
    <col min="6666" max="6666" width="13" customWidth="1"/>
    <col min="6667" max="6667" width="12.7109375" bestFit="1" customWidth="1"/>
    <col min="6668" max="6668" width="15.7109375" customWidth="1"/>
    <col min="6913" max="6913" width="5.7109375" customWidth="1"/>
    <col min="6914" max="6914" width="38.85546875" customWidth="1"/>
    <col min="6915" max="6915" width="14.7109375" customWidth="1"/>
    <col min="6916" max="6916" width="13.7109375" customWidth="1"/>
    <col min="6917" max="6917" width="12.7109375" bestFit="1" customWidth="1"/>
    <col min="6918" max="6918" width="13.85546875" customWidth="1"/>
    <col min="6919" max="6919" width="5.85546875" customWidth="1"/>
    <col min="6920" max="6920" width="43.85546875" customWidth="1"/>
    <col min="6921" max="6921" width="14.140625" customWidth="1"/>
    <col min="6922" max="6922" width="13" customWidth="1"/>
    <col min="6923" max="6923" width="12.7109375" bestFit="1" customWidth="1"/>
    <col min="6924" max="6924" width="15.7109375" customWidth="1"/>
    <col min="7169" max="7169" width="5.7109375" customWidth="1"/>
    <col min="7170" max="7170" width="38.85546875" customWidth="1"/>
    <col min="7171" max="7171" width="14.7109375" customWidth="1"/>
    <col min="7172" max="7172" width="13.7109375" customWidth="1"/>
    <col min="7173" max="7173" width="12.7109375" bestFit="1" customWidth="1"/>
    <col min="7174" max="7174" width="13.85546875" customWidth="1"/>
    <col min="7175" max="7175" width="5.85546875" customWidth="1"/>
    <col min="7176" max="7176" width="43.85546875" customWidth="1"/>
    <col min="7177" max="7177" width="14.140625" customWidth="1"/>
    <col min="7178" max="7178" width="13" customWidth="1"/>
    <col min="7179" max="7179" width="12.7109375" bestFit="1" customWidth="1"/>
    <col min="7180" max="7180" width="15.7109375" customWidth="1"/>
    <col min="7425" max="7425" width="5.7109375" customWidth="1"/>
    <col min="7426" max="7426" width="38.85546875" customWidth="1"/>
    <col min="7427" max="7427" width="14.7109375" customWidth="1"/>
    <col min="7428" max="7428" width="13.7109375" customWidth="1"/>
    <col min="7429" max="7429" width="12.7109375" bestFit="1" customWidth="1"/>
    <col min="7430" max="7430" width="13.85546875" customWidth="1"/>
    <col min="7431" max="7431" width="5.85546875" customWidth="1"/>
    <col min="7432" max="7432" width="43.85546875" customWidth="1"/>
    <col min="7433" max="7433" width="14.140625" customWidth="1"/>
    <col min="7434" max="7434" width="13" customWidth="1"/>
    <col min="7435" max="7435" width="12.7109375" bestFit="1" customWidth="1"/>
    <col min="7436" max="7436" width="15.7109375" customWidth="1"/>
    <col min="7681" max="7681" width="5.7109375" customWidth="1"/>
    <col min="7682" max="7682" width="38.85546875" customWidth="1"/>
    <col min="7683" max="7683" width="14.7109375" customWidth="1"/>
    <col min="7684" max="7684" width="13.7109375" customWidth="1"/>
    <col min="7685" max="7685" width="12.7109375" bestFit="1" customWidth="1"/>
    <col min="7686" max="7686" width="13.85546875" customWidth="1"/>
    <col min="7687" max="7687" width="5.85546875" customWidth="1"/>
    <col min="7688" max="7688" width="43.85546875" customWidth="1"/>
    <col min="7689" max="7689" width="14.140625" customWidth="1"/>
    <col min="7690" max="7690" width="13" customWidth="1"/>
    <col min="7691" max="7691" width="12.7109375" bestFit="1" customWidth="1"/>
    <col min="7692" max="7692" width="15.7109375" customWidth="1"/>
    <col min="7937" max="7937" width="5.7109375" customWidth="1"/>
    <col min="7938" max="7938" width="38.85546875" customWidth="1"/>
    <col min="7939" max="7939" width="14.7109375" customWidth="1"/>
    <col min="7940" max="7940" width="13.7109375" customWidth="1"/>
    <col min="7941" max="7941" width="12.7109375" bestFit="1" customWidth="1"/>
    <col min="7942" max="7942" width="13.85546875" customWidth="1"/>
    <col min="7943" max="7943" width="5.85546875" customWidth="1"/>
    <col min="7944" max="7944" width="43.85546875" customWidth="1"/>
    <col min="7945" max="7945" width="14.140625" customWidth="1"/>
    <col min="7946" max="7946" width="13" customWidth="1"/>
    <col min="7947" max="7947" width="12.7109375" bestFit="1" customWidth="1"/>
    <col min="7948" max="7948" width="15.7109375" customWidth="1"/>
    <col min="8193" max="8193" width="5.7109375" customWidth="1"/>
    <col min="8194" max="8194" width="38.85546875" customWidth="1"/>
    <col min="8195" max="8195" width="14.7109375" customWidth="1"/>
    <col min="8196" max="8196" width="13.7109375" customWidth="1"/>
    <col min="8197" max="8197" width="12.7109375" bestFit="1" customWidth="1"/>
    <col min="8198" max="8198" width="13.85546875" customWidth="1"/>
    <col min="8199" max="8199" width="5.85546875" customWidth="1"/>
    <col min="8200" max="8200" width="43.85546875" customWidth="1"/>
    <col min="8201" max="8201" width="14.140625" customWidth="1"/>
    <col min="8202" max="8202" width="13" customWidth="1"/>
    <col min="8203" max="8203" width="12.7109375" bestFit="1" customWidth="1"/>
    <col min="8204" max="8204" width="15.7109375" customWidth="1"/>
    <col min="8449" max="8449" width="5.7109375" customWidth="1"/>
    <col min="8450" max="8450" width="38.85546875" customWidth="1"/>
    <col min="8451" max="8451" width="14.7109375" customWidth="1"/>
    <col min="8452" max="8452" width="13.7109375" customWidth="1"/>
    <col min="8453" max="8453" width="12.7109375" bestFit="1" customWidth="1"/>
    <col min="8454" max="8454" width="13.85546875" customWidth="1"/>
    <col min="8455" max="8455" width="5.85546875" customWidth="1"/>
    <col min="8456" max="8456" width="43.85546875" customWidth="1"/>
    <col min="8457" max="8457" width="14.140625" customWidth="1"/>
    <col min="8458" max="8458" width="13" customWidth="1"/>
    <col min="8459" max="8459" width="12.7109375" bestFit="1" customWidth="1"/>
    <col min="8460" max="8460" width="15.7109375" customWidth="1"/>
    <col min="8705" max="8705" width="5.7109375" customWidth="1"/>
    <col min="8706" max="8706" width="38.85546875" customWidth="1"/>
    <col min="8707" max="8707" width="14.7109375" customWidth="1"/>
    <col min="8708" max="8708" width="13.7109375" customWidth="1"/>
    <col min="8709" max="8709" width="12.7109375" bestFit="1" customWidth="1"/>
    <col min="8710" max="8710" width="13.85546875" customWidth="1"/>
    <col min="8711" max="8711" width="5.85546875" customWidth="1"/>
    <col min="8712" max="8712" width="43.85546875" customWidth="1"/>
    <col min="8713" max="8713" width="14.140625" customWidth="1"/>
    <col min="8714" max="8714" width="13" customWidth="1"/>
    <col min="8715" max="8715" width="12.7109375" bestFit="1" customWidth="1"/>
    <col min="8716" max="8716" width="15.7109375" customWidth="1"/>
    <col min="8961" max="8961" width="5.7109375" customWidth="1"/>
    <col min="8962" max="8962" width="38.85546875" customWidth="1"/>
    <col min="8963" max="8963" width="14.7109375" customWidth="1"/>
    <col min="8964" max="8964" width="13.7109375" customWidth="1"/>
    <col min="8965" max="8965" width="12.7109375" bestFit="1" customWidth="1"/>
    <col min="8966" max="8966" width="13.85546875" customWidth="1"/>
    <col min="8967" max="8967" width="5.85546875" customWidth="1"/>
    <col min="8968" max="8968" width="43.85546875" customWidth="1"/>
    <col min="8969" max="8969" width="14.140625" customWidth="1"/>
    <col min="8970" max="8970" width="13" customWidth="1"/>
    <col min="8971" max="8971" width="12.7109375" bestFit="1" customWidth="1"/>
    <col min="8972" max="8972" width="15.7109375" customWidth="1"/>
    <col min="9217" max="9217" width="5.7109375" customWidth="1"/>
    <col min="9218" max="9218" width="38.85546875" customWidth="1"/>
    <col min="9219" max="9219" width="14.7109375" customWidth="1"/>
    <col min="9220" max="9220" width="13.7109375" customWidth="1"/>
    <col min="9221" max="9221" width="12.7109375" bestFit="1" customWidth="1"/>
    <col min="9222" max="9222" width="13.85546875" customWidth="1"/>
    <col min="9223" max="9223" width="5.85546875" customWidth="1"/>
    <col min="9224" max="9224" width="43.85546875" customWidth="1"/>
    <col min="9225" max="9225" width="14.140625" customWidth="1"/>
    <col min="9226" max="9226" width="13" customWidth="1"/>
    <col min="9227" max="9227" width="12.7109375" bestFit="1" customWidth="1"/>
    <col min="9228" max="9228" width="15.7109375" customWidth="1"/>
    <col min="9473" max="9473" width="5.7109375" customWidth="1"/>
    <col min="9474" max="9474" width="38.85546875" customWidth="1"/>
    <col min="9475" max="9475" width="14.7109375" customWidth="1"/>
    <col min="9476" max="9476" width="13.7109375" customWidth="1"/>
    <col min="9477" max="9477" width="12.7109375" bestFit="1" customWidth="1"/>
    <col min="9478" max="9478" width="13.85546875" customWidth="1"/>
    <col min="9479" max="9479" width="5.85546875" customWidth="1"/>
    <col min="9480" max="9480" width="43.85546875" customWidth="1"/>
    <col min="9481" max="9481" width="14.140625" customWidth="1"/>
    <col min="9482" max="9482" width="13" customWidth="1"/>
    <col min="9483" max="9483" width="12.7109375" bestFit="1" customWidth="1"/>
    <col min="9484" max="9484" width="15.7109375" customWidth="1"/>
    <col min="9729" max="9729" width="5.7109375" customWidth="1"/>
    <col min="9730" max="9730" width="38.85546875" customWidth="1"/>
    <col min="9731" max="9731" width="14.7109375" customWidth="1"/>
    <col min="9732" max="9732" width="13.7109375" customWidth="1"/>
    <col min="9733" max="9733" width="12.7109375" bestFit="1" customWidth="1"/>
    <col min="9734" max="9734" width="13.85546875" customWidth="1"/>
    <col min="9735" max="9735" width="5.85546875" customWidth="1"/>
    <col min="9736" max="9736" width="43.85546875" customWidth="1"/>
    <col min="9737" max="9737" width="14.140625" customWidth="1"/>
    <col min="9738" max="9738" width="13" customWidth="1"/>
    <col min="9739" max="9739" width="12.7109375" bestFit="1" customWidth="1"/>
    <col min="9740" max="9740" width="15.7109375" customWidth="1"/>
    <col min="9985" max="9985" width="5.7109375" customWidth="1"/>
    <col min="9986" max="9986" width="38.85546875" customWidth="1"/>
    <col min="9987" max="9987" width="14.7109375" customWidth="1"/>
    <col min="9988" max="9988" width="13.7109375" customWidth="1"/>
    <col min="9989" max="9989" width="12.7109375" bestFit="1" customWidth="1"/>
    <col min="9990" max="9990" width="13.85546875" customWidth="1"/>
    <col min="9991" max="9991" width="5.85546875" customWidth="1"/>
    <col min="9992" max="9992" width="43.85546875" customWidth="1"/>
    <col min="9993" max="9993" width="14.140625" customWidth="1"/>
    <col min="9994" max="9994" width="13" customWidth="1"/>
    <col min="9995" max="9995" width="12.7109375" bestFit="1" customWidth="1"/>
    <col min="9996" max="9996" width="15.7109375" customWidth="1"/>
    <col min="10241" max="10241" width="5.7109375" customWidth="1"/>
    <col min="10242" max="10242" width="38.85546875" customWidth="1"/>
    <col min="10243" max="10243" width="14.7109375" customWidth="1"/>
    <col min="10244" max="10244" width="13.7109375" customWidth="1"/>
    <col min="10245" max="10245" width="12.7109375" bestFit="1" customWidth="1"/>
    <col min="10246" max="10246" width="13.85546875" customWidth="1"/>
    <col min="10247" max="10247" width="5.85546875" customWidth="1"/>
    <col min="10248" max="10248" width="43.85546875" customWidth="1"/>
    <col min="10249" max="10249" width="14.140625" customWidth="1"/>
    <col min="10250" max="10250" width="13" customWidth="1"/>
    <col min="10251" max="10251" width="12.7109375" bestFit="1" customWidth="1"/>
    <col min="10252" max="10252" width="15.7109375" customWidth="1"/>
    <col min="10497" max="10497" width="5.7109375" customWidth="1"/>
    <col min="10498" max="10498" width="38.85546875" customWidth="1"/>
    <col min="10499" max="10499" width="14.7109375" customWidth="1"/>
    <col min="10500" max="10500" width="13.7109375" customWidth="1"/>
    <col min="10501" max="10501" width="12.7109375" bestFit="1" customWidth="1"/>
    <col min="10502" max="10502" width="13.85546875" customWidth="1"/>
    <col min="10503" max="10503" width="5.85546875" customWidth="1"/>
    <col min="10504" max="10504" width="43.85546875" customWidth="1"/>
    <col min="10505" max="10505" width="14.140625" customWidth="1"/>
    <col min="10506" max="10506" width="13" customWidth="1"/>
    <col min="10507" max="10507" width="12.7109375" bestFit="1" customWidth="1"/>
    <col min="10508" max="10508" width="15.7109375" customWidth="1"/>
    <col min="10753" max="10753" width="5.7109375" customWidth="1"/>
    <col min="10754" max="10754" width="38.85546875" customWidth="1"/>
    <col min="10755" max="10755" width="14.7109375" customWidth="1"/>
    <col min="10756" max="10756" width="13.7109375" customWidth="1"/>
    <col min="10757" max="10757" width="12.7109375" bestFit="1" customWidth="1"/>
    <col min="10758" max="10758" width="13.85546875" customWidth="1"/>
    <col min="10759" max="10759" width="5.85546875" customWidth="1"/>
    <col min="10760" max="10760" width="43.85546875" customWidth="1"/>
    <col min="10761" max="10761" width="14.140625" customWidth="1"/>
    <col min="10762" max="10762" width="13" customWidth="1"/>
    <col min="10763" max="10763" width="12.7109375" bestFit="1" customWidth="1"/>
    <col min="10764" max="10764" width="15.7109375" customWidth="1"/>
    <col min="11009" max="11009" width="5.7109375" customWidth="1"/>
    <col min="11010" max="11010" width="38.85546875" customWidth="1"/>
    <col min="11011" max="11011" width="14.7109375" customWidth="1"/>
    <col min="11012" max="11012" width="13.7109375" customWidth="1"/>
    <col min="11013" max="11013" width="12.7109375" bestFit="1" customWidth="1"/>
    <col min="11014" max="11014" width="13.85546875" customWidth="1"/>
    <col min="11015" max="11015" width="5.85546875" customWidth="1"/>
    <col min="11016" max="11016" width="43.85546875" customWidth="1"/>
    <col min="11017" max="11017" width="14.140625" customWidth="1"/>
    <col min="11018" max="11018" width="13" customWidth="1"/>
    <col min="11019" max="11019" width="12.7109375" bestFit="1" customWidth="1"/>
    <col min="11020" max="11020" width="15.7109375" customWidth="1"/>
    <col min="11265" max="11265" width="5.7109375" customWidth="1"/>
    <col min="11266" max="11266" width="38.85546875" customWidth="1"/>
    <col min="11267" max="11267" width="14.7109375" customWidth="1"/>
    <col min="11268" max="11268" width="13.7109375" customWidth="1"/>
    <col min="11269" max="11269" width="12.7109375" bestFit="1" customWidth="1"/>
    <col min="11270" max="11270" width="13.85546875" customWidth="1"/>
    <col min="11271" max="11271" width="5.85546875" customWidth="1"/>
    <col min="11272" max="11272" width="43.85546875" customWidth="1"/>
    <col min="11273" max="11273" width="14.140625" customWidth="1"/>
    <col min="11274" max="11274" width="13" customWidth="1"/>
    <col min="11275" max="11275" width="12.7109375" bestFit="1" customWidth="1"/>
    <col min="11276" max="11276" width="15.7109375" customWidth="1"/>
    <col min="11521" max="11521" width="5.7109375" customWidth="1"/>
    <col min="11522" max="11522" width="38.85546875" customWidth="1"/>
    <col min="11523" max="11523" width="14.7109375" customWidth="1"/>
    <col min="11524" max="11524" width="13.7109375" customWidth="1"/>
    <col min="11525" max="11525" width="12.7109375" bestFit="1" customWidth="1"/>
    <col min="11526" max="11526" width="13.85546875" customWidth="1"/>
    <col min="11527" max="11527" width="5.85546875" customWidth="1"/>
    <col min="11528" max="11528" width="43.85546875" customWidth="1"/>
    <col min="11529" max="11529" width="14.140625" customWidth="1"/>
    <col min="11530" max="11530" width="13" customWidth="1"/>
    <col min="11531" max="11531" width="12.7109375" bestFit="1" customWidth="1"/>
    <col min="11532" max="11532" width="15.7109375" customWidth="1"/>
    <col min="11777" max="11777" width="5.7109375" customWidth="1"/>
    <col min="11778" max="11778" width="38.85546875" customWidth="1"/>
    <col min="11779" max="11779" width="14.7109375" customWidth="1"/>
    <col min="11780" max="11780" width="13.7109375" customWidth="1"/>
    <col min="11781" max="11781" width="12.7109375" bestFit="1" customWidth="1"/>
    <col min="11782" max="11782" width="13.85546875" customWidth="1"/>
    <col min="11783" max="11783" width="5.85546875" customWidth="1"/>
    <col min="11784" max="11784" width="43.85546875" customWidth="1"/>
    <col min="11785" max="11785" width="14.140625" customWidth="1"/>
    <col min="11786" max="11786" width="13" customWidth="1"/>
    <col min="11787" max="11787" width="12.7109375" bestFit="1" customWidth="1"/>
    <col min="11788" max="11788" width="15.7109375" customWidth="1"/>
    <col min="12033" max="12033" width="5.7109375" customWidth="1"/>
    <col min="12034" max="12034" width="38.85546875" customWidth="1"/>
    <col min="12035" max="12035" width="14.7109375" customWidth="1"/>
    <col min="12036" max="12036" width="13.7109375" customWidth="1"/>
    <col min="12037" max="12037" width="12.7109375" bestFit="1" customWidth="1"/>
    <col min="12038" max="12038" width="13.85546875" customWidth="1"/>
    <col min="12039" max="12039" width="5.85546875" customWidth="1"/>
    <col min="12040" max="12040" width="43.85546875" customWidth="1"/>
    <col min="12041" max="12041" width="14.140625" customWidth="1"/>
    <col min="12042" max="12042" width="13" customWidth="1"/>
    <col min="12043" max="12043" width="12.7109375" bestFit="1" customWidth="1"/>
    <col min="12044" max="12044" width="15.7109375" customWidth="1"/>
    <col min="12289" max="12289" width="5.7109375" customWidth="1"/>
    <col min="12290" max="12290" width="38.85546875" customWidth="1"/>
    <col min="12291" max="12291" width="14.7109375" customWidth="1"/>
    <col min="12292" max="12292" width="13.7109375" customWidth="1"/>
    <col min="12293" max="12293" width="12.7109375" bestFit="1" customWidth="1"/>
    <col min="12294" max="12294" width="13.85546875" customWidth="1"/>
    <col min="12295" max="12295" width="5.85546875" customWidth="1"/>
    <col min="12296" max="12296" width="43.85546875" customWidth="1"/>
    <col min="12297" max="12297" width="14.140625" customWidth="1"/>
    <col min="12298" max="12298" width="13" customWidth="1"/>
    <col min="12299" max="12299" width="12.7109375" bestFit="1" customWidth="1"/>
    <col min="12300" max="12300" width="15.7109375" customWidth="1"/>
    <col min="12545" max="12545" width="5.7109375" customWidth="1"/>
    <col min="12546" max="12546" width="38.85546875" customWidth="1"/>
    <col min="12547" max="12547" width="14.7109375" customWidth="1"/>
    <col min="12548" max="12548" width="13.7109375" customWidth="1"/>
    <col min="12549" max="12549" width="12.7109375" bestFit="1" customWidth="1"/>
    <col min="12550" max="12550" width="13.85546875" customWidth="1"/>
    <col min="12551" max="12551" width="5.85546875" customWidth="1"/>
    <col min="12552" max="12552" width="43.85546875" customWidth="1"/>
    <col min="12553" max="12553" width="14.140625" customWidth="1"/>
    <col min="12554" max="12554" width="13" customWidth="1"/>
    <col min="12555" max="12555" width="12.7109375" bestFit="1" customWidth="1"/>
    <col min="12556" max="12556" width="15.7109375" customWidth="1"/>
    <col min="12801" max="12801" width="5.7109375" customWidth="1"/>
    <col min="12802" max="12802" width="38.85546875" customWidth="1"/>
    <col min="12803" max="12803" width="14.7109375" customWidth="1"/>
    <col min="12804" max="12804" width="13.7109375" customWidth="1"/>
    <col min="12805" max="12805" width="12.7109375" bestFit="1" customWidth="1"/>
    <col min="12806" max="12806" width="13.85546875" customWidth="1"/>
    <col min="12807" max="12807" width="5.85546875" customWidth="1"/>
    <col min="12808" max="12808" width="43.85546875" customWidth="1"/>
    <col min="12809" max="12809" width="14.140625" customWidth="1"/>
    <col min="12810" max="12810" width="13" customWidth="1"/>
    <col min="12811" max="12811" width="12.7109375" bestFit="1" customWidth="1"/>
    <col min="12812" max="12812" width="15.7109375" customWidth="1"/>
    <col min="13057" max="13057" width="5.7109375" customWidth="1"/>
    <col min="13058" max="13058" width="38.85546875" customWidth="1"/>
    <col min="13059" max="13059" width="14.7109375" customWidth="1"/>
    <col min="13060" max="13060" width="13.7109375" customWidth="1"/>
    <col min="13061" max="13061" width="12.7109375" bestFit="1" customWidth="1"/>
    <col min="13062" max="13062" width="13.85546875" customWidth="1"/>
    <col min="13063" max="13063" width="5.85546875" customWidth="1"/>
    <col min="13064" max="13064" width="43.85546875" customWidth="1"/>
    <col min="13065" max="13065" width="14.140625" customWidth="1"/>
    <col min="13066" max="13066" width="13" customWidth="1"/>
    <col min="13067" max="13067" width="12.7109375" bestFit="1" customWidth="1"/>
    <col min="13068" max="13068" width="15.7109375" customWidth="1"/>
    <col min="13313" max="13313" width="5.7109375" customWidth="1"/>
    <col min="13314" max="13314" width="38.85546875" customWidth="1"/>
    <col min="13315" max="13315" width="14.7109375" customWidth="1"/>
    <col min="13316" max="13316" width="13.7109375" customWidth="1"/>
    <col min="13317" max="13317" width="12.7109375" bestFit="1" customWidth="1"/>
    <col min="13318" max="13318" width="13.85546875" customWidth="1"/>
    <col min="13319" max="13319" width="5.85546875" customWidth="1"/>
    <col min="13320" max="13320" width="43.85546875" customWidth="1"/>
    <col min="13321" max="13321" width="14.140625" customWidth="1"/>
    <col min="13322" max="13322" width="13" customWidth="1"/>
    <col min="13323" max="13323" width="12.7109375" bestFit="1" customWidth="1"/>
    <col min="13324" max="13324" width="15.7109375" customWidth="1"/>
    <col min="13569" max="13569" width="5.7109375" customWidth="1"/>
    <col min="13570" max="13570" width="38.85546875" customWidth="1"/>
    <col min="13571" max="13571" width="14.7109375" customWidth="1"/>
    <col min="13572" max="13572" width="13.7109375" customWidth="1"/>
    <col min="13573" max="13573" width="12.7109375" bestFit="1" customWidth="1"/>
    <col min="13574" max="13574" width="13.85546875" customWidth="1"/>
    <col min="13575" max="13575" width="5.85546875" customWidth="1"/>
    <col min="13576" max="13576" width="43.85546875" customWidth="1"/>
    <col min="13577" max="13577" width="14.140625" customWidth="1"/>
    <col min="13578" max="13578" width="13" customWidth="1"/>
    <col min="13579" max="13579" width="12.7109375" bestFit="1" customWidth="1"/>
    <col min="13580" max="13580" width="15.7109375" customWidth="1"/>
    <col min="13825" max="13825" width="5.7109375" customWidth="1"/>
    <col min="13826" max="13826" width="38.85546875" customWidth="1"/>
    <col min="13827" max="13827" width="14.7109375" customWidth="1"/>
    <col min="13828" max="13828" width="13.7109375" customWidth="1"/>
    <col min="13829" max="13829" width="12.7109375" bestFit="1" customWidth="1"/>
    <col min="13830" max="13830" width="13.85546875" customWidth="1"/>
    <col min="13831" max="13831" width="5.85546875" customWidth="1"/>
    <col min="13832" max="13832" width="43.85546875" customWidth="1"/>
    <col min="13833" max="13833" width="14.140625" customWidth="1"/>
    <col min="13834" max="13834" width="13" customWidth="1"/>
    <col min="13835" max="13835" width="12.7109375" bestFit="1" customWidth="1"/>
    <col min="13836" max="13836" width="15.7109375" customWidth="1"/>
    <col min="14081" max="14081" width="5.7109375" customWidth="1"/>
    <col min="14082" max="14082" width="38.85546875" customWidth="1"/>
    <col min="14083" max="14083" width="14.7109375" customWidth="1"/>
    <col min="14084" max="14084" width="13.7109375" customWidth="1"/>
    <col min="14085" max="14085" width="12.7109375" bestFit="1" customWidth="1"/>
    <col min="14086" max="14086" width="13.85546875" customWidth="1"/>
    <col min="14087" max="14087" width="5.85546875" customWidth="1"/>
    <col min="14088" max="14088" width="43.85546875" customWidth="1"/>
    <col min="14089" max="14089" width="14.140625" customWidth="1"/>
    <col min="14090" max="14090" width="13" customWidth="1"/>
    <col min="14091" max="14091" width="12.7109375" bestFit="1" customWidth="1"/>
    <col min="14092" max="14092" width="15.7109375" customWidth="1"/>
    <col min="14337" max="14337" width="5.7109375" customWidth="1"/>
    <col min="14338" max="14338" width="38.85546875" customWidth="1"/>
    <col min="14339" max="14339" width="14.7109375" customWidth="1"/>
    <col min="14340" max="14340" width="13.7109375" customWidth="1"/>
    <col min="14341" max="14341" width="12.7109375" bestFit="1" customWidth="1"/>
    <col min="14342" max="14342" width="13.85546875" customWidth="1"/>
    <col min="14343" max="14343" width="5.85546875" customWidth="1"/>
    <col min="14344" max="14344" width="43.85546875" customWidth="1"/>
    <col min="14345" max="14345" width="14.140625" customWidth="1"/>
    <col min="14346" max="14346" width="13" customWidth="1"/>
    <col min="14347" max="14347" width="12.7109375" bestFit="1" customWidth="1"/>
    <col min="14348" max="14348" width="15.7109375" customWidth="1"/>
    <col min="14593" max="14593" width="5.7109375" customWidth="1"/>
    <col min="14594" max="14594" width="38.85546875" customWidth="1"/>
    <col min="14595" max="14595" width="14.7109375" customWidth="1"/>
    <col min="14596" max="14596" width="13.7109375" customWidth="1"/>
    <col min="14597" max="14597" width="12.7109375" bestFit="1" customWidth="1"/>
    <col min="14598" max="14598" width="13.85546875" customWidth="1"/>
    <col min="14599" max="14599" width="5.85546875" customWidth="1"/>
    <col min="14600" max="14600" width="43.85546875" customWidth="1"/>
    <col min="14601" max="14601" width="14.140625" customWidth="1"/>
    <col min="14602" max="14602" width="13" customWidth="1"/>
    <col min="14603" max="14603" width="12.7109375" bestFit="1" customWidth="1"/>
    <col min="14604" max="14604" width="15.7109375" customWidth="1"/>
    <col min="14849" max="14849" width="5.7109375" customWidth="1"/>
    <col min="14850" max="14850" width="38.85546875" customWidth="1"/>
    <col min="14851" max="14851" width="14.7109375" customWidth="1"/>
    <col min="14852" max="14852" width="13.7109375" customWidth="1"/>
    <col min="14853" max="14853" width="12.7109375" bestFit="1" customWidth="1"/>
    <col min="14854" max="14854" width="13.85546875" customWidth="1"/>
    <col min="14855" max="14855" width="5.85546875" customWidth="1"/>
    <col min="14856" max="14856" width="43.85546875" customWidth="1"/>
    <col min="14857" max="14857" width="14.140625" customWidth="1"/>
    <col min="14858" max="14858" width="13" customWidth="1"/>
    <col min="14859" max="14859" width="12.7109375" bestFit="1" customWidth="1"/>
    <col min="14860" max="14860" width="15.7109375" customWidth="1"/>
    <col min="15105" max="15105" width="5.7109375" customWidth="1"/>
    <col min="15106" max="15106" width="38.85546875" customWidth="1"/>
    <col min="15107" max="15107" width="14.7109375" customWidth="1"/>
    <col min="15108" max="15108" width="13.7109375" customWidth="1"/>
    <col min="15109" max="15109" width="12.7109375" bestFit="1" customWidth="1"/>
    <col min="15110" max="15110" width="13.85546875" customWidth="1"/>
    <col min="15111" max="15111" width="5.85546875" customWidth="1"/>
    <col min="15112" max="15112" width="43.85546875" customWidth="1"/>
    <col min="15113" max="15113" width="14.140625" customWidth="1"/>
    <col min="15114" max="15114" width="13" customWidth="1"/>
    <col min="15115" max="15115" width="12.7109375" bestFit="1" customWidth="1"/>
    <col min="15116" max="15116" width="15.7109375" customWidth="1"/>
    <col min="15361" max="15361" width="5.7109375" customWidth="1"/>
    <col min="15362" max="15362" width="38.85546875" customWidth="1"/>
    <col min="15363" max="15363" width="14.7109375" customWidth="1"/>
    <col min="15364" max="15364" width="13.7109375" customWidth="1"/>
    <col min="15365" max="15365" width="12.7109375" bestFit="1" customWidth="1"/>
    <col min="15366" max="15366" width="13.85546875" customWidth="1"/>
    <col min="15367" max="15367" width="5.85546875" customWidth="1"/>
    <col min="15368" max="15368" width="43.85546875" customWidth="1"/>
    <col min="15369" max="15369" width="14.140625" customWidth="1"/>
    <col min="15370" max="15370" width="13" customWidth="1"/>
    <col min="15371" max="15371" width="12.7109375" bestFit="1" customWidth="1"/>
    <col min="15372" max="15372" width="15.7109375" customWidth="1"/>
    <col min="15617" max="15617" width="5.7109375" customWidth="1"/>
    <col min="15618" max="15618" width="38.85546875" customWidth="1"/>
    <col min="15619" max="15619" width="14.7109375" customWidth="1"/>
    <col min="15620" max="15620" width="13.7109375" customWidth="1"/>
    <col min="15621" max="15621" width="12.7109375" bestFit="1" customWidth="1"/>
    <col min="15622" max="15622" width="13.85546875" customWidth="1"/>
    <col min="15623" max="15623" width="5.85546875" customWidth="1"/>
    <col min="15624" max="15624" width="43.85546875" customWidth="1"/>
    <col min="15625" max="15625" width="14.140625" customWidth="1"/>
    <col min="15626" max="15626" width="13" customWidth="1"/>
    <col min="15627" max="15627" width="12.7109375" bestFit="1" customWidth="1"/>
    <col min="15628" max="15628" width="15.7109375" customWidth="1"/>
    <col min="15873" max="15873" width="5.7109375" customWidth="1"/>
    <col min="15874" max="15874" width="38.85546875" customWidth="1"/>
    <col min="15875" max="15875" width="14.7109375" customWidth="1"/>
    <col min="15876" max="15876" width="13.7109375" customWidth="1"/>
    <col min="15877" max="15877" width="12.7109375" bestFit="1" customWidth="1"/>
    <col min="15878" max="15878" width="13.85546875" customWidth="1"/>
    <col min="15879" max="15879" width="5.85546875" customWidth="1"/>
    <col min="15880" max="15880" width="43.85546875" customWidth="1"/>
    <col min="15881" max="15881" width="14.140625" customWidth="1"/>
    <col min="15882" max="15882" width="13" customWidth="1"/>
    <col min="15883" max="15883" width="12.7109375" bestFit="1" customWidth="1"/>
    <col min="15884" max="15884" width="15.7109375" customWidth="1"/>
    <col min="16129" max="16129" width="5.7109375" customWidth="1"/>
    <col min="16130" max="16130" width="38.85546875" customWidth="1"/>
    <col min="16131" max="16131" width="14.7109375" customWidth="1"/>
    <col min="16132" max="16132" width="13.7109375" customWidth="1"/>
    <col min="16133" max="16133" width="12.7109375" bestFit="1" customWidth="1"/>
    <col min="16134" max="16134" width="13.85546875" customWidth="1"/>
    <col min="16135" max="16135" width="5.85546875" customWidth="1"/>
    <col min="16136" max="16136" width="43.85546875" customWidth="1"/>
    <col min="16137" max="16137" width="14.140625" customWidth="1"/>
    <col min="16138" max="16138" width="13" customWidth="1"/>
    <col min="16139" max="16139" width="12.7109375" bestFit="1" customWidth="1"/>
    <col min="16140" max="16140" width="15.7109375" customWidth="1"/>
  </cols>
  <sheetData>
    <row r="1" spans="1:14" x14ac:dyDescent="0.25">
      <c r="J1" s="1"/>
      <c r="K1" s="1"/>
      <c r="L1" s="1" t="s">
        <v>0</v>
      </c>
    </row>
    <row r="2" spans="1:14" ht="59.1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" t="s">
        <v>1</v>
      </c>
      <c r="H2" s="3" t="s">
        <v>7</v>
      </c>
      <c r="I2" s="4" t="s">
        <v>3</v>
      </c>
      <c r="J2" s="4" t="s">
        <v>4</v>
      </c>
      <c r="K2" s="4" t="s">
        <v>5</v>
      </c>
      <c r="L2" s="4" t="s">
        <v>6</v>
      </c>
    </row>
    <row r="3" spans="1:14" x14ac:dyDescent="0.25">
      <c r="A3" s="5" t="s">
        <v>8</v>
      </c>
      <c r="B3" s="6" t="s">
        <v>9</v>
      </c>
      <c r="C3" s="7">
        <f>SUM(C4:C7)</f>
        <v>4177944000</v>
      </c>
      <c r="D3" s="7">
        <f>SUM(D4:D7)</f>
        <v>4515212000</v>
      </c>
      <c r="E3" s="7">
        <f>SUM(E4:E7)</f>
        <v>5117146952</v>
      </c>
      <c r="F3" s="7">
        <f>SUM(F4:F7)</f>
        <v>4579293251</v>
      </c>
      <c r="G3" s="5" t="s">
        <v>8</v>
      </c>
      <c r="H3" s="8" t="s">
        <v>10</v>
      </c>
      <c r="I3" s="9">
        <f>SUM(I4:I8)</f>
        <v>4177944000</v>
      </c>
      <c r="J3" s="9">
        <f>SUM(J4:J8)</f>
        <v>4655465000</v>
      </c>
      <c r="K3" s="9">
        <f>SUM(K4:K8)</f>
        <v>4238981802</v>
      </c>
      <c r="L3" s="9">
        <f>SUM(L4:L8)</f>
        <v>4551799716</v>
      </c>
      <c r="M3" s="10">
        <f>+F3/C3</f>
        <v>1.0960638177534212</v>
      </c>
      <c r="N3" s="10">
        <f>+L3/I3</f>
        <v>1.0894831802436797</v>
      </c>
    </row>
    <row r="4" spans="1:14" ht="30" x14ac:dyDescent="0.25">
      <c r="A4" s="11" t="s">
        <v>11</v>
      </c>
      <c r="B4" s="12" t="s">
        <v>12</v>
      </c>
      <c r="C4" s="13">
        <v>611832000</v>
      </c>
      <c r="D4" s="13">
        <v>709362000</v>
      </c>
      <c r="E4" s="13">
        <v>713514339</v>
      </c>
      <c r="F4" s="13">
        <f>+'[5]1A. Fő bev'!F5</f>
        <v>674769291</v>
      </c>
      <c r="G4" s="11" t="s">
        <v>11</v>
      </c>
      <c r="H4" s="14" t="s">
        <v>13</v>
      </c>
      <c r="I4" s="15">
        <v>1583866000</v>
      </c>
      <c r="J4" s="15">
        <v>1625876000</v>
      </c>
      <c r="K4" s="15">
        <v>1557175145</v>
      </c>
      <c r="L4" s="16">
        <f>+'[5]1B. Fő kiad'!F5</f>
        <v>1664186070</v>
      </c>
    </row>
    <row r="5" spans="1:14" ht="32.65" customHeight="1" x14ac:dyDescent="0.25">
      <c r="A5" s="11" t="s">
        <v>14</v>
      </c>
      <c r="B5" s="17" t="s">
        <v>15</v>
      </c>
      <c r="C5" s="13">
        <v>3317500000</v>
      </c>
      <c r="D5" s="13">
        <v>3547500000</v>
      </c>
      <c r="E5" s="13">
        <v>4003649505</v>
      </c>
      <c r="F5" s="13">
        <f>+'[5]1A. Fő bev'!F10</f>
        <v>3647000000</v>
      </c>
      <c r="G5" s="11" t="s">
        <v>14</v>
      </c>
      <c r="H5" s="18" t="s">
        <v>16</v>
      </c>
      <c r="I5" s="15">
        <v>305672000</v>
      </c>
      <c r="J5" s="15">
        <v>321910000</v>
      </c>
      <c r="K5" s="15">
        <v>313341639</v>
      </c>
      <c r="L5" s="16">
        <f>+'[5]1B. Fő kiad'!F6</f>
        <v>327439915</v>
      </c>
    </row>
    <row r="6" spans="1:14" ht="17.649999999999999" customHeight="1" x14ac:dyDescent="0.25">
      <c r="A6" s="11" t="s">
        <v>17</v>
      </c>
      <c r="B6" s="17" t="s">
        <v>18</v>
      </c>
      <c r="C6" s="13">
        <v>248612000</v>
      </c>
      <c r="D6" s="13">
        <v>258350000</v>
      </c>
      <c r="E6" s="13">
        <v>397029954</v>
      </c>
      <c r="F6" s="13">
        <f>+'[5]1A. Fő bev'!F17</f>
        <v>257523960</v>
      </c>
      <c r="G6" s="11" t="s">
        <v>17</v>
      </c>
      <c r="H6" s="14" t="s">
        <v>19</v>
      </c>
      <c r="I6" s="15">
        <v>1446546000</v>
      </c>
      <c r="J6" s="15">
        <v>1922140000</v>
      </c>
      <c r="K6" s="15">
        <v>1631214825</v>
      </c>
      <c r="L6" s="16">
        <f>+'[5]1B. Fő kiad'!F7</f>
        <v>1582950725</v>
      </c>
    </row>
    <row r="7" spans="1:14" ht="17.649999999999999" customHeight="1" x14ac:dyDescent="0.25">
      <c r="A7" s="11" t="s">
        <v>20</v>
      </c>
      <c r="B7" s="17" t="s">
        <v>21</v>
      </c>
      <c r="C7" s="13">
        <v>0</v>
      </c>
      <c r="D7" s="13">
        <v>0</v>
      </c>
      <c r="E7" s="13">
        <v>2953154</v>
      </c>
      <c r="F7" s="13">
        <f>+'[5]1A. Fő bev'!F26</f>
        <v>0</v>
      </c>
      <c r="G7" s="11" t="s">
        <v>20</v>
      </c>
      <c r="H7" s="14" t="s">
        <v>22</v>
      </c>
      <c r="I7" s="15">
        <v>34000000</v>
      </c>
      <c r="J7" s="15">
        <v>35795000</v>
      </c>
      <c r="K7" s="15">
        <v>26185484</v>
      </c>
      <c r="L7" s="16">
        <f>+'[5]1B. Fő kiad'!F8</f>
        <v>34000000</v>
      </c>
    </row>
    <row r="8" spans="1:14" ht="17.649999999999999" customHeight="1" x14ac:dyDescent="0.25">
      <c r="A8" s="17"/>
      <c r="B8" s="17"/>
      <c r="C8" s="17"/>
      <c r="D8" s="17"/>
      <c r="E8" s="17"/>
      <c r="F8" s="17"/>
      <c r="G8" s="11" t="s">
        <v>23</v>
      </c>
      <c r="H8" s="14" t="s">
        <v>24</v>
      </c>
      <c r="I8" s="15">
        <v>807860000</v>
      </c>
      <c r="J8" s="15">
        <v>749744000</v>
      </c>
      <c r="K8" s="15">
        <v>711064709</v>
      </c>
      <c r="L8" s="16">
        <f>+'[5]1B. Fő kiad'!F9</f>
        <v>943223006</v>
      </c>
    </row>
    <row r="9" spans="1:14" ht="17.649999999999999" customHeight="1" x14ac:dyDescent="0.25">
      <c r="A9" s="19"/>
      <c r="B9" s="20" t="s">
        <v>25</v>
      </c>
      <c r="C9" s="20">
        <f>IF(C3-I3&lt;0,I3-C3,0)</f>
        <v>0</v>
      </c>
      <c r="D9" s="20">
        <f>IF(D3-J3&lt;0,J3-D3,0)</f>
        <v>140253000</v>
      </c>
      <c r="E9" s="20">
        <f>IF(E3-K3&lt;0,K3-E3,0)</f>
        <v>0</v>
      </c>
      <c r="F9" s="20">
        <f>IF(F3-L3&lt;0,L3-F3,0)</f>
        <v>0</v>
      </c>
      <c r="G9" s="21"/>
      <c r="H9" s="22" t="s">
        <v>26</v>
      </c>
      <c r="I9" s="22">
        <f>IF(C3-I3&gt;0,C3-I3,0)</f>
        <v>0</v>
      </c>
      <c r="J9" s="22">
        <f>IF(D3-J3&gt;0,D3-J3,0)</f>
        <v>0</v>
      </c>
      <c r="K9" s="22">
        <f>IF(E3-K3&gt;0,E3-K3,0)</f>
        <v>878165150</v>
      </c>
      <c r="L9" s="22">
        <f>IF(F3-L3&gt;0,F3-L3,0)</f>
        <v>27493535</v>
      </c>
    </row>
    <row r="10" spans="1:14" ht="17.649999999999999" customHeight="1" x14ac:dyDescent="0.25">
      <c r="A10" s="5" t="s">
        <v>27</v>
      </c>
      <c r="B10" s="6" t="s">
        <v>28</v>
      </c>
      <c r="C10" s="7">
        <f>SUM(C11:C13)</f>
        <v>494027000</v>
      </c>
      <c r="D10" s="7">
        <f>SUM(D11:D13)</f>
        <v>533143000</v>
      </c>
      <c r="E10" s="7">
        <f>SUM(E11:E13)</f>
        <v>191738630</v>
      </c>
      <c r="F10" s="7">
        <f>SUM(F11:F13)</f>
        <v>550017655</v>
      </c>
      <c r="G10" s="5" t="s">
        <v>27</v>
      </c>
      <c r="H10" s="8" t="s">
        <v>29</v>
      </c>
      <c r="I10" s="9">
        <f>SUM(I11:I13)</f>
        <v>1396319000</v>
      </c>
      <c r="J10" s="9">
        <f>SUM(J11:J13)</f>
        <v>1713853000</v>
      </c>
      <c r="K10" s="9">
        <f>SUM(K11:K13)</f>
        <v>904922361</v>
      </c>
      <c r="L10" s="9">
        <f>SUM(L11:L13)</f>
        <v>1372050190</v>
      </c>
    </row>
    <row r="11" spans="1:14" ht="17.649999999999999" customHeight="1" x14ac:dyDescent="0.25">
      <c r="A11" s="11" t="s">
        <v>11</v>
      </c>
      <c r="B11" s="17" t="s">
        <v>30</v>
      </c>
      <c r="C11" s="13">
        <v>200000000</v>
      </c>
      <c r="D11" s="13">
        <v>239116000</v>
      </c>
      <c r="E11" s="13">
        <v>39116000</v>
      </c>
      <c r="F11" s="13">
        <f>+'[5]1A. Fő bev'!F30</f>
        <v>439116000</v>
      </c>
      <c r="G11" s="11" t="s">
        <v>11</v>
      </c>
      <c r="H11" s="14" t="s">
        <v>31</v>
      </c>
      <c r="I11" s="15">
        <v>957881000</v>
      </c>
      <c r="J11" s="15">
        <v>1281178000</v>
      </c>
      <c r="K11" s="15">
        <v>589778875</v>
      </c>
      <c r="L11" s="16">
        <f>+'[5]1B. Fő kiad'!F16</f>
        <v>1155840350</v>
      </c>
    </row>
    <row r="12" spans="1:14" ht="17.649999999999999" customHeight="1" x14ac:dyDescent="0.25">
      <c r="A12" s="11" t="s">
        <v>14</v>
      </c>
      <c r="B12" s="17" t="s">
        <v>32</v>
      </c>
      <c r="C12" s="13">
        <v>243000000</v>
      </c>
      <c r="D12" s="13">
        <v>243000000</v>
      </c>
      <c r="E12" s="13">
        <v>150767687</v>
      </c>
      <c r="F12" s="13">
        <f>+'[5]1A. Fő bev'!F34</f>
        <v>110000000</v>
      </c>
      <c r="G12" s="11" t="s">
        <v>14</v>
      </c>
      <c r="H12" s="14" t="s">
        <v>33</v>
      </c>
      <c r="I12" s="15">
        <v>437738000</v>
      </c>
      <c r="J12" s="15">
        <v>412914000</v>
      </c>
      <c r="K12" s="15">
        <v>306800872</v>
      </c>
      <c r="L12" s="16">
        <f>+'[5]1B. Fő kiad'!F17</f>
        <v>215509840</v>
      </c>
    </row>
    <row r="13" spans="1:14" ht="17.649999999999999" customHeight="1" x14ac:dyDescent="0.25">
      <c r="A13" s="11" t="s">
        <v>17</v>
      </c>
      <c r="B13" s="17" t="s">
        <v>34</v>
      </c>
      <c r="C13" s="13">
        <v>51027000</v>
      </c>
      <c r="D13" s="13">
        <v>51027000</v>
      </c>
      <c r="E13" s="13">
        <v>1854943</v>
      </c>
      <c r="F13" s="13">
        <f>+'[5]1A. Fő bev'!F39</f>
        <v>901655</v>
      </c>
      <c r="G13" s="11" t="s">
        <v>17</v>
      </c>
      <c r="H13" s="14" t="s">
        <v>35</v>
      </c>
      <c r="I13" s="15">
        <v>700000</v>
      </c>
      <c r="J13" s="15">
        <v>19761000</v>
      </c>
      <c r="K13" s="15">
        <v>8342614</v>
      </c>
      <c r="L13" s="16">
        <f>+'[5]1B. Fő kiad'!F18</f>
        <v>700000</v>
      </c>
    </row>
    <row r="14" spans="1:14" ht="17.649999999999999" customHeight="1" x14ac:dyDescent="0.25">
      <c r="A14" s="19"/>
      <c r="B14" s="19" t="s">
        <v>36</v>
      </c>
      <c r="C14" s="20">
        <f>IF(C10-I10&lt;0,I10-C10,0)</f>
        <v>902292000</v>
      </c>
      <c r="D14" s="20">
        <f>IF(D10-J10&lt;0,J10-D10,0)</f>
        <v>1180710000</v>
      </c>
      <c r="E14" s="20">
        <f>IF(E10-K10&lt;0,K10-E10,0)</f>
        <v>713183731</v>
      </c>
      <c r="F14" s="20">
        <f>IF(F10-L10&lt;0,L10-F10,0)</f>
        <v>822032535</v>
      </c>
      <c r="G14" s="23"/>
      <c r="H14" s="21" t="s">
        <v>37</v>
      </c>
      <c r="I14" s="22">
        <f>IF(C10-I10&gt;0,C10-I10,0)</f>
        <v>0</v>
      </c>
      <c r="J14" s="22">
        <f>IF(D10-J10&gt;0,D10-J10,0)</f>
        <v>0</v>
      </c>
      <c r="K14" s="22">
        <f>IF(E10-K10&gt;0,E10-K10,0)</f>
        <v>0</v>
      </c>
      <c r="L14" s="22">
        <f>IF(F10-L10&gt;0,F10-L10,0)</f>
        <v>0</v>
      </c>
    </row>
    <row r="15" spans="1:14" ht="17.649999999999999" customHeight="1" x14ac:dyDescent="0.25">
      <c r="A15" s="3"/>
      <c r="B15" s="24" t="s">
        <v>38</v>
      </c>
      <c r="C15" s="25">
        <f>C3+C10</f>
        <v>4671971000</v>
      </c>
      <c r="D15" s="25">
        <f>D3+D10</f>
        <v>5048355000</v>
      </c>
      <c r="E15" s="25">
        <f>E3+E10</f>
        <v>5308885582</v>
      </c>
      <c r="F15" s="25">
        <f>F3+F10</f>
        <v>5129310906</v>
      </c>
      <c r="G15" s="3"/>
      <c r="H15" s="24" t="s">
        <v>39</v>
      </c>
      <c r="I15" s="26">
        <f>I3+I10</f>
        <v>5574263000</v>
      </c>
      <c r="J15" s="26">
        <f>J3+J10</f>
        <v>6369318000</v>
      </c>
      <c r="K15" s="26">
        <f>K3+K10</f>
        <v>5143904163</v>
      </c>
      <c r="L15" s="26">
        <f>L3+L10</f>
        <v>5923849906</v>
      </c>
    </row>
    <row r="16" spans="1:14" ht="17.649999999999999" customHeight="1" x14ac:dyDescent="0.25">
      <c r="A16" s="27"/>
      <c r="B16" s="28" t="s">
        <v>40</v>
      </c>
      <c r="C16" s="28">
        <f>IF(I9+I14-C9-C14&lt;0,C9+C14-I9-I14,0)</f>
        <v>902292000</v>
      </c>
      <c r="D16" s="28">
        <f>IF(J9+J14-D9-D14&lt;0,D9+D14-J9-J14,0)</f>
        <v>1320963000</v>
      </c>
      <c r="E16" s="28">
        <f>IF(K9+K14-E9-E14&lt;0,E9+E14-K9-K14,0)</f>
        <v>0</v>
      </c>
      <c r="F16" s="28">
        <f>IF(L9+L14-F9-F14&lt;0,F9+F14-L9-L14,0)</f>
        <v>794539000</v>
      </c>
      <c r="G16" s="29"/>
      <c r="H16" s="30" t="s">
        <v>41</v>
      </c>
      <c r="I16" s="28">
        <f>IF(I9+I14-C9-C14&gt;0,I9+I14-C9-C14,0)</f>
        <v>0</v>
      </c>
      <c r="J16" s="28">
        <f>IF(J9+J14-D9-D14&gt;0,J9+J14-D9-D14,0)</f>
        <v>0</v>
      </c>
      <c r="K16" s="28">
        <f>IF(K9+K14-E9-E14&gt;0,K9+K14-E9-E14,0)</f>
        <v>164981419</v>
      </c>
      <c r="L16" s="28">
        <f>IF(L9+L14-F9-F14&gt;0,L9+L14-F9-F14,0)</f>
        <v>0</v>
      </c>
    </row>
    <row r="17" spans="1:12" ht="17.649999999999999" customHeight="1" x14ac:dyDescent="0.25">
      <c r="A17" s="5" t="s">
        <v>42</v>
      </c>
      <c r="B17" s="6" t="s">
        <v>43</v>
      </c>
      <c r="C17" s="7">
        <f>C18+C22</f>
        <v>1100000000</v>
      </c>
      <c r="D17" s="7">
        <f>D18+D22</f>
        <v>2001624000</v>
      </c>
      <c r="E17" s="7">
        <f>E18+E22</f>
        <v>2026439304</v>
      </c>
      <c r="F17" s="7">
        <f>F18+F22</f>
        <v>1000000000</v>
      </c>
      <c r="G17" s="5" t="s">
        <v>42</v>
      </c>
      <c r="H17" s="8" t="s">
        <v>44</v>
      </c>
      <c r="I17" s="9">
        <f>I18+I22</f>
        <v>197708000</v>
      </c>
      <c r="J17" s="9">
        <f>J18+J22</f>
        <v>680661000</v>
      </c>
      <c r="K17" s="9">
        <f>K18+K22</f>
        <v>500015199</v>
      </c>
      <c r="L17" s="9">
        <f>L18+L22</f>
        <v>205461000</v>
      </c>
    </row>
    <row r="18" spans="1:12" ht="17.649999999999999" customHeight="1" x14ac:dyDescent="0.25">
      <c r="A18" s="19"/>
      <c r="B18" s="20" t="s">
        <v>45</v>
      </c>
      <c r="C18" s="20">
        <f>C19+C20+C21</f>
        <v>1100000000</v>
      </c>
      <c r="D18" s="20">
        <f>D19+D20+D21</f>
        <v>2001624000</v>
      </c>
      <c r="E18" s="20">
        <f>E19+E20+E21</f>
        <v>2026439304</v>
      </c>
      <c r="F18" s="20">
        <f>F19+F20+F21</f>
        <v>1000000000</v>
      </c>
      <c r="G18" s="21"/>
      <c r="H18" s="22" t="s">
        <v>46</v>
      </c>
      <c r="I18" s="20">
        <f>I19+I20+I21</f>
        <v>197708000</v>
      </c>
      <c r="J18" s="20">
        <f>J19+J20+J21</f>
        <v>680661000</v>
      </c>
      <c r="K18" s="20">
        <f>K19+K20+K21</f>
        <v>500015199</v>
      </c>
      <c r="L18" s="20">
        <f>L19+L20+L21</f>
        <v>205461000</v>
      </c>
    </row>
    <row r="19" spans="1:12" ht="17.649999999999999" customHeight="1" x14ac:dyDescent="0.25">
      <c r="A19" s="11" t="s">
        <v>11</v>
      </c>
      <c r="B19" s="17" t="s">
        <v>47</v>
      </c>
      <c r="C19" s="13">
        <v>1100000000</v>
      </c>
      <c r="D19" s="13">
        <v>1518671162</v>
      </c>
      <c r="E19" s="13">
        <v>1518671162</v>
      </c>
      <c r="F19" s="13">
        <f>+'[5]1A. Fő bev'!F54</f>
        <v>1000000000</v>
      </c>
      <c r="G19" s="11" t="s">
        <v>11</v>
      </c>
      <c r="H19" s="14" t="str">
        <f>+'[5]1B. Fő kiad'!B27</f>
        <v>1.1. Hitel-, kölcsöntörlesztés államháztartáson kívülre</v>
      </c>
      <c r="I19" s="31">
        <v>180645000</v>
      </c>
      <c r="J19" s="31">
        <v>180645000</v>
      </c>
      <c r="K19" s="31"/>
      <c r="L19" s="31">
        <f>+'[5]1B. Fő kiad'!F27</f>
        <v>180645000</v>
      </c>
    </row>
    <row r="20" spans="1:12" ht="17.649999999999999" customHeight="1" x14ac:dyDescent="0.25">
      <c r="A20" s="11" t="s">
        <v>14</v>
      </c>
      <c r="B20" s="17" t="s">
        <v>48</v>
      </c>
      <c r="C20" s="13">
        <v>0</v>
      </c>
      <c r="D20" s="13">
        <v>0</v>
      </c>
      <c r="E20" s="13">
        <v>0</v>
      </c>
      <c r="F20" s="13">
        <f>+'[5]1A. Fő bev'!F56</f>
        <v>0</v>
      </c>
      <c r="G20" s="11" t="s">
        <v>14</v>
      </c>
      <c r="H20" s="14" t="s">
        <v>49</v>
      </c>
      <c r="I20" s="31">
        <v>0</v>
      </c>
      <c r="J20" s="31">
        <v>0</v>
      </c>
      <c r="K20" s="31">
        <v>0</v>
      </c>
      <c r="L20" s="31">
        <f>+'[5]1B. Fő kiad'!F32</f>
        <v>0</v>
      </c>
    </row>
    <row r="21" spans="1:12" ht="17.649999999999999" customHeight="1" x14ac:dyDescent="0.25">
      <c r="A21" s="11" t="s">
        <v>17</v>
      </c>
      <c r="B21" s="17" t="s">
        <v>50</v>
      </c>
      <c r="C21" s="13">
        <v>0</v>
      </c>
      <c r="D21" s="13">
        <v>482952838</v>
      </c>
      <c r="E21" s="13">
        <v>507768142</v>
      </c>
      <c r="F21" s="13">
        <f>+'[5]1A. Fő bev'!F53</f>
        <v>0</v>
      </c>
      <c r="G21" s="11" t="s">
        <v>17</v>
      </c>
      <c r="H21" s="14" t="s">
        <v>50</v>
      </c>
      <c r="I21" s="31">
        <v>17063000</v>
      </c>
      <c r="J21" s="31">
        <v>500016000</v>
      </c>
      <c r="K21" s="31">
        <v>500015199</v>
      </c>
      <c r="L21" s="32">
        <f>+'[5]1B. Fő kiad'!F29</f>
        <v>24816000</v>
      </c>
    </row>
    <row r="22" spans="1:12" ht="17.649999999999999" customHeight="1" x14ac:dyDescent="0.25">
      <c r="A22" s="19"/>
      <c r="B22" s="20" t="s">
        <v>51</v>
      </c>
      <c r="C22" s="20">
        <f>C23+C24</f>
        <v>0</v>
      </c>
      <c r="D22" s="20">
        <f>D23+D24</f>
        <v>0</v>
      </c>
      <c r="E22" s="20">
        <f>E23+E24</f>
        <v>0</v>
      </c>
      <c r="F22" s="20">
        <f>F23+F24</f>
        <v>0</v>
      </c>
      <c r="G22" s="21"/>
      <c r="H22" s="22" t="s">
        <v>52</v>
      </c>
      <c r="I22" s="22">
        <f>I23</f>
        <v>0</v>
      </c>
      <c r="J22" s="22">
        <f>J23</f>
        <v>0</v>
      </c>
      <c r="K22" s="22">
        <f>K23</f>
        <v>0</v>
      </c>
      <c r="L22" s="22">
        <f>L23</f>
        <v>0</v>
      </c>
    </row>
    <row r="23" spans="1:12" ht="17.649999999999999" customHeight="1" x14ac:dyDescent="0.25">
      <c r="A23" s="11" t="s">
        <v>11</v>
      </c>
      <c r="B23" s="17" t="s">
        <v>53</v>
      </c>
      <c r="C23" s="13">
        <v>0</v>
      </c>
      <c r="D23" s="13">
        <v>0</v>
      </c>
      <c r="E23" s="13">
        <v>0</v>
      </c>
      <c r="F23" s="13">
        <f>+'[5]1A. Fő bev'!F48</f>
        <v>0</v>
      </c>
      <c r="G23" s="11" t="s">
        <v>11</v>
      </c>
      <c r="H23" s="14" t="s">
        <v>54</v>
      </c>
      <c r="I23" s="31">
        <v>0</v>
      </c>
      <c r="J23" s="15">
        <v>0</v>
      </c>
      <c r="K23" s="15">
        <v>0</v>
      </c>
      <c r="L23" s="15">
        <v>0</v>
      </c>
    </row>
    <row r="24" spans="1:12" ht="17.649999999999999" customHeight="1" x14ac:dyDescent="0.25">
      <c r="A24" s="11" t="s">
        <v>14</v>
      </c>
      <c r="B24" s="17" t="s">
        <v>55</v>
      </c>
      <c r="C24" s="13">
        <v>0</v>
      </c>
      <c r="D24" s="13">
        <v>0</v>
      </c>
      <c r="E24" s="13">
        <v>0</v>
      </c>
      <c r="F24" s="13">
        <f>+'[5]1A. Fő bev'!F57</f>
        <v>0</v>
      </c>
      <c r="G24" s="11" t="s">
        <v>14</v>
      </c>
      <c r="H24" s="14" t="s">
        <v>56</v>
      </c>
      <c r="I24" s="31">
        <v>0</v>
      </c>
      <c r="J24" s="15">
        <v>0</v>
      </c>
      <c r="K24" s="15">
        <v>0</v>
      </c>
      <c r="L24" s="15">
        <v>0</v>
      </c>
    </row>
    <row r="25" spans="1:12" ht="17.649999999999999" customHeight="1" x14ac:dyDescent="0.25">
      <c r="A25" s="33"/>
      <c r="B25" s="34" t="s">
        <v>57</v>
      </c>
      <c r="C25" s="35">
        <f>C15+C17</f>
        <v>5771971000</v>
      </c>
      <c r="D25" s="35">
        <f>D15+D17</f>
        <v>7049979000</v>
      </c>
      <c r="E25" s="35">
        <f>E15+E17</f>
        <v>7335324886</v>
      </c>
      <c r="F25" s="35">
        <f>F15+F17</f>
        <v>6129310906</v>
      </c>
      <c r="G25" s="33"/>
      <c r="H25" s="34" t="s">
        <v>58</v>
      </c>
      <c r="I25" s="36">
        <f>I15+I17</f>
        <v>5771971000</v>
      </c>
      <c r="J25" s="36">
        <f>J15+J17</f>
        <v>7049979000</v>
      </c>
      <c r="K25" s="36">
        <f>K15+K17</f>
        <v>5643919362</v>
      </c>
      <c r="L25" s="36">
        <f>L15+L17</f>
        <v>6129310906</v>
      </c>
    </row>
    <row r="26" spans="1:12" ht="17.649999999999999" customHeight="1" x14ac:dyDescent="0.25">
      <c r="A26" s="37"/>
      <c r="B26" s="38"/>
      <c r="C26" s="39"/>
      <c r="D26" s="39"/>
      <c r="E26" s="39"/>
      <c r="F26" s="39"/>
      <c r="G26" s="37"/>
      <c r="H26" s="40"/>
      <c r="I26" s="41"/>
      <c r="J26" s="42">
        <f>+D25-J25</f>
        <v>0</v>
      </c>
      <c r="K26" s="43"/>
      <c r="L26" s="43">
        <f>+F25-L25</f>
        <v>0</v>
      </c>
    </row>
    <row r="27" spans="1:12" ht="17.649999999999999" customHeight="1" x14ac:dyDescent="0.25">
      <c r="A27" s="44"/>
      <c r="B27" s="45"/>
      <c r="C27" s="46"/>
      <c r="D27" s="46"/>
      <c r="E27" s="46"/>
      <c r="F27" s="46"/>
      <c r="G27" s="47"/>
      <c r="H27" s="48"/>
      <c r="I27" s="49"/>
      <c r="J27" s="50"/>
      <c r="K27" s="50"/>
      <c r="L27" s="50"/>
    </row>
    <row r="28" spans="1:12" ht="17.649999999999999" customHeight="1" x14ac:dyDescent="0.25">
      <c r="A28" s="47"/>
      <c r="B28" s="51"/>
      <c r="C28" s="52"/>
      <c r="D28" s="52"/>
      <c r="E28" s="52"/>
      <c r="F28" s="52"/>
      <c r="G28" s="47"/>
      <c r="H28" s="53"/>
      <c r="I28" s="54"/>
      <c r="J28" s="42"/>
      <c r="K28" s="42"/>
      <c r="L28" s="42"/>
    </row>
    <row r="29" spans="1:12" ht="17.649999999999999" customHeight="1" x14ac:dyDescent="0.25">
      <c r="A29" s="47"/>
      <c r="B29" s="51"/>
      <c r="C29" s="52"/>
      <c r="D29" s="52"/>
      <c r="E29" s="52"/>
      <c r="F29" s="52"/>
      <c r="G29" s="47"/>
      <c r="H29" s="53"/>
      <c r="I29" s="54"/>
      <c r="J29" s="42"/>
      <c r="K29" s="42"/>
      <c r="L29" s="42"/>
    </row>
    <row r="30" spans="1:12" ht="17.649999999999999" customHeight="1" x14ac:dyDescent="0.25">
      <c r="A30" s="47"/>
      <c r="B30" s="51"/>
      <c r="C30" s="52"/>
      <c r="D30" s="52"/>
      <c r="E30" s="52"/>
      <c r="F30" s="52"/>
      <c r="G30" s="47"/>
      <c r="H30" s="53"/>
      <c r="I30" s="54"/>
      <c r="J30" s="42"/>
      <c r="K30" s="42"/>
      <c r="L30" s="42"/>
    </row>
    <row r="31" spans="1:12" ht="17.649999999999999" customHeight="1" x14ac:dyDescent="0.25">
      <c r="A31" s="47"/>
      <c r="B31" s="51"/>
      <c r="C31" s="52"/>
      <c r="D31" s="52"/>
      <c r="E31" s="52"/>
      <c r="F31" s="52"/>
      <c r="G31" s="47"/>
      <c r="H31" s="55"/>
      <c r="I31" s="54"/>
      <c r="J31" s="42"/>
      <c r="K31" s="42"/>
      <c r="L31" s="42"/>
    </row>
    <row r="32" spans="1:12" ht="17.649999999999999" customHeight="1" x14ac:dyDescent="0.25">
      <c r="A32" s="47"/>
      <c r="B32" s="51"/>
      <c r="C32" s="52"/>
      <c r="D32" s="52"/>
      <c r="E32" s="52"/>
      <c r="F32" s="52"/>
      <c r="G32" s="47"/>
      <c r="H32" s="55"/>
      <c r="I32" s="54"/>
      <c r="J32" s="42"/>
      <c r="K32" s="42"/>
      <c r="L32" s="42"/>
    </row>
    <row r="33" spans="1:12" ht="17.649999999999999" customHeight="1" x14ac:dyDescent="0.25">
      <c r="A33" s="47"/>
      <c r="B33" s="51"/>
      <c r="C33" s="52"/>
      <c r="D33" s="52"/>
      <c r="E33" s="52"/>
      <c r="F33" s="52"/>
      <c r="G33" s="47"/>
      <c r="H33" s="55"/>
      <c r="I33" s="54"/>
      <c r="J33" s="42"/>
      <c r="K33" s="42"/>
      <c r="L33" s="42"/>
    </row>
    <row r="34" spans="1:12" ht="17.649999999999999" customHeight="1" x14ac:dyDescent="0.25">
      <c r="A34" s="47"/>
      <c r="B34" s="51"/>
      <c r="C34" s="52"/>
      <c r="D34" s="52"/>
      <c r="E34" s="52"/>
      <c r="F34" s="52"/>
      <c r="G34" s="47"/>
      <c r="H34" s="53"/>
      <c r="I34" s="54"/>
      <c r="J34" s="42"/>
      <c r="K34" s="42"/>
      <c r="L34" s="42"/>
    </row>
    <row r="35" spans="1:12" ht="17.649999999999999" customHeight="1" x14ac:dyDescent="0.25">
      <c r="A35" s="47"/>
      <c r="B35" s="51"/>
      <c r="C35" s="52"/>
      <c r="D35" s="52"/>
      <c r="E35" s="52"/>
      <c r="F35" s="52"/>
      <c r="G35" s="47"/>
      <c r="H35" s="53"/>
      <c r="I35" s="54"/>
      <c r="J35" s="42"/>
      <c r="K35" s="42"/>
      <c r="L35" s="42"/>
    </row>
    <row r="36" spans="1:12" ht="17.649999999999999" customHeight="1" x14ac:dyDescent="0.25">
      <c r="A36" s="44"/>
      <c r="B36" s="45"/>
      <c r="C36" s="46"/>
      <c r="D36" s="46"/>
      <c r="E36" s="46"/>
      <c r="F36" s="46"/>
      <c r="G36" s="47"/>
      <c r="H36" s="53"/>
      <c r="I36" s="54"/>
      <c r="J36" s="42"/>
      <c r="K36" s="42"/>
      <c r="L36" s="42"/>
    </row>
    <row r="37" spans="1:12" ht="17.649999999999999" customHeight="1" x14ac:dyDescent="0.25">
      <c r="A37" s="47"/>
      <c r="B37" s="51"/>
      <c r="C37" s="52"/>
      <c r="D37" s="52"/>
      <c r="E37" s="52"/>
      <c r="F37" s="52"/>
      <c r="G37" s="47"/>
      <c r="H37" s="53"/>
      <c r="I37" s="54"/>
      <c r="J37" s="42"/>
      <c r="K37" s="42"/>
      <c r="L37" s="42"/>
    </row>
    <row r="38" spans="1:12" ht="17.649999999999999" customHeight="1" x14ac:dyDescent="0.25">
      <c r="A38" s="47"/>
      <c r="B38" s="51"/>
      <c r="C38" s="52"/>
      <c r="D38" s="52"/>
      <c r="E38" s="52"/>
      <c r="F38" s="52"/>
      <c r="G38" s="47"/>
      <c r="H38" s="53"/>
      <c r="I38" s="54"/>
      <c r="J38" s="42"/>
      <c r="K38" s="42"/>
      <c r="L38" s="42"/>
    </row>
    <row r="39" spans="1:12" ht="17.649999999999999" customHeight="1" x14ac:dyDescent="0.25">
      <c r="G39" s="47"/>
      <c r="H39" s="53"/>
      <c r="I39" s="54"/>
      <c r="J39" s="42"/>
      <c r="K39" s="42"/>
      <c r="L39" s="42"/>
    </row>
    <row r="40" spans="1:12" ht="17.649999999999999" customHeight="1" x14ac:dyDescent="0.25">
      <c r="G40" s="47"/>
      <c r="H40" s="53"/>
      <c r="I40" s="54"/>
      <c r="J40" s="42"/>
      <c r="K40" s="42"/>
      <c r="L40" s="42"/>
    </row>
    <row r="41" spans="1:12" ht="17.649999999999999" customHeight="1" x14ac:dyDescent="0.25">
      <c r="A41" s="47"/>
      <c r="B41" s="56"/>
      <c r="C41" s="57"/>
      <c r="D41" s="57"/>
      <c r="E41" s="57"/>
      <c r="F41" s="57"/>
      <c r="G41" s="47"/>
      <c r="H41" s="53"/>
      <c r="I41" s="54"/>
      <c r="J41" s="42"/>
      <c r="K41" s="42"/>
      <c r="L41" s="42"/>
    </row>
    <row r="42" spans="1:12" ht="17.649999999999999" customHeight="1" x14ac:dyDescent="0.25">
      <c r="A42" s="47"/>
      <c r="B42" s="56"/>
      <c r="C42" s="57"/>
      <c r="D42" s="57"/>
      <c r="E42" s="57"/>
      <c r="F42" s="57"/>
      <c r="G42" s="47"/>
      <c r="H42" s="53"/>
      <c r="I42" s="54"/>
      <c r="J42" s="42"/>
      <c r="K42" s="42"/>
      <c r="L42" s="42"/>
    </row>
    <row r="43" spans="1:12" ht="17.649999999999999" customHeight="1" x14ac:dyDescent="0.25">
      <c r="A43" s="47"/>
      <c r="B43" s="56"/>
      <c r="C43" s="57"/>
      <c r="D43" s="57"/>
      <c r="E43" s="57"/>
      <c r="F43" s="57"/>
      <c r="G43" s="47"/>
      <c r="H43" s="48"/>
      <c r="I43" s="58"/>
      <c r="J43" s="59"/>
      <c r="K43" s="59"/>
      <c r="L43" s="59"/>
    </row>
    <row r="44" spans="1:12" ht="17.649999999999999" customHeight="1" x14ac:dyDescent="0.25">
      <c r="G44" s="47"/>
      <c r="H44" s="53"/>
      <c r="I44" s="54"/>
      <c r="J44" s="42"/>
      <c r="K44" s="42"/>
      <c r="L44" s="42"/>
    </row>
    <row r="45" spans="1:12" ht="17.649999999999999" customHeight="1" x14ac:dyDescent="0.25">
      <c r="A45" s="47"/>
      <c r="B45" s="56"/>
      <c r="C45" s="57"/>
      <c r="D45" s="57"/>
      <c r="E45" s="57"/>
      <c r="F45" s="57"/>
      <c r="G45" s="47"/>
      <c r="H45" s="53"/>
      <c r="I45" s="54"/>
      <c r="J45" s="42"/>
      <c r="K45" s="42"/>
      <c r="L45" s="42"/>
    </row>
    <row r="46" spans="1:12" ht="17.649999999999999" customHeight="1" x14ac:dyDescent="0.25">
      <c r="A46" s="47"/>
      <c r="B46" s="56"/>
      <c r="C46" s="57"/>
      <c r="D46" s="60"/>
      <c r="E46" s="60"/>
      <c r="F46" s="60"/>
    </row>
    <row r="47" spans="1:12" ht="17.649999999999999" customHeight="1" x14ac:dyDescent="0.25">
      <c r="A47" s="47"/>
      <c r="B47" s="56"/>
      <c r="C47" s="57"/>
      <c r="D47" s="60"/>
      <c r="E47" s="60"/>
      <c r="F47" s="60"/>
    </row>
    <row r="48" spans="1:12" ht="17.649999999999999" customHeight="1" x14ac:dyDescent="0.25">
      <c r="A48" s="47"/>
      <c r="B48" s="56"/>
      <c r="C48" s="57"/>
      <c r="D48" s="60"/>
      <c r="E48" s="60"/>
      <c r="F48" s="60"/>
    </row>
    <row r="49" spans="1:12" ht="17.649999999999999" customHeight="1" x14ac:dyDescent="0.25"/>
    <row r="50" spans="1:12" ht="17.649999999999999" customHeight="1" x14ac:dyDescent="0.25">
      <c r="A50" s="47"/>
      <c r="B50" s="56"/>
      <c r="C50" s="57"/>
      <c r="D50" s="57"/>
      <c r="E50" s="57"/>
      <c r="F50" s="57"/>
      <c r="G50" s="47"/>
      <c r="H50" s="48"/>
      <c r="I50" s="58"/>
      <c r="J50" s="59"/>
      <c r="K50" s="59"/>
      <c r="L50" s="59"/>
    </row>
    <row r="51" spans="1:12" ht="17.649999999999999" customHeight="1" x14ac:dyDescent="0.25">
      <c r="A51" s="47"/>
      <c r="B51" s="56"/>
      <c r="C51" s="57"/>
      <c r="D51" s="57"/>
      <c r="E51" s="57"/>
      <c r="F51" s="57"/>
      <c r="G51" s="47"/>
      <c r="H51" s="48"/>
      <c r="I51" s="58"/>
      <c r="J51" s="59"/>
      <c r="K51" s="59"/>
      <c r="L51" s="59"/>
    </row>
    <row r="52" spans="1:12" ht="17.649999999999999" customHeight="1" x14ac:dyDescent="0.25">
      <c r="G52" s="47"/>
      <c r="H52" s="48"/>
      <c r="I52" s="58"/>
      <c r="J52" s="59"/>
      <c r="K52" s="59"/>
      <c r="L52" s="59"/>
    </row>
    <row r="53" spans="1:12" ht="17.649999999999999" customHeight="1" x14ac:dyDescent="0.25">
      <c r="G53" s="47"/>
      <c r="H53" s="48"/>
      <c r="I53" s="58"/>
      <c r="J53" s="59"/>
      <c r="K53" s="59"/>
      <c r="L53" s="59"/>
    </row>
    <row r="54" spans="1:12" ht="17.649999999999999" customHeight="1" x14ac:dyDescent="0.25">
      <c r="G54" s="47"/>
      <c r="H54" s="53"/>
      <c r="I54" s="54"/>
      <c r="J54" s="42"/>
      <c r="K54" s="42"/>
      <c r="L54" s="42"/>
    </row>
    <row r="55" spans="1:12" ht="17.649999999999999" customHeight="1" x14ac:dyDescent="0.25">
      <c r="A55" s="47"/>
      <c r="B55" s="56"/>
      <c r="C55" s="57"/>
      <c r="D55" s="57"/>
      <c r="E55" s="57"/>
      <c r="F55" s="57"/>
      <c r="G55" s="47"/>
      <c r="H55" s="53"/>
      <c r="I55" s="54"/>
      <c r="J55" s="42"/>
      <c r="K55" s="42"/>
      <c r="L55" s="42"/>
    </row>
    <row r="56" spans="1:12" ht="17.649999999999999" customHeight="1" x14ac:dyDescent="0.25">
      <c r="A56" s="47"/>
      <c r="B56" s="61"/>
      <c r="C56" s="57"/>
      <c r="D56" s="57"/>
      <c r="E56" s="57"/>
      <c r="F56" s="57"/>
      <c r="G56" s="47"/>
      <c r="H56" s="48"/>
      <c r="I56" s="58"/>
      <c r="J56" s="59"/>
      <c r="K56" s="59"/>
      <c r="L56" s="59"/>
    </row>
    <row r="57" spans="1:12" ht="17.649999999999999" customHeight="1" x14ac:dyDescent="0.25">
      <c r="A57" s="47"/>
      <c r="B57" s="61"/>
      <c r="C57" s="57"/>
      <c r="D57" s="57"/>
      <c r="E57" s="57"/>
      <c r="F57" s="57"/>
      <c r="G57" s="47"/>
      <c r="H57" s="53"/>
      <c r="I57" s="54"/>
      <c r="J57" s="42"/>
      <c r="K57" s="42"/>
      <c r="L57" s="42"/>
    </row>
    <row r="58" spans="1:12" ht="17.649999999999999" customHeight="1" x14ac:dyDescent="0.25">
      <c r="A58" s="47"/>
      <c r="B58" s="56"/>
      <c r="C58" s="57"/>
      <c r="D58" s="57"/>
      <c r="E58" s="57"/>
      <c r="F58" s="57"/>
      <c r="G58" s="47"/>
      <c r="H58" s="53"/>
      <c r="I58" s="54"/>
      <c r="J58" s="42"/>
      <c r="K58" s="42"/>
      <c r="L58" s="42"/>
    </row>
    <row r="59" spans="1:12" ht="17.649999999999999" customHeight="1" x14ac:dyDescent="0.25">
      <c r="A59" s="47"/>
      <c r="B59" s="56"/>
      <c r="C59" s="57"/>
      <c r="D59" s="57"/>
      <c r="E59" s="57"/>
      <c r="F59" s="57"/>
      <c r="G59" s="47"/>
      <c r="H59" s="48"/>
      <c r="I59" s="58"/>
      <c r="J59" s="59"/>
      <c r="K59" s="59"/>
      <c r="L59" s="59"/>
    </row>
    <row r="60" spans="1:12" ht="17.649999999999999" customHeight="1" x14ac:dyDescent="0.25">
      <c r="A60" s="47"/>
      <c r="B60" s="56"/>
      <c r="C60" s="57"/>
      <c r="D60" s="60"/>
      <c r="E60" s="60"/>
      <c r="F60" s="60"/>
    </row>
    <row r="61" spans="1:12" ht="17.649999999999999" customHeight="1" x14ac:dyDescent="0.25">
      <c r="A61" s="47"/>
      <c r="B61" s="56"/>
      <c r="C61" s="57"/>
      <c r="D61" s="60"/>
      <c r="E61" s="60"/>
      <c r="F61" s="60"/>
    </row>
    <row r="62" spans="1:12" ht="17.649999999999999" customHeight="1" x14ac:dyDescent="0.25"/>
    <row r="63" spans="1:12" ht="17.649999999999999" customHeight="1" x14ac:dyDescent="0.25">
      <c r="A63" s="47"/>
      <c r="B63" s="56"/>
      <c r="C63" s="57"/>
      <c r="D63" s="57"/>
      <c r="E63" s="57"/>
      <c r="F63" s="57"/>
      <c r="G63" s="47"/>
      <c r="H63" s="62"/>
      <c r="I63" s="63"/>
      <c r="J63" s="64"/>
      <c r="K63" s="64"/>
      <c r="L63" s="64"/>
    </row>
    <row r="64" spans="1:12" ht="17.649999999999999" customHeight="1" x14ac:dyDescent="0.25">
      <c r="A64" s="47"/>
      <c r="B64" s="56"/>
      <c r="C64" s="57"/>
      <c r="D64" s="57"/>
      <c r="E64" s="57"/>
      <c r="F64" s="57"/>
      <c r="G64" s="47"/>
      <c r="H64" s="53"/>
      <c r="I64" s="65"/>
      <c r="J64" s="66"/>
      <c r="K64" s="66"/>
      <c r="L64" s="66"/>
    </row>
    <row r="65" spans="7:12" ht="17.649999999999999" customHeight="1" x14ac:dyDescent="0.25">
      <c r="G65" s="47"/>
      <c r="H65" s="53"/>
      <c r="I65" s="65"/>
      <c r="J65" s="66"/>
      <c r="K65" s="66"/>
      <c r="L65" s="66"/>
    </row>
    <row r="66" spans="7:12" ht="17.649999999999999" customHeight="1" x14ac:dyDescent="0.25">
      <c r="G66" s="47"/>
      <c r="H66" s="62"/>
      <c r="I66" s="63"/>
      <c r="J66" s="64"/>
      <c r="K66" s="64"/>
      <c r="L66" s="64"/>
    </row>
    <row r="67" spans="7:12" ht="17.649999999999999" customHeight="1" x14ac:dyDescent="0.25">
      <c r="G67" s="47"/>
      <c r="H67" s="62"/>
      <c r="I67" s="63"/>
      <c r="J67" s="64"/>
      <c r="K67" s="64"/>
      <c r="L67" s="64"/>
    </row>
    <row r="68" spans="7:12" ht="17.649999999999999" customHeight="1" x14ac:dyDescent="0.25">
      <c r="G68" s="47"/>
      <c r="H68" s="62"/>
      <c r="I68" s="63"/>
      <c r="J68" s="64"/>
      <c r="K68" s="64"/>
      <c r="L68" s="64"/>
    </row>
    <row r="69" spans="7:12" ht="17.649999999999999" customHeight="1" x14ac:dyDescent="0.25">
      <c r="G69" s="47"/>
      <c r="H69" s="62"/>
      <c r="I69" s="63"/>
      <c r="J69" s="64"/>
      <c r="K69" s="64"/>
      <c r="L69" s="64"/>
    </row>
    <row r="70" spans="7:12" ht="17.649999999999999" customHeight="1" x14ac:dyDescent="0.25">
      <c r="G70" s="47"/>
      <c r="H70" s="62"/>
      <c r="I70" s="63"/>
      <c r="J70" s="64"/>
      <c r="K70" s="64"/>
      <c r="L70" s="64"/>
    </row>
    <row r="71" spans="7:12" ht="17.649999999999999" customHeight="1" x14ac:dyDescent="0.25"/>
    <row r="72" spans="7:12" ht="17.649999999999999" customHeight="1" x14ac:dyDescent="0.25">
      <c r="G72" s="47"/>
      <c r="H72" s="62"/>
      <c r="I72" s="63"/>
      <c r="J72" s="64"/>
      <c r="K72" s="64"/>
      <c r="L72" s="64"/>
    </row>
    <row r="73" spans="7:12" ht="17.649999999999999" customHeight="1" x14ac:dyDescent="0.25">
      <c r="G73" s="47"/>
      <c r="H73" s="62"/>
      <c r="I73" s="63"/>
      <c r="J73" s="64"/>
      <c r="K73" s="64"/>
      <c r="L73" s="64"/>
    </row>
    <row r="74" spans="7:12" ht="17.649999999999999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67" orientation="landscape" r:id="rId1"/>
  <headerFooter>
    <oddHeader>&amp;C&amp;"-,Félkövér"&amp;16Törökbálint Város Önkormányzat költségvetési mérlege 2020. év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A30D-9872-4877-B1C1-B3837ADF678A}">
  <dimension ref="A1:L50"/>
  <sheetViews>
    <sheetView view="pageBreakPreview" topLeftCell="A19" zoomScale="95" zoomScaleNormal="100" zoomScaleSheetLayoutView="95" workbookViewId="0">
      <selection activeCell="L1" sqref="L1:L1048576"/>
    </sheetView>
  </sheetViews>
  <sheetFormatPr defaultRowHeight="15" x14ac:dyDescent="0.25"/>
  <cols>
    <col min="1" max="1" width="5.7109375" style="67" customWidth="1"/>
    <col min="2" max="2" width="52.140625" style="68" customWidth="1"/>
    <col min="3" max="3" width="12.28515625" style="68" bestFit="1" customWidth="1"/>
    <col min="4" max="4" width="11.140625" style="68" bestFit="1" customWidth="1"/>
    <col min="5" max="5" width="10.140625" style="68" customWidth="1"/>
    <col min="6" max="6" width="15.140625" style="68" customWidth="1"/>
    <col min="7" max="7" width="12.28515625" style="68" bestFit="1" customWidth="1"/>
    <col min="8" max="8" width="11.140625" style="68" bestFit="1" customWidth="1"/>
    <col min="9" max="9" width="10.140625" style="68" customWidth="1"/>
    <col min="10" max="10" width="15.140625" style="68" customWidth="1"/>
    <col min="11" max="11" width="15.7109375" style="68" hidden="1" customWidth="1"/>
    <col min="12" max="12" width="11" style="68" bestFit="1" customWidth="1"/>
    <col min="13" max="16384" width="9.140625" style="68"/>
  </cols>
  <sheetData>
    <row r="1" spans="1:12" x14ac:dyDescent="0.25">
      <c r="F1" s="265"/>
      <c r="J1" s="265" t="s">
        <v>0</v>
      </c>
    </row>
    <row r="2" spans="1:12" x14ac:dyDescent="0.25">
      <c r="A2" s="154" t="s">
        <v>310</v>
      </c>
      <c r="B2" s="154" t="s">
        <v>527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1:12" ht="52.5" customHeight="1" x14ac:dyDescent="0.25">
      <c r="A3" s="418" t="s">
        <v>1</v>
      </c>
      <c r="B3" s="418" t="s">
        <v>128</v>
      </c>
      <c r="C3" s="419" t="s">
        <v>6</v>
      </c>
      <c r="D3" s="420"/>
      <c r="E3" s="420"/>
      <c r="F3" s="421"/>
      <c r="G3" s="419" t="s">
        <v>59</v>
      </c>
      <c r="H3" s="420"/>
      <c r="I3" s="420"/>
      <c r="J3" s="421"/>
      <c r="K3" s="418" t="s">
        <v>60</v>
      </c>
    </row>
    <row r="4" spans="1:12" ht="56.25" customHeight="1" x14ac:dyDescent="0.25">
      <c r="A4" s="418"/>
      <c r="B4" s="418"/>
      <c r="C4" s="4" t="s">
        <v>61</v>
      </c>
      <c r="D4" s="4" t="s">
        <v>62</v>
      </c>
      <c r="E4" s="4" t="s">
        <v>63</v>
      </c>
      <c r="F4" s="4" t="s">
        <v>64</v>
      </c>
      <c r="G4" s="4" t="s">
        <v>61</v>
      </c>
      <c r="H4" s="4" t="s">
        <v>62</v>
      </c>
      <c r="I4" s="4" t="s">
        <v>63</v>
      </c>
      <c r="J4" s="4" t="s">
        <v>64</v>
      </c>
      <c r="K4" s="418"/>
    </row>
    <row r="5" spans="1:12" x14ac:dyDescent="0.25">
      <c r="A5" s="171"/>
      <c r="B5" s="159" t="s">
        <v>360</v>
      </c>
      <c r="C5" s="172">
        <f>+'[6]3B PH fel'!C5</f>
        <v>79</v>
      </c>
      <c r="D5" s="172">
        <v>5</v>
      </c>
      <c r="E5" s="172">
        <v>0</v>
      </c>
      <c r="F5" s="172">
        <f>SUM(C5:E5)</f>
        <v>84</v>
      </c>
      <c r="G5" s="172">
        <f>+'[6]3B PH fel'!G5</f>
        <v>79</v>
      </c>
      <c r="H5" s="172">
        <v>5</v>
      </c>
      <c r="I5" s="172">
        <v>0</v>
      </c>
      <c r="J5" s="172">
        <f>SUM(G5:I5)</f>
        <v>84</v>
      </c>
    </row>
    <row r="6" spans="1:12" x14ac:dyDescent="0.25">
      <c r="A6" s="171"/>
      <c r="B6" s="159" t="s">
        <v>361</v>
      </c>
      <c r="C6" s="172">
        <v>0</v>
      </c>
      <c r="D6" s="172">
        <v>0</v>
      </c>
      <c r="E6" s="172">
        <v>0</v>
      </c>
      <c r="F6" s="172">
        <f t="shared" ref="F6:F49" si="0">SUM(C6:E6)</f>
        <v>0</v>
      </c>
      <c r="G6" s="172">
        <v>0</v>
      </c>
      <c r="H6" s="172">
        <v>0</v>
      </c>
      <c r="I6" s="172">
        <v>0</v>
      </c>
      <c r="J6" s="172">
        <f t="shared" ref="J6:K49" si="1">SUM(G6:I6)</f>
        <v>0</v>
      </c>
    </row>
    <row r="7" spans="1:12" x14ac:dyDescent="0.25">
      <c r="A7" s="171"/>
      <c r="B7" s="159" t="s">
        <v>528</v>
      </c>
      <c r="C7" s="172">
        <v>7</v>
      </c>
      <c r="D7" s="172">
        <v>0</v>
      </c>
      <c r="E7" s="172">
        <v>0</v>
      </c>
      <c r="F7" s="172">
        <f t="shared" si="0"/>
        <v>7</v>
      </c>
      <c r="G7" s="172">
        <v>7</v>
      </c>
      <c r="H7" s="172">
        <v>0</v>
      </c>
      <c r="I7" s="172">
        <v>0</v>
      </c>
      <c r="J7" s="172">
        <f t="shared" si="1"/>
        <v>7</v>
      </c>
    </row>
    <row r="8" spans="1:12" x14ac:dyDescent="0.25">
      <c r="A8" s="72" t="s">
        <v>8</v>
      </c>
      <c r="B8" s="73" t="s">
        <v>9</v>
      </c>
      <c r="C8" s="74">
        <f>C9+C11+C14</f>
        <v>3350000</v>
      </c>
      <c r="D8" s="74">
        <f>D9+D11+D14</f>
        <v>0</v>
      </c>
      <c r="E8" s="74">
        <f>E9+E11+E14</f>
        <v>0</v>
      </c>
      <c r="F8" s="74">
        <f t="shared" si="0"/>
        <v>3350000</v>
      </c>
      <c r="G8" s="74">
        <f>G9+G11+G14</f>
        <v>3350000</v>
      </c>
      <c r="H8" s="74">
        <f>H9+H11+H14</f>
        <v>0</v>
      </c>
      <c r="I8" s="74">
        <f>I9+I11+I14</f>
        <v>0</v>
      </c>
      <c r="J8" s="74">
        <f t="shared" si="1"/>
        <v>3350000</v>
      </c>
      <c r="K8" s="74">
        <f>+K9+K11+K14+K23</f>
        <v>934023</v>
      </c>
      <c r="L8" s="76"/>
    </row>
    <row r="9" spans="1:12" x14ac:dyDescent="0.25">
      <c r="A9" s="77" t="s">
        <v>11</v>
      </c>
      <c r="B9" s="78" t="s">
        <v>12</v>
      </c>
      <c r="C9" s="79">
        <f>C10</f>
        <v>0</v>
      </c>
      <c r="D9" s="79">
        <f>D10</f>
        <v>0</v>
      </c>
      <c r="E9" s="79">
        <f>E10</f>
        <v>0</v>
      </c>
      <c r="F9" s="79">
        <f t="shared" si="0"/>
        <v>0</v>
      </c>
      <c r="G9" s="79">
        <f>G10</f>
        <v>0</v>
      </c>
      <c r="H9" s="79">
        <f>H10</f>
        <v>0</v>
      </c>
      <c r="I9" s="79">
        <f>I10</f>
        <v>0</v>
      </c>
      <c r="J9" s="79">
        <f t="shared" si="1"/>
        <v>0</v>
      </c>
      <c r="K9" s="79">
        <f>+K10</f>
        <v>0</v>
      </c>
    </row>
    <row r="10" spans="1:12" ht="30" x14ac:dyDescent="0.25">
      <c r="A10" s="81"/>
      <c r="B10" s="82" t="s">
        <v>529</v>
      </c>
      <c r="C10" s="87">
        <v>0</v>
      </c>
      <c r="D10" s="87">
        <v>0</v>
      </c>
      <c r="E10" s="87">
        <v>0</v>
      </c>
      <c r="F10" s="87">
        <f t="shared" si="0"/>
        <v>0</v>
      </c>
      <c r="G10" s="87">
        <v>0</v>
      </c>
      <c r="H10" s="87">
        <v>0</v>
      </c>
      <c r="I10" s="87">
        <v>0</v>
      </c>
      <c r="J10" s="87">
        <f t="shared" si="1"/>
        <v>0</v>
      </c>
      <c r="K10" s="87"/>
    </row>
    <row r="11" spans="1:12" x14ac:dyDescent="0.25">
      <c r="A11" s="77" t="s">
        <v>11</v>
      </c>
      <c r="B11" s="78" t="s">
        <v>15</v>
      </c>
      <c r="C11" s="79">
        <f>SUM(C12:C13)</f>
        <v>1000000</v>
      </c>
      <c r="D11" s="79">
        <f>SUM(D12:D13)</f>
        <v>0</v>
      </c>
      <c r="E11" s="79">
        <f>SUM(E12:E13)</f>
        <v>0</v>
      </c>
      <c r="F11" s="79">
        <f t="shared" si="0"/>
        <v>1000000</v>
      </c>
      <c r="G11" s="79">
        <f>SUM(G12:G13)</f>
        <v>1000000</v>
      </c>
      <c r="H11" s="79">
        <f>SUM(H12:H13)</f>
        <v>0</v>
      </c>
      <c r="I11" s="79">
        <f>SUM(I12:I13)</f>
        <v>0</v>
      </c>
      <c r="J11" s="79">
        <f t="shared" si="1"/>
        <v>1000000</v>
      </c>
      <c r="K11" s="79">
        <f>+K12+K13</f>
        <v>250000</v>
      </c>
    </row>
    <row r="12" spans="1:12" x14ac:dyDescent="0.25">
      <c r="A12" s="81"/>
      <c r="B12" s="93" t="s">
        <v>530</v>
      </c>
      <c r="C12" s="87">
        <v>1000000</v>
      </c>
      <c r="D12" s="87">
        <v>0</v>
      </c>
      <c r="E12" s="87">
        <v>0</v>
      </c>
      <c r="F12" s="87">
        <f t="shared" si="0"/>
        <v>1000000</v>
      </c>
      <c r="G12" s="87">
        <v>1000000</v>
      </c>
      <c r="H12" s="87">
        <v>0</v>
      </c>
      <c r="I12" s="87">
        <v>0</v>
      </c>
      <c r="J12" s="87">
        <f t="shared" si="1"/>
        <v>1000000</v>
      </c>
      <c r="K12" s="87">
        <v>250000</v>
      </c>
    </row>
    <row r="13" spans="1:12" x14ac:dyDescent="0.25">
      <c r="A13" s="81"/>
      <c r="B13" s="82" t="s">
        <v>531</v>
      </c>
      <c r="C13" s="87">
        <v>0</v>
      </c>
      <c r="D13" s="87">
        <v>0</v>
      </c>
      <c r="E13" s="87">
        <v>0</v>
      </c>
      <c r="F13" s="87">
        <f t="shared" si="0"/>
        <v>0</v>
      </c>
      <c r="G13" s="87">
        <v>0</v>
      </c>
      <c r="H13" s="87">
        <v>0</v>
      </c>
      <c r="I13" s="87">
        <v>0</v>
      </c>
      <c r="J13" s="87">
        <f t="shared" si="1"/>
        <v>0</v>
      </c>
      <c r="K13" s="87"/>
    </row>
    <row r="14" spans="1:12" x14ac:dyDescent="0.25">
      <c r="A14" s="77" t="s">
        <v>14</v>
      </c>
      <c r="B14" s="78" t="s">
        <v>18</v>
      </c>
      <c r="C14" s="79">
        <f>SUM(C15:C22)</f>
        <v>2350000</v>
      </c>
      <c r="D14" s="79">
        <f>SUM(D15:D22)</f>
        <v>0</v>
      </c>
      <c r="E14" s="79">
        <f>SUM(E15:E22)</f>
        <v>0</v>
      </c>
      <c r="F14" s="79">
        <f t="shared" si="0"/>
        <v>2350000</v>
      </c>
      <c r="G14" s="79">
        <f>SUM(G15:G22)</f>
        <v>2350000</v>
      </c>
      <c r="H14" s="79">
        <f>SUM(H15:H22)</f>
        <v>0</v>
      </c>
      <c r="I14" s="79">
        <f>SUM(I15:I22)</f>
        <v>0</v>
      </c>
      <c r="J14" s="79">
        <f t="shared" si="1"/>
        <v>2350000</v>
      </c>
      <c r="K14" s="79">
        <f>SUM(K15:K22)</f>
        <v>684023</v>
      </c>
    </row>
    <row r="15" spans="1:12" x14ac:dyDescent="0.25">
      <c r="A15" s="81"/>
      <c r="B15" s="82" t="s">
        <v>532</v>
      </c>
      <c r="C15" s="87">
        <f>[6]PH!W181</f>
        <v>0</v>
      </c>
      <c r="D15" s="87">
        <f>[6]PH!X181</f>
        <v>0</v>
      </c>
      <c r="E15" s="87">
        <f>[6]PH!Y181</f>
        <v>0</v>
      </c>
      <c r="F15" s="87">
        <f t="shared" si="0"/>
        <v>0</v>
      </c>
      <c r="G15" s="87">
        <f>[6]PH!AA181</f>
        <v>0</v>
      </c>
      <c r="H15" s="87">
        <f>[6]PH!AB181</f>
        <v>0</v>
      </c>
      <c r="I15" s="87">
        <f>[6]PH!AC181</f>
        <v>0</v>
      </c>
      <c r="J15" s="87">
        <f t="shared" si="1"/>
        <v>0</v>
      </c>
      <c r="K15" s="87"/>
    </row>
    <row r="16" spans="1:12" x14ac:dyDescent="0.25">
      <c r="A16" s="81"/>
      <c r="B16" s="82" t="s">
        <v>533</v>
      </c>
      <c r="C16" s="87">
        <v>2000000</v>
      </c>
      <c r="D16" s="87">
        <v>0</v>
      </c>
      <c r="E16" s="87">
        <v>0</v>
      </c>
      <c r="F16" s="87">
        <f t="shared" si="0"/>
        <v>2000000</v>
      </c>
      <c r="G16" s="87">
        <v>2000000</v>
      </c>
      <c r="H16" s="87">
        <v>0</v>
      </c>
      <c r="I16" s="87">
        <v>0</v>
      </c>
      <c r="J16" s="87">
        <f t="shared" si="1"/>
        <v>2000000</v>
      </c>
      <c r="K16" s="87">
        <v>465785</v>
      </c>
    </row>
    <row r="17" spans="1:12" x14ac:dyDescent="0.25">
      <c r="A17" s="81"/>
      <c r="B17" s="82" t="s">
        <v>534</v>
      </c>
      <c r="C17" s="87">
        <f>[6]PH!W184</f>
        <v>0</v>
      </c>
      <c r="D17" s="87">
        <f>[6]PH!X184</f>
        <v>0</v>
      </c>
      <c r="E17" s="87">
        <f>[6]PH!Y184</f>
        <v>0</v>
      </c>
      <c r="F17" s="87">
        <f t="shared" si="0"/>
        <v>0</v>
      </c>
      <c r="G17" s="87">
        <f>[6]PH!AA184</f>
        <v>0</v>
      </c>
      <c r="H17" s="87">
        <f>[6]PH!AB184</f>
        <v>0</v>
      </c>
      <c r="I17" s="87">
        <f>[6]PH!AC184</f>
        <v>0</v>
      </c>
      <c r="J17" s="87">
        <f t="shared" si="1"/>
        <v>0</v>
      </c>
      <c r="K17" s="87"/>
    </row>
    <row r="18" spans="1:12" x14ac:dyDescent="0.25">
      <c r="A18" s="81"/>
      <c r="B18" s="82" t="s">
        <v>535</v>
      </c>
      <c r="C18" s="87">
        <f>[6]PH!W185</f>
        <v>0</v>
      </c>
      <c r="D18" s="87">
        <f>[6]PH!X185</f>
        <v>0</v>
      </c>
      <c r="E18" s="87">
        <f>[6]PH!Y185</f>
        <v>0</v>
      </c>
      <c r="F18" s="87">
        <f t="shared" si="0"/>
        <v>0</v>
      </c>
      <c r="G18" s="87">
        <f>[6]PH!AA185</f>
        <v>0</v>
      </c>
      <c r="H18" s="87">
        <f>[6]PH!AB185</f>
        <v>0</v>
      </c>
      <c r="I18" s="87">
        <f>[6]PH!AC185</f>
        <v>0</v>
      </c>
      <c r="J18" s="87">
        <f t="shared" si="1"/>
        <v>0</v>
      </c>
      <c r="K18" s="87">
        <v>66764</v>
      </c>
    </row>
    <row r="19" spans="1:12" x14ac:dyDescent="0.25">
      <c r="A19" s="81"/>
      <c r="B19" s="82" t="s">
        <v>536</v>
      </c>
      <c r="C19" s="87">
        <v>350000</v>
      </c>
      <c r="D19" s="87">
        <v>0</v>
      </c>
      <c r="E19" s="87">
        <v>0</v>
      </c>
      <c r="F19" s="87">
        <f t="shared" si="0"/>
        <v>350000</v>
      </c>
      <c r="G19" s="87">
        <v>350000</v>
      </c>
      <c r="H19" s="87">
        <v>0</v>
      </c>
      <c r="I19" s="87">
        <v>0</v>
      </c>
      <c r="J19" s="87">
        <f t="shared" si="1"/>
        <v>350000</v>
      </c>
      <c r="K19" s="87"/>
    </row>
    <row r="20" spans="1:12" x14ac:dyDescent="0.25">
      <c r="A20" s="81"/>
      <c r="B20" s="82" t="s">
        <v>537</v>
      </c>
      <c r="C20" s="87">
        <f>[6]PH!W187</f>
        <v>0</v>
      </c>
      <c r="D20" s="87">
        <f>[6]PH!X187</f>
        <v>0</v>
      </c>
      <c r="E20" s="87">
        <f>[6]PH!Y187</f>
        <v>0</v>
      </c>
      <c r="F20" s="87">
        <f t="shared" si="0"/>
        <v>0</v>
      </c>
      <c r="G20" s="87">
        <f>[6]PH!AA187</f>
        <v>0</v>
      </c>
      <c r="H20" s="87">
        <f>[6]PH!AB187</f>
        <v>0</v>
      </c>
      <c r="I20" s="87">
        <f>[6]PH!AC187</f>
        <v>0</v>
      </c>
      <c r="J20" s="87">
        <f t="shared" si="1"/>
        <v>0</v>
      </c>
      <c r="K20" s="87"/>
    </row>
    <row r="21" spans="1:12" x14ac:dyDescent="0.25">
      <c r="A21" s="81"/>
      <c r="B21" s="82" t="s">
        <v>538</v>
      </c>
      <c r="C21" s="87">
        <f>[6]PH!W188</f>
        <v>0</v>
      </c>
      <c r="D21" s="87">
        <f>[6]PH!X188</f>
        <v>0</v>
      </c>
      <c r="E21" s="87">
        <f>[6]PH!Y188</f>
        <v>0</v>
      </c>
      <c r="F21" s="87">
        <f t="shared" si="0"/>
        <v>0</v>
      </c>
      <c r="G21" s="87">
        <f>[6]PH!AA188</f>
        <v>0</v>
      </c>
      <c r="H21" s="87">
        <f>[6]PH!AB188</f>
        <v>0</v>
      </c>
      <c r="I21" s="87">
        <f>[6]PH!AC188</f>
        <v>0</v>
      </c>
      <c r="J21" s="87">
        <f t="shared" si="1"/>
        <v>0</v>
      </c>
      <c r="K21" s="87"/>
    </row>
    <row r="22" spans="1:12" x14ac:dyDescent="0.25">
      <c r="A22" s="81"/>
      <c r="B22" s="82" t="s">
        <v>539</v>
      </c>
      <c r="C22" s="87">
        <f>[6]PH!W190</f>
        <v>0</v>
      </c>
      <c r="D22" s="87">
        <f>[6]PH!X190</f>
        <v>0</v>
      </c>
      <c r="E22" s="87">
        <f>[6]PH!Y190</f>
        <v>0</v>
      </c>
      <c r="F22" s="87">
        <f t="shared" si="0"/>
        <v>0</v>
      </c>
      <c r="G22" s="87">
        <v>0</v>
      </c>
      <c r="H22" s="87">
        <f>[6]PH!AB190</f>
        <v>0</v>
      </c>
      <c r="I22" s="87">
        <f>[6]PH!AC190</f>
        <v>0</v>
      </c>
      <c r="J22" s="87">
        <f t="shared" si="1"/>
        <v>0</v>
      </c>
      <c r="K22" s="87">
        <v>151474</v>
      </c>
    </row>
    <row r="23" spans="1:12" x14ac:dyDescent="0.25">
      <c r="A23" s="77" t="s">
        <v>17</v>
      </c>
      <c r="B23" s="78" t="s">
        <v>21</v>
      </c>
      <c r="C23" s="79">
        <f>SUM(C24:C24)</f>
        <v>0</v>
      </c>
      <c r="D23" s="79">
        <f>SUM(D24:D24)</f>
        <v>0</v>
      </c>
      <c r="E23" s="79">
        <f>SUM(E24:E24)</f>
        <v>0</v>
      </c>
      <c r="F23" s="79">
        <f t="shared" si="0"/>
        <v>0</v>
      </c>
      <c r="G23" s="79">
        <f>SUM(G24:G24)</f>
        <v>0</v>
      </c>
      <c r="H23" s="79">
        <f>SUM(H24:H24)</f>
        <v>0</v>
      </c>
      <c r="I23" s="79">
        <f>SUM(I24:I24)</f>
        <v>0</v>
      </c>
      <c r="J23" s="79">
        <f t="shared" si="1"/>
        <v>0</v>
      </c>
      <c r="K23" s="79">
        <f>+K24</f>
        <v>0</v>
      </c>
    </row>
    <row r="24" spans="1:12" x14ac:dyDescent="0.25">
      <c r="A24" s="81"/>
      <c r="B24" s="82" t="s">
        <v>540</v>
      </c>
      <c r="C24" s="87">
        <v>0</v>
      </c>
      <c r="D24" s="87">
        <v>0</v>
      </c>
      <c r="E24" s="87">
        <v>0</v>
      </c>
      <c r="F24" s="87">
        <f t="shared" si="0"/>
        <v>0</v>
      </c>
      <c r="G24" s="87">
        <v>0</v>
      </c>
      <c r="H24" s="87">
        <v>0</v>
      </c>
      <c r="I24" s="87">
        <v>0</v>
      </c>
      <c r="J24" s="87">
        <f t="shared" si="1"/>
        <v>0</v>
      </c>
      <c r="K24" s="87">
        <v>0</v>
      </c>
    </row>
    <row r="25" spans="1:12" x14ac:dyDescent="0.25">
      <c r="A25" s="72" t="s">
        <v>27</v>
      </c>
      <c r="B25" s="73" t="s">
        <v>28</v>
      </c>
      <c r="C25" s="74">
        <f>C26+C28+C31</f>
        <v>0</v>
      </c>
      <c r="D25" s="74">
        <f>D26+D28+D31</f>
        <v>0</v>
      </c>
      <c r="E25" s="74">
        <f>E26+E28+E31</f>
        <v>0</v>
      </c>
      <c r="F25" s="74">
        <f t="shared" si="0"/>
        <v>0</v>
      </c>
      <c r="G25" s="74">
        <f>G26+G28+G31</f>
        <v>0</v>
      </c>
      <c r="H25" s="74">
        <f>H26+H28+H31</f>
        <v>0</v>
      </c>
      <c r="I25" s="74">
        <f>I26+I28+I31</f>
        <v>0</v>
      </c>
      <c r="J25" s="74">
        <f t="shared" si="1"/>
        <v>0</v>
      </c>
      <c r="K25" s="74">
        <f>+K26+K28+K31</f>
        <v>0</v>
      </c>
      <c r="L25" s="76"/>
    </row>
    <row r="26" spans="1:12" ht="30" x14ac:dyDescent="0.25">
      <c r="A26" s="77" t="s">
        <v>11</v>
      </c>
      <c r="B26" s="78" t="s">
        <v>30</v>
      </c>
      <c r="C26" s="79">
        <f>SUM(C27:C27)</f>
        <v>0</v>
      </c>
      <c r="D26" s="79">
        <f>SUM(D27:D27)</f>
        <v>0</v>
      </c>
      <c r="E26" s="79">
        <f>SUM(E27:E27)</f>
        <v>0</v>
      </c>
      <c r="F26" s="79">
        <f t="shared" si="0"/>
        <v>0</v>
      </c>
      <c r="G26" s="79">
        <f>SUM(G27:G27)</f>
        <v>0</v>
      </c>
      <c r="H26" s="79">
        <f>SUM(H27:H27)</f>
        <v>0</v>
      </c>
      <c r="I26" s="79">
        <f>SUM(I27:I27)</f>
        <v>0</v>
      </c>
      <c r="J26" s="79">
        <f t="shared" si="1"/>
        <v>0</v>
      </c>
      <c r="K26" s="79">
        <f>+K27</f>
        <v>0</v>
      </c>
    </row>
    <row r="27" spans="1:12" ht="30" x14ac:dyDescent="0.25">
      <c r="A27" s="81"/>
      <c r="B27" s="12" t="s">
        <v>541</v>
      </c>
      <c r="C27" s="87">
        <v>0</v>
      </c>
      <c r="D27" s="87">
        <v>0</v>
      </c>
      <c r="E27" s="87">
        <v>0</v>
      </c>
      <c r="F27" s="87">
        <f t="shared" si="0"/>
        <v>0</v>
      </c>
      <c r="G27" s="87">
        <v>0</v>
      </c>
      <c r="H27" s="87">
        <v>0</v>
      </c>
      <c r="I27" s="87">
        <v>0</v>
      </c>
      <c r="J27" s="87">
        <f t="shared" si="1"/>
        <v>0</v>
      </c>
      <c r="K27" s="87"/>
    </row>
    <row r="28" spans="1:12" x14ac:dyDescent="0.25">
      <c r="A28" s="77" t="s">
        <v>14</v>
      </c>
      <c r="B28" s="78" t="s">
        <v>32</v>
      </c>
      <c r="C28" s="79">
        <f>SUM(C29:C30)</f>
        <v>0</v>
      </c>
      <c r="D28" s="79">
        <f>SUM(D29:D30)</f>
        <v>0</v>
      </c>
      <c r="E28" s="79">
        <f>SUM(E29:E30)</f>
        <v>0</v>
      </c>
      <c r="F28" s="79">
        <f t="shared" si="0"/>
        <v>0</v>
      </c>
      <c r="G28" s="79">
        <f>SUM(G29:G30)</f>
        <v>0</v>
      </c>
      <c r="H28" s="79">
        <f>SUM(H29:H30)</f>
        <v>0</v>
      </c>
      <c r="I28" s="79">
        <f>SUM(I29:I30)</f>
        <v>0</v>
      </c>
      <c r="J28" s="79">
        <f t="shared" si="1"/>
        <v>0</v>
      </c>
      <c r="K28" s="79">
        <v>0</v>
      </c>
    </row>
    <row r="29" spans="1:12" hidden="1" x14ac:dyDescent="0.25">
      <c r="A29" s="81"/>
      <c r="B29" s="12" t="s">
        <v>89</v>
      </c>
      <c r="C29" s="87">
        <v>0</v>
      </c>
      <c r="D29" s="87">
        <v>0</v>
      </c>
      <c r="E29" s="87">
        <v>0</v>
      </c>
      <c r="F29" s="87">
        <f t="shared" si="0"/>
        <v>0</v>
      </c>
      <c r="G29" s="87">
        <v>0</v>
      </c>
      <c r="H29" s="87">
        <v>0</v>
      </c>
      <c r="I29" s="87">
        <v>0</v>
      </c>
      <c r="J29" s="87">
        <f t="shared" si="1"/>
        <v>0</v>
      </c>
      <c r="K29" s="87">
        <f t="shared" si="1"/>
        <v>0</v>
      </c>
    </row>
    <row r="30" spans="1:12" hidden="1" x14ac:dyDescent="0.25">
      <c r="A30" s="81"/>
      <c r="B30" s="12" t="s">
        <v>542</v>
      </c>
      <c r="C30" s="87">
        <v>0</v>
      </c>
      <c r="D30" s="87">
        <v>0</v>
      </c>
      <c r="E30" s="87">
        <v>0</v>
      </c>
      <c r="F30" s="87">
        <f t="shared" si="0"/>
        <v>0</v>
      </c>
      <c r="G30" s="87">
        <v>0</v>
      </c>
      <c r="H30" s="87">
        <v>0</v>
      </c>
      <c r="I30" s="87">
        <v>0</v>
      </c>
      <c r="J30" s="87">
        <f t="shared" si="1"/>
        <v>0</v>
      </c>
      <c r="K30" s="87">
        <f t="shared" si="1"/>
        <v>0</v>
      </c>
    </row>
    <row r="31" spans="1:12" x14ac:dyDescent="0.25">
      <c r="A31" s="77" t="s">
        <v>17</v>
      </c>
      <c r="B31" s="78" t="s">
        <v>34</v>
      </c>
      <c r="C31" s="79">
        <f>SUM(C32:C32)</f>
        <v>0</v>
      </c>
      <c r="D31" s="79">
        <f>SUM(D32:D32)</f>
        <v>0</v>
      </c>
      <c r="E31" s="79">
        <f>SUM(E32:E32)</f>
        <v>0</v>
      </c>
      <c r="F31" s="79">
        <f t="shared" si="0"/>
        <v>0</v>
      </c>
      <c r="G31" s="79">
        <f>SUM(G32:G32)</f>
        <v>0</v>
      </c>
      <c r="H31" s="79">
        <f>SUM(H32:H32)</f>
        <v>0</v>
      </c>
      <c r="I31" s="79">
        <f>SUM(I32:I32)</f>
        <v>0</v>
      </c>
      <c r="J31" s="79">
        <f t="shared" si="1"/>
        <v>0</v>
      </c>
      <c r="K31" s="79">
        <v>0</v>
      </c>
    </row>
    <row r="32" spans="1:12" hidden="1" x14ac:dyDescent="0.25">
      <c r="A32" s="81"/>
      <c r="B32" s="12" t="s">
        <v>543</v>
      </c>
      <c r="C32" s="87">
        <v>0</v>
      </c>
      <c r="D32" s="87">
        <v>0</v>
      </c>
      <c r="E32" s="87">
        <v>0</v>
      </c>
      <c r="F32" s="87">
        <f t="shared" si="0"/>
        <v>0</v>
      </c>
      <c r="G32" s="87">
        <v>0</v>
      </c>
      <c r="H32" s="87">
        <v>0</v>
      </c>
      <c r="I32" s="87">
        <v>0</v>
      </c>
      <c r="J32" s="87">
        <f t="shared" si="1"/>
        <v>0</v>
      </c>
      <c r="K32" s="87">
        <f t="shared" si="1"/>
        <v>0</v>
      </c>
    </row>
    <row r="33" spans="1:12" x14ac:dyDescent="0.25">
      <c r="A33" s="2"/>
      <c r="B33" s="91" t="s">
        <v>38</v>
      </c>
      <c r="C33" s="26">
        <f>C25+C8</f>
        <v>3350000</v>
      </c>
      <c r="D33" s="26">
        <f>D25+D8</f>
        <v>0</v>
      </c>
      <c r="E33" s="26">
        <f>E25+E8</f>
        <v>0</v>
      </c>
      <c r="F33" s="26">
        <f t="shared" si="0"/>
        <v>3350000</v>
      </c>
      <c r="G33" s="26">
        <f>G25+G8</f>
        <v>3350000</v>
      </c>
      <c r="H33" s="26">
        <f>H25+H8</f>
        <v>0</v>
      </c>
      <c r="I33" s="26">
        <f>I25+I8</f>
        <v>0</v>
      </c>
      <c r="J33" s="26">
        <f t="shared" si="1"/>
        <v>3350000</v>
      </c>
      <c r="K33" s="26">
        <f>+K25+K8</f>
        <v>934023</v>
      </c>
    </row>
    <row r="34" spans="1:12" x14ac:dyDescent="0.25">
      <c r="A34" s="72" t="s">
        <v>42</v>
      </c>
      <c r="B34" s="73" t="s">
        <v>43</v>
      </c>
      <c r="C34" s="74">
        <f>C35</f>
        <v>784557000</v>
      </c>
      <c r="D34" s="74">
        <f>D35</f>
        <v>31760000</v>
      </c>
      <c r="E34" s="74">
        <f>E35</f>
        <v>1229000</v>
      </c>
      <c r="F34" s="74">
        <f t="shared" si="0"/>
        <v>817546000</v>
      </c>
      <c r="G34" s="74">
        <f>G35</f>
        <v>852661827</v>
      </c>
      <c r="H34" s="74">
        <f>H35</f>
        <v>31760000</v>
      </c>
      <c r="I34" s="74">
        <f>I35</f>
        <v>1229000</v>
      </c>
      <c r="J34" s="74">
        <f t="shared" si="1"/>
        <v>885650827</v>
      </c>
      <c r="K34" s="74">
        <f>+K35</f>
        <v>250723144</v>
      </c>
      <c r="L34" s="76"/>
    </row>
    <row r="35" spans="1:12" x14ac:dyDescent="0.25">
      <c r="A35" s="77" t="s">
        <v>11</v>
      </c>
      <c r="B35" s="78" t="s">
        <v>53</v>
      </c>
      <c r="C35" s="79">
        <f>SUM(C36:C37)</f>
        <v>784557000</v>
      </c>
      <c r="D35" s="79">
        <f>SUM(D36:D37)</f>
        <v>31760000</v>
      </c>
      <c r="E35" s="79">
        <f>SUM(E36:E37)</f>
        <v>1229000</v>
      </c>
      <c r="F35" s="79">
        <f t="shared" si="0"/>
        <v>817546000</v>
      </c>
      <c r="G35" s="79">
        <f>SUM(G36:G37)</f>
        <v>852661827</v>
      </c>
      <c r="H35" s="79">
        <f>SUM(H36:H37)</f>
        <v>31760000</v>
      </c>
      <c r="I35" s="79">
        <f>SUM(I36:I37)</f>
        <v>1229000</v>
      </c>
      <c r="J35" s="79">
        <f t="shared" si="1"/>
        <v>885650827</v>
      </c>
      <c r="K35" s="79">
        <f>+K36+K37</f>
        <v>250723144</v>
      </c>
      <c r="L35" s="76"/>
    </row>
    <row r="36" spans="1:12" x14ac:dyDescent="0.25">
      <c r="A36" s="81"/>
      <c r="B36" s="12" t="s">
        <v>514</v>
      </c>
      <c r="C36" s="87">
        <v>0</v>
      </c>
      <c r="D36" s="87">
        <v>0</v>
      </c>
      <c r="E36" s="87">
        <v>0</v>
      </c>
      <c r="F36" s="87">
        <f t="shared" si="0"/>
        <v>0</v>
      </c>
      <c r="G36" s="87">
        <v>43104827</v>
      </c>
      <c r="H36" s="87">
        <v>0</v>
      </c>
      <c r="I36" s="87">
        <v>0</v>
      </c>
      <c r="J36" s="87">
        <f t="shared" si="1"/>
        <v>43104827</v>
      </c>
      <c r="K36" s="87"/>
    </row>
    <row r="37" spans="1:12" x14ac:dyDescent="0.25">
      <c r="A37" s="81"/>
      <c r="B37" s="12" t="s">
        <v>544</v>
      </c>
      <c r="C37" s="87">
        <f>C39+C45-C33-C36</f>
        <v>784557000</v>
      </c>
      <c r="D37" s="87">
        <f>D39+D45-D33-D36</f>
        <v>31760000</v>
      </c>
      <c r="E37" s="87">
        <f>E39+E45-E33-E36</f>
        <v>1229000</v>
      </c>
      <c r="F37" s="87">
        <f t="shared" si="0"/>
        <v>817546000</v>
      </c>
      <c r="G37" s="87">
        <f>G39+G45-G33-G36</f>
        <v>809557000</v>
      </c>
      <c r="H37" s="87">
        <f>H39+H45-H33-H36</f>
        <v>31760000</v>
      </c>
      <c r="I37" s="87">
        <f>I39+I45-I33-I36</f>
        <v>1229000</v>
      </c>
      <c r="J37" s="87">
        <f t="shared" si="1"/>
        <v>842546000</v>
      </c>
      <c r="K37" s="87">
        <v>250723144</v>
      </c>
      <c r="L37" s="76"/>
    </row>
    <row r="38" spans="1:12" x14ac:dyDescent="0.25">
      <c r="A38" s="95"/>
      <c r="B38" s="96" t="s">
        <v>57</v>
      </c>
      <c r="C38" s="36">
        <f>C34+C25+C8</f>
        <v>787907000</v>
      </c>
      <c r="D38" s="36">
        <f>D34+D25+D8</f>
        <v>31760000</v>
      </c>
      <c r="E38" s="36">
        <f>E34+E25+E8</f>
        <v>1229000</v>
      </c>
      <c r="F38" s="36">
        <f t="shared" si="0"/>
        <v>820896000</v>
      </c>
      <c r="G38" s="36">
        <f>G34+G25+G8</f>
        <v>856011827</v>
      </c>
      <c r="H38" s="36">
        <f>H34+H25+H8</f>
        <v>31760000</v>
      </c>
      <c r="I38" s="36">
        <f>I34+I25+I8</f>
        <v>1229000</v>
      </c>
      <c r="J38" s="36">
        <f t="shared" si="1"/>
        <v>889000827</v>
      </c>
      <c r="K38" s="36">
        <f>+K34+K25+K8</f>
        <v>251657167</v>
      </c>
    </row>
    <row r="39" spans="1:12" x14ac:dyDescent="0.25">
      <c r="A39" s="72" t="s">
        <v>8</v>
      </c>
      <c r="B39" s="73" t="s">
        <v>109</v>
      </c>
      <c r="C39" s="74">
        <f>SUM(C40:C44)</f>
        <v>779907000</v>
      </c>
      <c r="D39" s="74">
        <f>SUM(D40:D44)</f>
        <v>31760000</v>
      </c>
      <c r="E39" s="74">
        <f>SUM(E40:E44)</f>
        <v>1229000</v>
      </c>
      <c r="F39" s="74">
        <f t="shared" si="0"/>
        <v>812896000</v>
      </c>
      <c r="G39" s="74">
        <f>SUM(G40:G44)</f>
        <v>848011827</v>
      </c>
      <c r="H39" s="74">
        <f>SUM(H40:H44)</f>
        <v>31760000</v>
      </c>
      <c r="I39" s="74">
        <f>SUM(I40:I44)</f>
        <v>1229000</v>
      </c>
      <c r="J39" s="74">
        <f t="shared" si="1"/>
        <v>881000827</v>
      </c>
      <c r="K39" s="74">
        <f>+K40+K41+K42+K43+K44</f>
        <v>267535257</v>
      </c>
      <c r="L39" s="76"/>
    </row>
    <row r="40" spans="1:12" x14ac:dyDescent="0.25">
      <c r="A40" s="77" t="s">
        <v>11</v>
      </c>
      <c r="B40" s="78" t="s">
        <v>13</v>
      </c>
      <c r="C40" s="79">
        <f>'[6]3B PH fel'!F7+'[6]3B PH fel'!F13</f>
        <v>481833000</v>
      </c>
      <c r="D40" s="79">
        <f>'[6]3B PH fel'!F19+'[6]3B PH fel'!F24</f>
        <v>22593000</v>
      </c>
      <c r="E40" s="79">
        <f>'[6]3B PH fel'!F32</f>
        <v>40000</v>
      </c>
      <c r="F40" s="79">
        <f t="shared" si="0"/>
        <v>504466000</v>
      </c>
      <c r="G40" s="79">
        <f>'[6]3B PH fel'!J7+'[6]3B PH fel'!J13</f>
        <v>523148724</v>
      </c>
      <c r="H40" s="79">
        <f>'[6]3B PH fel'!J19+'[6]3B PH fel'!J24</f>
        <v>22593000</v>
      </c>
      <c r="I40" s="79">
        <f>'[6]3B PH fel'!J32</f>
        <v>40000</v>
      </c>
      <c r="J40" s="79">
        <f t="shared" si="1"/>
        <v>545781724</v>
      </c>
      <c r="K40" s="79">
        <f>'[6]3B PH fel'!K7+'[6]3B PH fel'!K13+'[6]3B PH fel'!K19+'[6]3B PH fel'!K24+'[6]3B PH fel'!K32</f>
        <v>174095666</v>
      </c>
      <c r="L40" s="76"/>
    </row>
    <row r="41" spans="1:12" ht="30" x14ac:dyDescent="0.25">
      <c r="A41" s="77" t="s">
        <v>14</v>
      </c>
      <c r="B41" s="78" t="s">
        <v>16</v>
      </c>
      <c r="C41" s="79">
        <f>'[6]3B PH fel'!F8+'[6]3B PH fel'!F14</f>
        <v>96143000</v>
      </c>
      <c r="D41" s="79">
        <f>'[6]3B PH fel'!F20+'[6]3B PH fel'!F25</f>
        <v>4293000</v>
      </c>
      <c r="E41" s="79">
        <f>'[6]3B PH fel'!F33</f>
        <v>16000</v>
      </c>
      <c r="F41" s="79">
        <f t="shared" si="0"/>
        <v>100452000</v>
      </c>
      <c r="G41" s="79">
        <f>'[6]3B PH fel'!J8+'[6]3B PH fel'!J14</f>
        <v>103366000</v>
      </c>
      <c r="H41" s="79">
        <f>'[6]3B PH fel'!J20+'[6]3B PH fel'!J25</f>
        <v>4293000</v>
      </c>
      <c r="I41" s="79">
        <f>'[6]3B PH fel'!J33</f>
        <v>16000</v>
      </c>
      <c r="J41" s="79">
        <f t="shared" si="1"/>
        <v>107675000</v>
      </c>
      <c r="K41" s="79">
        <f>'[6]3B PH fel'!K8+'[6]3B PH fel'!K14+'[6]3B PH fel'!K20+'[6]3B PH fel'!K25+'[6]3B PH fel'!K33</f>
        <v>32528385</v>
      </c>
      <c r="L41" s="76"/>
    </row>
    <row r="42" spans="1:12" x14ac:dyDescent="0.25">
      <c r="A42" s="77" t="s">
        <v>17</v>
      </c>
      <c r="B42" s="78" t="s">
        <v>19</v>
      </c>
      <c r="C42" s="79">
        <f>'[6]3B PH fel'!F9+'[6]3B PH fel'!F15</f>
        <v>201931000</v>
      </c>
      <c r="D42" s="79">
        <f>'[6]3B PH fel'!F21+'[6]3B PH fel'!F26</f>
        <v>4874000</v>
      </c>
      <c r="E42" s="79">
        <f>'[6]3B PH fel'!F34</f>
        <v>1173000</v>
      </c>
      <c r="F42" s="80">
        <f t="shared" si="0"/>
        <v>207978000</v>
      </c>
      <c r="G42" s="79">
        <f>'[6]3B PH fel'!J9+'[6]3B PH fel'!J15</f>
        <v>205619800</v>
      </c>
      <c r="H42" s="79">
        <f>'[6]3B PH fel'!J21+'[6]3B PH fel'!J26</f>
        <v>4874000</v>
      </c>
      <c r="I42" s="79">
        <f>'[6]3B PH fel'!J34</f>
        <v>1173000</v>
      </c>
      <c r="J42" s="80">
        <f t="shared" si="1"/>
        <v>211666800</v>
      </c>
      <c r="K42" s="79">
        <f>'[6]3B PH fel'!K9+'[6]3B PH fel'!K15+'[6]3B PH fel'!K21+'[6]3B PH fel'!K26+'[6]3B PH fel'!K34</f>
        <v>60911206</v>
      </c>
      <c r="L42" s="76"/>
    </row>
    <row r="43" spans="1:12" x14ac:dyDescent="0.25">
      <c r="A43" s="77" t="s">
        <v>20</v>
      </c>
      <c r="B43" s="78" t="s">
        <v>22</v>
      </c>
      <c r="C43" s="79">
        <f>'[6]3B PH fel'!C41</f>
        <v>0</v>
      </c>
      <c r="D43" s="79">
        <f>'[6]3B PH fel'!D41</f>
        <v>0</v>
      </c>
      <c r="E43" s="79">
        <f>'[6]3B PH fel'!E41</f>
        <v>0</v>
      </c>
      <c r="F43" s="79">
        <f t="shared" si="0"/>
        <v>0</v>
      </c>
      <c r="G43" s="79">
        <f>'[6]3B PH fel'!G41</f>
        <v>0</v>
      </c>
      <c r="H43" s="79">
        <f>'[6]3B PH fel'!H41</f>
        <v>0</v>
      </c>
      <c r="I43" s="79">
        <f>'[6]3B PH fel'!I41</f>
        <v>0</v>
      </c>
      <c r="J43" s="79">
        <f t="shared" si="1"/>
        <v>0</v>
      </c>
      <c r="K43" s="79">
        <v>0</v>
      </c>
    </row>
    <row r="44" spans="1:12" x14ac:dyDescent="0.25">
      <c r="A44" s="77" t="s">
        <v>23</v>
      </c>
      <c r="B44" s="78" t="s">
        <v>24</v>
      </c>
      <c r="C44" s="79">
        <f>'[6]3B PH fel'!C42</f>
        <v>0</v>
      </c>
      <c r="D44" s="79">
        <f>'[6]3B PH fel'!D42</f>
        <v>0</v>
      </c>
      <c r="E44" s="79">
        <f>'[6]3B PH fel'!E42</f>
        <v>0</v>
      </c>
      <c r="F44" s="79">
        <f t="shared" si="0"/>
        <v>0</v>
      </c>
      <c r="G44" s="79">
        <f>'[6]3B PH fel'!J10</f>
        <v>15877303</v>
      </c>
      <c r="H44" s="79">
        <f>'[6]3B PH fel'!H42</f>
        <v>0</v>
      </c>
      <c r="I44" s="79">
        <f>'[6]3B PH fel'!I42</f>
        <v>0</v>
      </c>
      <c r="J44" s="79">
        <f t="shared" si="1"/>
        <v>15877303</v>
      </c>
      <c r="K44" s="79">
        <v>0</v>
      </c>
    </row>
    <row r="45" spans="1:12" x14ac:dyDescent="0.25">
      <c r="A45" s="72" t="s">
        <v>27</v>
      </c>
      <c r="B45" s="73" t="s">
        <v>115</v>
      </c>
      <c r="C45" s="74">
        <f>SUM(C46:C48)</f>
        <v>8000000</v>
      </c>
      <c r="D45" s="74">
        <f>SUM(D46:D48)</f>
        <v>0</v>
      </c>
      <c r="E45" s="74">
        <f>SUM(E46:E48)</f>
        <v>0</v>
      </c>
      <c r="F45" s="74">
        <f t="shared" si="0"/>
        <v>8000000</v>
      </c>
      <c r="G45" s="74">
        <f>SUM(G46:G48)</f>
        <v>8000000</v>
      </c>
      <c r="H45" s="74">
        <f>SUM(H46:H48)</f>
        <v>0</v>
      </c>
      <c r="I45" s="74">
        <f>SUM(I46:I48)</f>
        <v>0</v>
      </c>
      <c r="J45" s="74">
        <f t="shared" si="1"/>
        <v>8000000</v>
      </c>
      <c r="K45" s="74">
        <f>SUM(K46:K48)</f>
        <v>869204</v>
      </c>
    </row>
    <row r="46" spans="1:12" x14ac:dyDescent="0.25">
      <c r="A46" s="77" t="s">
        <v>11</v>
      </c>
      <c r="B46" s="78" t="s">
        <v>545</v>
      </c>
      <c r="C46" s="79">
        <f>'[6]3B PH fel'!F11</f>
        <v>8000000</v>
      </c>
      <c r="D46" s="79">
        <f>'[6]3B PH fel'!F22+'[6]3B PH fel'!F27</f>
        <v>0</v>
      </c>
      <c r="E46" s="79">
        <f>'[6]3B PH fel'!E43</f>
        <v>0</v>
      </c>
      <c r="F46" s="80">
        <f t="shared" si="0"/>
        <v>8000000</v>
      </c>
      <c r="G46" s="79">
        <f>'[6]3B PH fel'!J11</f>
        <v>8000000</v>
      </c>
      <c r="H46" s="79">
        <f>'[6]3B PH fel'!J22+'[6]3B PH fel'!J27</f>
        <v>0</v>
      </c>
      <c r="I46" s="79">
        <f>'[6]3B PH fel'!I43</f>
        <v>0</v>
      </c>
      <c r="J46" s="80">
        <f t="shared" si="1"/>
        <v>8000000</v>
      </c>
      <c r="K46" s="79">
        <f>'[6]3B PH fel'!K11+'[6]3B PH fel'!K22+'[6]3B PH fel'!K27+'[6]3B PH fel'!K43</f>
        <v>869204</v>
      </c>
    </row>
    <row r="47" spans="1:12" x14ac:dyDescent="0.25">
      <c r="A47" s="77" t="s">
        <v>14</v>
      </c>
      <c r="B47" s="78" t="s">
        <v>33</v>
      </c>
      <c r="C47" s="79">
        <f>'[6]3B PH fel'!C44</f>
        <v>0</v>
      </c>
      <c r="D47" s="79">
        <f>'[6]3B PH fel'!D44</f>
        <v>0</v>
      </c>
      <c r="E47" s="79">
        <f>'[6]3B PH fel'!E44</f>
        <v>0</v>
      </c>
      <c r="F47" s="79">
        <f t="shared" si="0"/>
        <v>0</v>
      </c>
      <c r="G47" s="79">
        <f>'[6]3B PH fel'!G44</f>
        <v>0</v>
      </c>
      <c r="H47" s="79">
        <f>'[6]3B PH fel'!H44</f>
        <v>0</v>
      </c>
      <c r="I47" s="79">
        <f>'[6]3B PH fel'!I44</f>
        <v>0</v>
      </c>
      <c r="J47" s="79">
        <f t="shared" si="1"/>
        <v>0</v>
      </c>
      <c r="K47" s="79">
        <f>'[6]3B PH fel'!K44</f>
        <v>0</v>
      </c>
    </row>
    <row r="48" spans="1:12" x14ac:dyDescent="0.25">
      <c r="A48" s="77" t="s">
        <v>17</v>
      </c>
      <c r="B48" s="78" t="s">
        <v>35</v>
      </c>
      <c r="C48" s="79">
        <f>'[6]3B PH fel'!C45</f>
        <v>0</v>
      </c>
      <c r="D48" s="79">
        <f>'[6]3B PH fel'!D45</f>
        <v>0</v>
      </c>
      <c r="E48" s="79">
        <f>'[6]3B PH fel'!E45</f>
        <v>0</v>
      </c>
      <c r="F48" s="79">
        <f t="shared" si="0"/>
        <v>0</v>
      </c>
      <c r="G48" s="79">
        <f>'[6]3B PH fel'!G45</f>
        <v>0</v>
      </c>
      <c r="H48" s="79">
        <f>'[6]3B PH fel'!H45</f>
        <v>0</v>
      </c>
      <c r="I48" s="79">
        <f>'[6]3B PH fel'!I45</f>
        <v>0</v>
      </c>
      <c r="J48" s="79">
        <f t="shared" si="1"/>
        <v>0</v>
      </c>
      <c r="K48" s="79">
        <f>'[6]3B PH fel'!K45</f>
        <v>0</v>
      </c>
    </row>
    <row r="49" spans="1:11" x14ac:dyDescent="0.25">
      <c r="A49" s="95"/>
      <c r="B49" s="96" t="s">
        <v>58</v>
      </c>
      <c r="C49" s="36">
        <f>C39+C45</f>
        <v>787907000</v>
      </c>
      <c r="D49" s="36">
        <f>D39+D45</f>
        <v>31760000</v>
      </c>
      <c r="E49" s="36">
        <f>E39+E45</f>
        <v>1229000</v>
      </c>
      <c r="F49" s="36">
        <f t="shared" si="0"/>
        <v>820896000</v>
      </c>
      <c r="G49" s="36">
        <f>G39+G45</f>
        <v>856011827</v>
      </c>
      <c r="H49" s="36">
        <f>H39+H45</f>
        <v>31760000</v>
      </c>
      <c r="I49" s="36">
        <f>I39+I45</f>
        <v>1229000</v>
      </c>
      <c r="J49" s="36">
        <f t="shared" si="1"/>
        <v>889000827</v>
      </c>
      <c r="K49" s="36">
        <f>+K45+K39</f>
        <v>268404461</v>
      </c>
    </row>
    <row r="50" spans="1:11" x14ac:dyDescent="0.25">
      <c r="J50" s="76">
        <f>+J49-F49</f>
        <v>68104827</v>
      </c>
    </row>
  </sheetData>
  <mergeCells count="5">
    <mergeCell ref="A3:A4"/>
    <mergeCell ref="B3:B4"/>
    <mergeCell ref="C3:F3"/>
    <mergeCell ref="G3:J3"/>
    <mergeCell ref="K3:K4"/>
  </mergeCells>
  <printOptions horizontalCentered="1"/>
  <pageMargins left="0.31496062992125984" right="0.27559055118110237" top="0.64" bottom="0.32" header="0.17" footer="0.17"/>
  <pageSetup paperSize="9" scale="65" orientation="landscape" r:id="rId1"/>
  <headerFooter>
    <oddHeader>&amp;L3/A.  melléklet a ......./2020. (.................) önkormányzati rendelethez&amp;C&amp;"-,Félkövér"&amp;16
A Polgármesteri Hivatal 2020. évi bevételei és kiadásai jogcímenként és feladatonként</oddHeader>
    <oddFooter>&amp;C&amp;P&amp;R&amp;D,&amp;T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A508-130C-4620-A8C8-DDC399831AB7}">
  <dimension ref="A1:M46"/>
  <sheetViews>
    <sheetView view="pageBreakPreview" zoomScale="98" zoomScaleNormal="100" zoomScaleSheetLayoutView="98" workbookViewId="0">
      <selection activeCell="L1" sqref="L1:M1048576"/>
    </sheetView>
  </sheetViews>
  <sheetFormatPr defaultRowHeight="15" x14ac:dyDescent="0.25"/>
  <cols>
    <col min="1" max="1" width="7.7109375" style="266" bestFit="1" customWidth="1"/>
    <col min="2" max="2" width="41.85546875" style="267" customWidth="1"/>
    <col min="3" max="3" width="9" style="68" customWidth="1"/>
    <col min="4" max="4" width="8.28515625" style="68" customWidth="1"/>
    <col min="5" max="5" width="8" style="68" customWidth="1"/>
    <col min="6" max="6" width="13.140625" style="68" customWidth="1"/>
    <col min="7" max="8" width="7.42578125" style="68" customWidth="1"/>
    <col min="9" max="9" width="7.7109375" style="68" customWidth="1"/>
    <col min="10" max="10" width="13.140625" style="68" customWidth="1"/>
    <col min="11" max="11" width="14.7109375" style="68" hidden="1" customWidth="1"/>
    <col min="12" max="12" width="11.140625" style="68" bestFit="1" customWidth="1"/>
    <col min="13" max="13" width="11.85546875" style="68" bestFit="1" customWidth="1"/>
    <col min="14" max="16384" width="9.140625" style="68"/>
  </cols>
  <sheetData>
    <row r="1" spans="1:12" ht="15" customHeight="1" x14ac:dyDescent="0.25">
      <c r="F1" s="265"/>
      <c r="J1" s="265" t="s">
        <v>0</v>
      </c>
    </row>
    <row r="2" spans="1:12" ht="90" x14ac:dyDescent="0.25">
      <c r="A2" s="428" t="s">
        <v>371</v>
      </c>
      <c r="B2" s="428" t="s">
        <v>128</v>
      </c>
      <c r="C2" s="268" t="s">
        <v>546</v>
      </c>
      <c r="D2" s="268" t="s">
        <v>547</v>
      </c>
      <c r="E2" s="268" t="s">
        <v>548</v>
      </c>
      <c r="F2" s="4" t="s">
        <v>132</v>
      </c>
      <c r="G2" s="268" t="s">
        <v>546</v>
      </c>
      <c r="H2" s="268" t="s">
        <v>547</v>
      </c>
      <c r="I2" s="268" t="s">
        <v>548</v>
      </c>
      <c r="J2" s="4" t="s">
        <v>132</v>
      </c>
      <c r="K2" s="418" t="s">
        <v>60</v>
      </c>
    </row>
    <row r="3" spans="1:12" s="67" customFormat="1" ht="30.4" customHeight="1" x14ac:dyDescent="0.25">
      <c r="A3" s="429"/>
      <c r="B3" s="429"/>
      <c r="C3" s="419" t="s">
        <v>6</v>
      </c>
      <c r="D3" s="420"/>
      <c r="E3" s="420"/>
      <c r="F3" s="421"/>
      <c r="G3" s="419" t="s">
        <v>59</v>
      </c>
      <c r="H3" s="420"/>
      <c r="I3" s="420"/>
      <c r="J3" s="421"/>
      <c r="K3" s="418"/>
    </row>
    <row r="4" spans="1:12" s="67" customFormat="1" x14ac:dyDescent="0.25">
      <c r="A4" s="269" t="s">
        <v>14</v>
      </c>
      <c r="B4" s="270" t="s">
        <v>549</v>
      </c>
      <c r="C4" s="271">
        <f>+C5+C17</f>
        <v>84</v>
      </c>
      <c r="D4" s="271">
        <v>0</v>
      </c>
      <c r="E4" s="271">
        <v>7</v>
      </c>
      <c r="F4" s="36">
        <f>+F5+F17+F28</f>
        <v>820896000</v>
      </c>
      <c r="G4" s="271">
        <f>+G5+G17</f>
        <v>84</v>
      </c>
      <c r="H4" s="271">
        <v>0</v>
      </c>
      <c r="I4" s="271">
        <v>7</v>
      </c>
      <c r="J4" s="36">
        <f>+J5+J17+J28</f>
        <v>889000827</v>
      </c>
      <c r="K4" s="36">
        <f>+K5+K17+K28</f>
        <v>268404461</v>
      </c>
      <c r="L4" s="272"/>
    </row>
    <row r="5" spans="1:12" x14ac:dyDescent="0.25">
      <c r="A5" s="215" t="s">
        <v>8</v>
      </c>
      <c r="B5" s="174" t="s">
        <v>134</v>
      </c>
      <c r="C5" s="273">
        <f>+C6</f>
        <v>79</v>
      </c>
      <c r="D5" s="273">
        <v>0</v>
      </c>
      <c r="E5" s="273">
        <v>7</v>
      </c>
      <c r="F5" s="175">
        <f>+F6+F12</f>
        <v>787907000</v>
      </c>
      <c r="G5" s="273">
        <f>+G6</f>
        <v>79</v>
      </c>
      <c r="H5" s="273">
        <v>0</v>
      </c>
      <c r="I5" s="273">
        <v>7</v>
      </c>
      <c r="J5" s="175">
        <f>+J6+J12</f>
        <v>856011827</v>
      </c>
      <c r="K5" s="175">
        <f>+K6+K12</f>
        <v>255798551</v>
      </c>
    </row>
    <row r="6" spans="1:12" x14ac:dyDescent="0.25">
      <c r="A6" s="274" t="s">
        <v>11</v>
      </c>
      <c r="B6" s="275" t="s">
        <v>550</v>
      </c>
      <c r="C6" s="276">
        <f>74+5</f>
        <v>79</v>
      </c>
      <c r="D6" s="276"/>
      <c r="E6" s="276">
        <v>7</v>
      </c>
      <c r="F6" s="277">
        <f>SUM(F7:F11)</f>
        <v>787907000</v>
      </c>
      <c r="G6" s="276">
        <f>74+5</f>
        <v>79</v>
      </c>
      <c r="H6" s="276"/>
      <c r="I6" s="276">
        <v>7</v>
      </c>
      <c r="J6" s="277">
        <f>SUM(J7:J11)</f>
        <v>856011827</v>
      </c>
      <c r="K6" s="277">
        <f>SUM(K7:K11)</f>
        <v>255798551</v>
      </c>
    </row>
    <row r="7" spans="1:12" x14ac:dyDescent="0.25">
      <c r="A7" s="278"/>
      <c r="B7" s="140" t="s">
        <v>13</v>
      </c>
      <c r="C7" s="279"/>
      <c r="D7" s="279"/>
      <c r="E7" s="279"/>
      <c r="F7" s="87">
        <v>481833000</v>
      </c>
      <c r="G7" s="279"/>
      <c r="H7" s="279"/>
      <c r="I7" s="279"/>
      <c r="J7" s="87">
        <f>481833000+20038724+21277000</f>
        <v>523148724</v>
      </c>
      <c r="K7" s="87">
        <v>164796967</v>
      </c>
    </row>
    <row r="8" spans="1:12" x14ac:dyDescent="0.25">
      <c r="A8" s="278"/>
      <c r="B8" s="140" t="s">
        <v>376</v>
      </c>
      <c r="C8" s="279"/>
      <c r="D8" s="279"/>
      <c r="E8" s="279"/>
      <c r="F8" s="87">
        <v>96143000</v>
      </c>
      <c r="G8" s="279"/>
      <c r="H8" s="279"/>
      <c r="I8" s="279"/>
      <c r="J8" s="87">
        <f>96143000+3500000+3723000</f>
        <v>103366000</v>
      </c>
      <c r="K8" s="87">
        <v>30900183</v>
      </c>
    </row>
    <row r="9" spans="1:12" x14ac:dyDescent="0.25">
      <c r="A9" s="278"/>
      <c r="B9" s="140" t="s">
        <v>19</v>
      </c>
      <c r="C9" s="279"/>
      <c r="D9" s="279"/>
      <c r="E9" s="279"/>
      <c r="F9" s="88">
        <f>600000+8650000+50677000+4776000+11410000+800000+3810000+1500000+9900000+64858000+500000+42000000+2450000</f>
        <v>201931000</v>
      </c>
      <c r="G9" s="279"/>
      <c r="H9" s="279"/>
      <c r="I9" s="279"/>
      <c r="J9" s="88">
        <f>600000+8650000+50677000+4776000+11410000+800000+3810000+1500000+9900000+64858000+500000+42000000+2450000+3688800</f>
        <v>205619800</v>
      </c>
      <c r="K9" s="88">
        <v>59514559</v>
      </c>
    </row>
    <row r="10" spans="1:12" ht="30" x14ac:dyDescent="0.25">
      <c r="A10" s="278"/>
      <c r="B10" s="140" t="s">
        <v>551</v>
      </c>
      <c r="C10" s="279"/>
      <c r="D10" s="279"/>
      <c r="E10" s="279"/>
      <c r="F10" s="88"/>
      <c r="G10" s="279"/>
      <c r="H10" s="279"/>
      <c r="I10" s="279"/>
      <c r="J10" s="88">
        <v>15877303</v>
      </c>
      <c r="K10" s="88"/>
    </row>
    <row r="11" spans="1:12" x14ac:dyDescent="0.25">
      <c r="A11" s="278"/>
      <c r="B11" s="140" t="s">
        <v>31</v>
      </c>
      <c r="C11" s="279"/>
      <c r="D11" s="279"/>
      <c r="E11" s="279"/>
      <c r="F11" s="88">
        <f>1270000+6730000</f>
        <v>8000000</v>
      </c>
      <c r="G11" s="279"/>
      <c r="H11" s="279"/>
      <c r="I11" s="279"/>
      <c r="J11" s="88">
        <f>1270000+6730000</f>
        <v>8000000</v>
      </c>
      <c r="K11" s="88">
        <v>586842</v>
      </c>
      <c r="L11" s="76"/>
    </row>
    <row r="12" spans="1:12" s="280" customFormat="1" hidden="1" x14ac:dyDescent="0.25">
      <c r="A12" s="274" t="s">
        <v>14</v>
      </c>
      <c r="B12" s="275" t="s">
        <v>552</v>
      </c>
      <c r="C12" s="276"/>
      <c r="D12" s="276"/>
      <c r="E12" s="276"/>
      <c r="F12" s="277">
        <f>SUM(F13:F15)</f>
        <v>0</v>
      </c>
      <c r="G12" s="276"/>
      <c r="H12" s="276"/>
      <c r="I12" s="276"/>
      <c r="J12" s="277">
        <f>SUM(J13:J15)</f>
        <v>0</v>
      </c>
      <c r="K12" s="277">
        <f>SUM(K13:K15)</f>
        <v>0</v>
      </c>
    </row>
    <row r="13" spans="1:12" hidden="1" x14ac:dyDescent="0.25">
      <c r="A13" s="278"/>
      <c r="B13" s="140" t="s">
        <v>13</v>
      </c>
      <c r="C13" s="279"/>
      <c r="D13" s="279"/>
      <c r="E13" s="279"/>
      <c r="F13" s="87"/>
      <c r="G13" s="279"/>
      <c r="H13" s="279"/>
      <c r="I13" s="279"/>
      <c r="J13" s="87"/>
      <c r="K13" s="87"/>
    </row>
    <row r="14" spans="1:12" hidden="1" x14ac:dyDescent="0.25">
      <c r="A14" s="278"/>
      <c r="B14" s="140" t="s">
        <v>376</v>
      </c>
      <c r="C14" s="279"/>
      <c r="D14" s="279"/>
      <c r="E14" s="279"/>
      <c r="F14" s="87"/>
      <c r="G14" s="279"/>
      <c r="H14" s="279"/>
      <c r="I14" s="279"/>
      <c r="J14" s="87"/>
      <c r="K14" s="87"/>
    </row>
    <row r="15" spans="1:12" hidden="1" x14ac:dyDescent="0.25">
      <c r="A15" s="278"/>
      <c r="B15" s="140" t="s">
        <v>19</v>
      </c>
      <c r="C15" s="279"/>
      <c r="D15" s="279"/>
      <c r="E15" s="279"/>
      <c r="F15" s="87"/>
      <c r="G15" s="279"/>
      <c r="H15" s="279"/>
      <c r="I15" s="279"/>
      <c r="J15" s="87"/>
      <c r="K15" s="87"/>
    </row>
    <row r="16" spans="1:12" hidden="1" x14ac:dyDescent="0.25">
      <c r="A16" s="278"/>
      <c r="B16" s="140" t="s">
        <v>31</v>
      </c>
      <c r="C16" s="279"/>
      <c r="D16" s="279"/>
      <c r="E16" s="279"/>
      <c r="F16" s="87"/>
      <c r="G16" s="279"/>
      <c r="H16" s="279"/>
      <c r="I16" s="279"/>
      <c r="J16" s="87"/>
      <c r="K16" s="87"/>
    </row>
    <row r="17" spans="1:13" x14ac:dyDescent="0.25">
      <c r="A17" s="215" t="s">
        <v>27</v>
      </c>
      <c r="B17" s="174" t="s">
        <v>205</v>
      </c>
      <c r="C17" s="273">
        <v>5</v>
      </c>
      <c r="D17" s="273">
        <v>0</v>
      </c>
      <c r="E17" s="273">
        <v>0</v>
      </c>
      <c r="F17" s="175">
        <f>+F18+F23</f>
        <v>31760000</v>
      </c>
      <c r="G17" s="273">
        <v>5</v>
      </c>
      <c r="H17" s="273">
        <v>0</v>
      </c>
      <c r="I17" s="273">
        <v>0</v>
      </c>
      <c r="J17" s="175">
        <f>+J18+J23</f>
        <v>31760000</v>
      </c>
      <c r="K17" s="175">
        <f>+K18+K23</f>
        <v>12535044</v>
      </c>
    </row>
    <row r="18" spans="1:13" s="280" customFormat="1" x14ac:dyDescent="0.25">
      <c r="A18" s="274" t="s">
        <v>11</v>
      </c>
      <c r="B18" s="275" t="s">
        <v>553</v>
      </c>
      <c r="C18" s="276">
        <v>4</v>
      </c>
      <c r="D18" s="276"/>
      <c r="E18" s="276"/>
      <c r="F18" s="277">
        <f>SUM(F19:F22)</f>
        <v>25883000</v>
      </c>
      <c r="G18" s="276">
        <v>4</v>
      </c>
      <c r="H18" s="276"/>
      <c r="I18" s="276"/>
      <c r="J18" s="277">
        <f>SUM(J19:J22)</f>
        <v>25883000</v>
      </c>
      <c r="K18" s="277">
        <f>SUM(K19:K22)</f>
        <v>10677470.83</v>
      </c>
    </row>
    <row r="19" spans="1:13" x14ac:dyDescent="0.25">
      <c r="A19" s="278"/>
      <c r="B19" s="140" t="s">
        <v>13</v>
      </c>
      <c r="C19" s="279"/>
      <c r="D19" s="279"/>
      <c r="E19" s="279"/>
      <c r="F19" s="87">
        <v>18869000</v>
      </c>
      <c r="G19" s="279"/>
      <c r="H19" s="279"/>
      <c r="I19" s="279"/>
      <c r="J19" s="87">
        <f>18869000</f>
        <v>18869000</v>
      </c>
      <c r="K19" s="87">
        <f>9298699*0.83</f>
        <v>7717920.1699999999</v>
      </c>
      <c r="M19" s="76"/>
    </row>
    <row r="20" spans="1:13" x14ac:dyDescent="0.25">
      <c r="A20" s="278"/>
      <c r="B20" s="140" t="s">
        <v>376</v>
      </c>
      <c r="C20" s="279"/>
      <c r="D20" s="279"/>
      <c r="E20" s="279"/>
      <c r="F20" s="87">
        <f>+F19*0.19-110</f>
        <v>3585000</v>
      </c>
      <c r="G20" s="279"/>
      <c r="H20" s="279"/>
      <c r="I20" s="279"/>
      <c r="J20" s="87">
        <f>+J19*0.19-110</f>
        <v>3585000</v>
      </c>
      <c r="K20" s="87">
        <f>1628202*0.83</f>
        <v>1351407.66</v>
      </c>
      <c r="M20" s="281"/>
    </row>
    <row r="21" spans="1:13" x14ac:dyDescent="0.25">
      <c r="A21" s="278"/>
      <c r="B21" s="140" t="s">
        <v>19</v>
      </c>
      <c r="C21" s="279"/>
      <c r="D21" s="279"/>
      <c r="E21" s="279"/>
      <c r="F21" s="88">
        <f>1200000+150000+1100000+150000+100000+729000</f>
        <v>3429000</v>
      </c>
      <c r="G21" s="279"/>
      <c r="H21" s="279"/>
      <c r="I21" s="279"/>
      <c r="J21" s="88">
        <f>1200000+150000+1100000+150000+100000+729000</f>
        <v>3429000</v>
      </c>
      <c r="K21" s="88">
        <v>1325781</v>
      </c>
    </row>
    <row r="22" spans="1:13" x14ac:dyDescent="0.25">
      <c r="A22" s="278"/>
      <c r="B22" s="140" t="s">
        <v>31</v>
      </c>
      <c r="C22" s="279"/>
      <c r="D22" s="279"/>
      <c r="E22" s="279"/>
      <c r="F22" s="88"/>
      <c r="G22" s="279"/>
      <c r="H22" s="279"/>
      <c r="I22" s="279"/>
      <c r="J22" s="88"/>
      <c r="K22" s="88">
        <v>282362</v>
      </c>
    </row>
    <row r="23" spans="1:13" s="280" customFormat="1" x14ac:dyDescent="0.25">
      <c r="A23" s="274" t="s">
        <v>14</v>
      </c>
      <c r="B23" s="275" t="s">
        <v>554</v>
      </c>
      <c r="C23" s="276">
        <v>1</v>
      </c>
      <c r="D23" s="276"/>
      <c r="E23" s="276"/>
      <c r="F23" s="197">
        <f>SUM(F24:F27)</f>
        <v>5877000</v>
      </c>
      <c r="G23" s="276">
        <v>1</v>
      </c>
      <c r="H23" s="276"/>
      <c r="I23" s="276"/>
      <c r="J23" s="197">
        <f>SUM(J24:J27)</f>
        <v>5877000</v>
      </c>
      <c r="K23" s="197">
        <f>SUM(K24:K27)</f>
        <v>1857573.1700000002</v>
      </c>
    </row>
    <row r="24" spans="1:13" x14ac:dyDescent="0.25">
      <c r="A24" s="278"/>
      <c r="B24" s="140" t="s">
        <v>13</v>
      </c>
      <c r="C24" s="279"/>
      <c r="D24" s="279"/>
      <c r="E24" s="279"/>
      <c r="F24" s="88">
        <v>3724000</v>
      </c>
      <c r="G24" s="279"/>
      <c r="H24" s="279"/>
      <c r="I24" s="279"/>
      <c r="J24" s="88">
        <f>3724000</f>
        <v>3724000</v>
      </c>
      <c r="K24" s="87">
        <f>9298699*0.17</f>
        <v>1580778.83</v>
      </c>
    </row>
    <row r="25" spans="1:13" x14ac:dyDescent="0.25">
      <c r="A25" s="278"/>
      <c r="B25" s="140" t="s">
        <v>376</v>
      </c>
      <c r="C25" s="279"/>
      <c r="D25" s="279"/>
      <c r="E25" s="279"/>
      <c r="F25" s="88">
        <v>708000</v>
      </c>
      <c r="G25" s="279"/>
      <c r="H25" s="279"/>
      <c r="I25" s="279"/>
      <c r="J25" s="88">
        <f>708000</f>
        <v>708000</v>
      </c>
      <c r="K25" s="87">
        <f>1628202*0.17</f>
        <v>276794.34000000003</v>
      </c>
    </row>
    <row r="26" spans="1:13" x14ac:dyDescent="0.25">
      <c r="A26" s="278"/>
      <c r="B26" s="140" t="s">
        <v>19</v>
      </c>
      <c r="C26" s="279"/>
      <c r="D26" s="279"/>
      <c r="E26" s="279"/>
      <c r="F26" s="88">
        <f>865000+30000+200000+150000+200000</f>
        <v>1445000</v>
      </c>
      <c r="G26" s="279"/>
      <c r="H26" s="279"/>
      <c r="I26" s="279"/>
      <c r="J26" s="88">
        <f>865000+30000+200000+150000+200000</f>
        <v>1445000</v>
      </c>
      <c r="K26" s="88"/>
    </row>
    <row r="27" spans="1:13" x14ac:dyDescent="0.25">
      <c r="A27" s="278"/>
      <c r="B27" s="140" t="s">
        <v>31</v>
      </c>
      <c r="C27" s="279"/>
      <c r="D27" s="279"/>
      <c r="E27" s="279"/>
      <c r="F27" s="87"/>
      <c r="G27" s="279"/>
      <c r="H27" s="279"/>
      <c r="I27" s="279"/>
      <c r="J27" s="87"/>
      <c r="K27" s="87"/>
    </row>
    <row r="28" spans="1:13" x14ac:dyDescent="0.25">
      <c r="A28" s="215" t="s">
        <v>42</v>
      </c>
      <c r="B28" s="174" t="s">
        <v>298</v>
      </c>
      <c r="C28" s="273"/>
      <c r="D28" s="273"/>
      <c r="E28" s="273"/>
      <c r="F28" s="175">
        <f>+F29+F31</f>
        <v>1229000</v>
      </c>
      <c r="G28" s="273"/>
      <c r="H28" s="273"/>
      <c r="I28" s="273"/>
      <c r="J28" s="175">
        <f>+J29+J31</f>
        <v>1229000</v>
      </c>
      <c r="K28" s="175">
        <f>+K29+K31</f>
        <v>70866</v>
      </c>
    </row>
    <row r="29" spans="1:13" x14ac:dyDescent="0.25">
      <c r="A29" s="274" t="s">
        <v>11</v>
      </c>
      <c r="B29" s="275" t="s">
        <v>300</v>
      </c>
      <c r="C29" s="276"/>
      <c r="D29" s="276"/>
      <c r="E29" s="276"/>
      <c r="F29" s="277">
        <f>+F30</f>
        <v>0</v>
      </c>
      <c r="G29" s="276"/>
      <c r="H29" s="276"/>
      <c r="I29" s="276"/>
      <c r="J29" s="277">
        <f>+J30</f>
        <v>0</v>
      </c>
      <c r="K29" s="277">
        <f>+K30</f>
        <v>0</v>
      </c>
    </row>
    <row r="30" spans="1:13" x14ac:dyDescent="0.25">
      <c r="A30" s="278"/>
      <c r="B30" s="140" t="s">
        <v>22</v>
      </c>
      <c r="C30" s="279"/>
      <c r="D30" s="279"/>
      <c r="E30" s="279"/>
      <c r="F30" s="87">
        <v>0</v>
      </c>
      <c r="G30" s="279"/>
      <c r="H30" s="279"/>
      <c r="I30" s="279"/>
      <c r="J30" s="87">
        <v>0</v>
      </c>
      <c r="K30" s="87"/>
    </row>
    <row r="31" spans="1:13" s="280" customFormat="1" x14ac:dyDescent="0.25">
      <c r="A31" s="274" t="s">
        <v>14</v>
      </c>
      <c r="B31" s="275" t="s">
        <v>555</v>
      </c>
      <c r="C31" s="276"/>
      <c r="D31" s="276"/>
      <c r="E31" s="276"/>
      <c r="F31" s="277">
        <f>SUM(F32:F35)</f>
        <v>1229000</v>
      </c>
      <c r="G31" s="276"/>
      <c r="H31" s="276"/>
      <c r="I31" s="276"/>
      <c r="J31" s="277">
        <f>SUM(J32:J35)</f>
        <v>1229000</v>
      </c>
      <c r="K31" s="277">
        <f>SUM(K32:K35)</f>
        <v>70866</v>
      </c>
    </row>
    <row r="32" spans="1:13" x14ac:dyDescent="0.25">
      <c r="A32" s="278"/>
      <c r="B32" s="140" t="s">
        <v>13</v>
      </c>
      <c r="C32" s="279"/>
      <c r="D32" s="279"/>
      <c r="E32" s="279"/>
      <c r="F32" s="87">
        <v>40000</v>
      </c>
      <c r="G32" s="279"/>
      <c r="H32" s="279"/>
      <c r="I32" s="279"/>
      <c r="J32" s="87">
        <v>40000</v>
      </c>
      <c r="K32" s="87"/>
    </row>
    <row r="33" spans="1:11" x14ac:dyDescent="0.25">
      <c r="A33" s="278"/>
      <c r="B33" s="140" t="s">
        <v>376</v>
      </c>
      <c r="C33" s="279"/>
      <c r="D33" s="279"/>
      <c r="E33" s="279"/>
      <c r="F33" s="87">
        <v>16000</v>
      </c>
      <c r="G33" s="279"/>
      <c r="H33" s="279"/>
      <c r="I33" s="279"/>
      <c r="J33" s="87">
        <v>16000</v>
      </c>
      <c r="K33" s="87"/>
    </row>
    <row r="34" spans="1:11" x14ac:dyDescent="0.25">
      <c r="A34" s="278"/>
      <c r="B34" s="140" t="s">
        <v>19</v>
      </c>
      <c r="C34" s="279"/>
      <c r="D34" s="279"/>
      <c r="E34" s="279"/>
      <c r="F34" s="88">
        <f>800000+45000+228000+100000</f>
        <v>1173000</v>
      </c>
      <c r="G34" s="279"/>
      <c r="H34" s="279"/>
      <c r="I34" s="279"/>
      <c r="J34" s="88">
        <f>800000+45000+228000+100000</f>
        <v>1173000</v>
      </c>
      <c r="K34" s="88">
        <v>70866</v>
      </c>
    </row>
    <row r="35" spans="1:11" x14ac:dyDescent="0.25">
      <c r="A35" s="278"/>
      <c r="B35" s="140" t="s">
        <v>31</v>
      </c>
      <c r="C35" s="279"/>
      <c r="D35" s="279"/>
      <c r="E35" s="279"/>
      <c r="F35" s="87"/>
      <c r="G35" s="279"/>
      <c r="H35" s="279"/>
      <c r="I35" s="279"/>
      <c r="J35" s="87"/>
      <c r="K35" s="87"/>
    </row>
    <row r="38" spans="1:11" x14ac:dyDescent="0.25">
      <c r="B38" s="267" t="s">
        <v>13</v>
      </c>
    </row>
    <row r="39" spans="1:11" x14ac:dyDescent="0.25">
      <c r="B39" s="267" t="s">
        <v>376</v>
      </c>
    </row>
    <row r="40" spans="1:11" x14ac:dyDescent="0.25">
      <c r="B40" s="267" t="s">
        <v>19</v>
      </c>
    </row>
    <row r="41" spans="1:11" x14ac:dyDescent="0.25">
      <c r="B41" s="267" t="s">
        <v>22</v>
      </c>
    </row>
    <row r="42" spans="1:11" x14ac:dyDescent="0.25">
      <c r="B42" s="267" t="s">
        <v>24</v>
      </c>
    </row>
    <row r="43" spans="1:11" x14ac:dyDescent="0.25">
      <c r="B43" s="267" t="s">
        <v>31</v>
      </c>
    </row>
    <row r="44" spans="1:11" x14ac:dyDescent="0.25">
      <c r="B44" s="267" t="s">
        <v>33</v>
      </c>
    </row>
    <row r="45" spans="1:11" x14ac:dyDescent="0.25">
      <c r="B45" s="267" t="s">
        <v>35</v>
      </c>
    </row>
    <row r="46" spans="1:11" x14ac:dyDescent="0.25">
      <c r="B46" s="282" t="s">
        <v>466</v>
      </c>
    </row>
  </sheetData>
  <mergeCells count="5">
    <mergeCell ref="A2:A3"/>
    <mergeCell ref="B2:B3"/>
    <mergeCell ref="K2:K3"/>
    <mergeCell ref="C3:F3"/>
    <mergeCell ref="G3:J3"/>
  </mergeCells>
  <printOptions horizontalCentered="1"/>
  <pageMargins left="0.27559055118110237" right="0.19685039370078741" top="1.0236220472440944" bottom="0.19685039370078741" header="0.31496062992125984" footer="0.31496062992125984"/>
  <pageSetup paperSize="9" scale="52" fitToWidth="2" pageOrder="overThenDown" orientation="portrait" r:id="rId1"/>
  <headerFooter>
    <oddHeader>&amp;L3/B.  melléklet a ......./2020. (.................) önkormányzati rendelethez&amp;C&amp;"-,Félkövér"&amp;16
A Polgármesteri Hivatal 2020. évi kiadásai feladatonként részletes bontásban</oddHeader>
    <oddFooter>&amp;C&amp;P&amp;R&amp;D,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6813-117D-49C1-87B4-B271F20821BD}">
  <dimension ref="A1:J47"/>
  <sheetViews>
    <sheetView view="pageBreakPreview" topLeftCell="A2" zoomScale="98" zoomScaleNormal="100" zoomScaleSheetLayoutView="98" workbookViewId="0">
      <selection activeCell="J1" sqref="J1:J1048576"/>
    </sheetView>
  </sheetViews>
  <sheetFormatPr defaultRowHeight="15" x14ac:dyDescent="0.25"/>
  <cols>
    <col min="1" max="1" width="7.140625" style="122" customWidth="1"/>
    <col min="2" max="2" width="50" customWidth="1"/>
    <col min="3" max="3" width="12.85546875" customWidth="1"/>
    <col min="5" max="5" width="16.5703125" bestFit="1" customWidth="1"/>
    <col min="6" max="6" width="12.85546875" customWidth="1"/>
    <col min="8" max="8" width="16.5703125" bestFit="1" customWidth="1"/>
    <col min="9" max="9" width="16" hidden="1" customWidth="1"/>
    <col min="10" max="10" width="10" bestFit="1" customWidth="1"/>
  </cols>
  <sheetData>
    <row r="1" spans="1:10" x14ac:dyDescent="0.25">
      <c r="E1" s="265"/>
      <c r="H1" s="265" t="s">
        <v>0</v>
      </c>
    </row>
    <row r="2" spans="1:10" ht="30" x14ac:dyDescent="0.25">
      <c r="A2" s="154" t="s">
        <v>556</v>
      </c>
      <c r="B2" s="154" t="s">
        <v>557</v>
      </c>
      <c r="C2" s="283"/>
      <c r="D2" s="283"/>
      <c r="E2" s="283"/>
      <c r="F2" s="283"/>
      <c r="G2" s="283"/>
      <c r="H2" s="283"/>
      <c r="I2" s="283"/>
    </row>
    <row r="3" spans="1:10" x14ac:dyDescent="0.25">
      <c r="A3" s="154" t="s">
        <v>558</v>
      </c>
      <c r="B3" s="154" t="s">
        <v>559</v>
      </c>
      <c r="C3" s="283"/>
      <c r="D3" s="283"/>
      <c r="E3" s="283"/>
      <c r="F3" s="283"/>
      <c r="G3" s="283"/>
      <c r="H3" s="283"/>
      <c r="I3" s="283"/>
    </row>
    <row r="4" spans="1:10" ht="60.75" customHeight="1" x14ac:dyDescent="0.25">
      <c r="A4" s="418" t="s">
        <v>1</v>
      </c>
      <c r="B4" s="432" t="s">
        <v>128</v>
      </c>
      <c r="C4" s="419" t="s">
        <v>6</v>
      </c>
      <c r="D4" s="420"/>
      <c r="E4" s="421"/>
      <c r="F4" s="419" t="s">
        <v>59</v>
      </c>
      <c r="G4" s="420"/>
      <c r="H4" s="421"/>
      <c r="I4" s="418" t="s">
        <v>60</v>
      </c>
    </row>
    <row r="5" spans="1:10" ht="60" x14ac:dyDescent="0.25">
      <c r="A5" s="418"/>
      <c r="B5" s="432"/>
      <c r="C5" s="4" t="s">
        <v>61</v>
      </c>
      <c r="D5" s="4" t="s">
        <v>62</v>
      </c>
      <c r="E5" s="4" t="s">
        <v>64</v>
      </c>
      <c r="F5" s="4" t="s">
        <v>61</v>
      </c>
      <c r="G5" s="4" t="s">
        <v>62</v>
      </c>
      <c r="H5" s="4" t="s">
        <v>64</v>
      </c>
      <c r="I5" s="418"/>
    </row>
    <row r="6" spans="1:10" x14ac:dyDescent="0.25">
      <c r="A6" s="171"/>
      <c r="B6" s="284" t="s">
        <v>360</v>
      </c>
      <c r="C6" s="172">
        <v>13</v>
      </c>
      <c r="D6" s="172"/>
      <c r="E6" s="172">
        <f t="shared" ref="E6:E46" si="0">SUM(C6:D6)</f>
        <v>13</v>
      </c>
      <c r="F6" s="172">
        <v>13</v>
      </c>
      <c r="G6" s="172"/>
      <c r="H6" s="172">
        <f t="shared" ref="H6:H46" si="1">SUM(F6:G6)</f>
        <v>13</v>
      </c>
    </row>
    <row r="7" spans="1:10" x14ac:dyDescent="0.25">
      <c r="A7" s="171"/>
      <c r="B7" s="284" t="s">
        <v>361</v>
      </c>
      <c r="C7" s="172"/>
      <c r="D7" s="172"/>
      <c r="E7" s="172">
        <f t="shared" si="0"/>
        <v>0</v>
      </c>
      <c r="F7" s="172"/>
      <c r="G7" s="172"/>
      <c r="H7" s="172">
        <f t="shared" si="1"/>
        <v>0</v>
      </c>
    </row>
    <row r="8" spans="1:10" x14ac:dyDescent="0.25">
      <c r="A8" s="5" t="s">
        <v>8</v>
      </c>
      <c r="B8" s="6" t="s">
        <v>9</v>
      </c>
      <c r="C8" s="7">
        <f>C9+C11+C20</f>
        <v>1750000</v>
      </c>
      <c r="D8" s="7">
        <f>D9+D11+D20</f>
        <v>0</v>
      </c>
      <c r="E8" s="7">
        <f t="shared" si="0"/>
        <v>1750000</v>
      </c>
      <c r="F8" s="7">
        <f>F9+F11+F20</f>
        <v>1750000</v>
      </c>
      <c r="G8" s="7">
        <f>G9+G11+G20</f>
        <v>0</v>
      </c>
      <c r="H8" s="7">
        <f t="shared" si="1"/>
        <v>1750000</v>
      </c>
      <c r="I8" s="7">
        <f>+I9+I11+I20</f>
        <v>1105396</v>
      </c>
      <c r="J8" s="60"/>
    </row>
    <row r="9" spans="1:10" x14ac:dyDescent="0.25">
      <c r="A9" s="156" t="s">
        <v>11</v>
      </c>
      <c r="B9" s="157" t="s">
        <v>12</v>
      </c>
      <c r="C9" s="158">
        <f>C10</f>
        <v>0</v>
      </c>
      <c r="D9" s="158">
        <f>D10</f>
        <v>0</v>
      </c>
      <c r="E9" s="158">
        <f t="shared" si="0"/>
        <v>0</v>
      </c>
      <c r="F9" s="158">
        <f>F10</f>
        <v>0</v>
      </c>
      <c r="G9" s="158">
        <f>G10</f>
        <v>0</v>
      </c>
      <c r="H9" s="158">
        <f t="shared" si="1"/>
        <v>0</v>
      </c>
      <c r="I9" s="158">
        <f>SUM(G9:H9)</f>
        <v>0</v>
      </c>
    </row>
    <row r="10" spans="1:10" ht="30" hidden="1" x14ac:dyDescent="0.25">
      <c r="A10" s="11"/>
      <c r="B10" s="82" t="s">
        <v>529</v>
      </c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13">
        <f>SUM(G10:H10)</f>
        <v>0</v>
      </c>
    </row>
    <row r="11" spans="1:10" x14ac:dyDescent="0.25">
      <c r="A11" s="156" t="s">
        <v>14</v>
      </c>
      <c r="B11" s="157" t="s">
        <v>18</v>
      </c>
      <c r="C11" s="158">
        <f>SUM(C12:C19)</f>
        <v>1750000</v>
      </c>
      <c r="D11" s="158">
        <f>SUM(D12:D19)</f>
        <v>0</v>
      </c>
      <c r="E11" s="158">
        <f t="shared" si="0"/>
        <v>1750000</v>
      </c>
      <c r="F11" s="158">
        <f>SUM(F12:F19)</f>
        <v>1750000</v>
      </c>
      <c r="G11" s="158">
        <f>SUM(G12:G19)</f>
        <v>0</v>
      </c>
      <c r="H11" s="158">
        <f t="shared" si="1"/>
        <v>1750000</v>
      </c>
      <c r="I11" s="158">
        <f>SUM(I12:I19)</f>
        <v>1105396</v>
      </c>
      <c r="J11" s="60"/>
    </row>
    <row r="12" spans="1:10" x14ac:dyDescent="0.25">
      <c r="A12" s="11"/>
      <c r="B12" s="82" t="s">
        <v>532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  <c r="I12" s="13"/>
    </row>
    <row r="13" spans="1:10" x14ac:dyDescent="0.25">
      <c r="A13" s="11"/>
      <c r="B13" s="82" t="s">
        <v>533</v>
      </c>
      <c r="C13" s="13">
        <v>0</v>
      </c>
      <c r="D13" s="13">
        <v>0</v>
      </c>
      <c r="E13" s="13">
        <f t="shared" si="0"/>
        <v>0</v>
      </c>
      <c r="F13" s="13">
        <v>0</v>
      </c>
      <c r="G13" s="13">
        <v>0</v>
      </c>
      <c r="H13" s="13">
        <f t="shared" si="1"/>
        <v>0</v>
      </c>
      <c r="I13" s="85"/>
    </row>
    <row r="14" spans="1:10" x14ac:dyDescent="0.25">
      <c r="A14" s="11"/>
      <c r="B14" s="82" t="s">
        <v>534</v>
      </c>
      <c r="C14" s="13">
        <v>0</v>
      </c>
      <c r="D14" s="13">
        <v>0</v>
      </c>
      <c r="E14" s="13">
        <f t="shared" si="0"/>
        <v>0</v>
      </c>
      <c r="F14" s="13">
        <v>0</v>
      </c>
      <c r="G14" s="13">
        <v>0</v>
      </c>
      <c r="H14" s="13">
        <f t="shared" si="1"/>
        <v>0</v>
      </c>
      <c r="I14" s="13"/>
    </row>
    <row r="15" spans="1:10" x14ac:dyDescent="0.25">
      <c r="A15" s="11"/>
      <c r="B15" s="82" t="s">
        <v>535</v>
      </c>
      <c r="C15" s="13">
        <v>1400000</v>
      </c>
      <c r="D15" s="13">
        <v>0</v>
      </c>
      <c r="E15" s="13">
        <f t="shared" si="0"/>
        <v>1400000</v>
      </c>
      <c r="F15" s="13">
        <v>1400000</v>
      </c>
      <c r="G15" s="13">
        <v>0</v>
      </c>
      <c r="H15" s="13">
        <f t="shared" si="1"/>
        <v>1400000</v>
      </c>
      <c r="I15" s="13">
        <v>395873</v>
      </c>
    </row>
    <row r="16" spans="1:10" x14ac:dyDescent="0.25">
      <c r="A16" s="11"/>
      <c r="B16" s="82" t="s">
        <v>536</v>
      </c>
      <c r="C16" s="13">
        <v>350000</v>
      </c>
      <c r="D16" s="13">
        <v>0</v>
      </c>
      <c r="E16" s="13">
        <f t="shared" si="0"/>
        <v>350000</v>
      </c>
      <c r="F16" s="13">
        <v>350000</v>
      </c>
      <c r="G16" s="13">
        <v>0</v>
      </c>
      <c r="H16" s="13">
        <f t="shared" si="1"/>
        <v>350000</v>
      </c>
      <c r="I16" s="13">
        <v>106893</v>
      </c>
    </row>
    <row r="17" spans="1:10" x14ac:dyDescent="0.25">
      <c r="A17" s="11"/>
      <c r="B17" s="82" t="s">
        <v>537</v>
      </c>
      <c r="C17" s="13">
        <v>0</v>
      </c>
      <c r="D17" s="13">
        <v>0</v>
      </c>
      <c r="E17" s="13">
        <f t="shared" si="0"/>
        <v>0</v>
      </c>
      <c r="F17" s="13"/>
      <c r="G17" s="13">
        <v>0</v>
      </c>
      <c r="H17" s="13">
        <f t="shared" si="1"/>
        <v>0</v>
      </c>
      <c r="I17" s="13">
        <v>280000</v>
      </c>
    </row>
    <row r="18" spans="1:10" x14ac:dyDescent="0.25">
      <c r="A18" s="11"/>
      <c r="B18" s="82" t="s">
        <v>538</v>
      </c>
      <c r="C18" s="13">
        <v>0</v>
      </c>
      <c r="D18" s="13">
        <v>0</v>
      </c>
      <c r="E18" s="13">
        <f t="shared" si="0"/>
        <v>0</v>
      </c>
      <c r="F18" s="13">
        <v>0</v>
      </c>
      <c r="G18" s="13">
        <v>0</v>
      </c>
      <c r="H18" s="13">
        <f t="shared" si="1"/>
        <v>0</v>
      </c>
      <c r="I18" s="13"/>
    </row>
    <row r="19" spans="1:10" x14ac:dyDescent="0.25">
      <c r="A19" s="11"/>
      <c r="B19" s="82" t="s">
        <v>539</v>
      </c>
      <c r="C19" s="13">
        <v>0</v>
      </c>
      <c r="D19" s="13">
        <v>0</v>
      </c>
      <c r="E19" s="13">
        <f t="shared" si="0"/>
        <v>0</v>
      </c>
      <c r="F19" s="13">
        <v>0</v>
      </c>
      <c r="G19" s="13">
        <v>0</v>
      </c>
      <c r="H19" s="13">
        <f t="shared" si="1"/>
        <v>0</v>
      </c>
      <c r="I19" s="13">
        <v>322630</v>
      </c>
    </row>
    <row r="20" spans="1:10" x14ac:dyDescent="0.25">
      <c r="A20" s="156" t="s">
        <v>17</v>
      </c>
      <c r="B20" s="157" t="s">
        <v>21</v>
      </c>
      <c r="C20" s="158">
        <f>C21</f>
        <v>0</v>
      </c>
      <c r="D20" s="158">
        <f>D21</f>
        <v>0</v>
      </c>
      <c r="E20" s="158">
        <f t="shared" si="0"/>
        <v>0</v>
      </c>
      <c r="F20" s="158">
        <f>F21</f>
        <v>0</v>
      </c>
      <c r="G20" s="158">
        <f>G21</f>
        <v>0</v>
      </c>
      <c r="H20" s="158">
        <f t="shared" si="1"/>
        <v>0</v>
      </c>
      <c r="I20" s="158">
        <f>SUM(G20:H20)</f>
        <v>0</v>
      </c>
    </row>
    <row r="21" spans="1:10" hidden="1" x14ac:dyDescent="0.25">
      <c r="A21" s="11"/>
      <c r="B21" s="82" t="s">
        <v>540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  <c r="I21" s="13">
        <f>SUM(G21:H21)</f>
        <v>0</v>
      </c>
    </row>
    <row r="22" spans="1:10" x14ac:dyDescent="0.25">
      <c r="A22" s="5" t="s">
        <v>27</v>
      </c>
      <c r="B22" s="6" t="s">
        <v>28</v>
      </c>
      <c r="C22" s="7">
        <f>C23+C25+C28</f>
        <v>0</v>
      </c>
      <c r="D22" s="7">
        <f>D23+D25+D28</f>
        <v>0</v>
      </c>
      <c r="E22" s="7">
        <f t="shared" si="0"/>
        <v>0</v>
      </c>
      <c r="F22" s="7">
        <f>F23+F25+F28</f>
        <v>0</v>
      </c>
      <c r="G22" s="7">
        <f>G23+G25+G28</f>
        <v>0</v>
      </c>
      <c r="H22" s="7">
        <f t="shared" si="1"/>
        <v>0</v>
      </c>
      <c r="I22" s="7">
        <v>0</v>
      </c>
    </row>
    <row r="23" spans="1:10" hidden="1" x14ac:dyDescent="0.25">
      <c r="A23" s="156" t="s">
        <v>11</v>
      </c>
      <c r="B23" s="157" t="s">
        <v>30</v>
      </c>
      <c r="C23" s="158">
        <f>C24</f>
        <v>0</v>
      </c>
      <c r="D23" s="158">
        <f>D24</f>
        <v>0</v>
      </c>
      <c r="E23" s="158">
        <f t="shared" si="0"/>
        <v>0</v>
      </c>
      <c r="F23" s="158">
        <f>F24</f>
        <v>0</v>
      </c>
      <c r="G23" s="158">
        <f>G24</f>
        <v>0</v>
      </c>
      <c r="H23" s="158">
        <f t="shared" si="1"/>
        <v>0</v>
      </c>
      <c r="I23" s="158">
        <f t="shared" ref="I23:I29" si="2">SUM(G23:H23)</f>
        <v>0</v>
      </c>
    </row>
    <row r="24" spans="1:10" ht="30" hidden="1" x14ac:dyDescent="0.25">
      <c r="A24" s="11"/>
      <c r="B24" s="12" t="s">
        <v>541</v>
      </c>
      <c r="C24" s="13">
        <v>0</v>
      </c>
      <c r="D24" s="13">
        <v>0</v>
      </c>
      <c r="E24" s="13">
        <f t="shared" si="0"/>
        <v>0</v>
      </c>
      <c r="F24" s="13">
        <v>0</v>
      </c>
      <c r="G24" s="13">
        <v>0</v>
      </c>
      <c r="H24" s="13">
        <f t="shared" si="1"/>
        <v>0</v>
      </c>
      <c r="I24" s="13">
        <f t="shared" si="2"/>
        <v>0</v>
      </c>
    </row>
    <row r="25" spans="1:10" hidden="1" x14ac:dyDescent="0.25">
      <c r="A25" s="156" t="s">
        <v>14</v>
      </c>
      <c r="B25" s="157" t="s">
        <v>32</v>
      </c>
      <c r="C25" s="158">
        <f>SUM(C26:C27)</f>
        <v>0</v>
      </c>
      <c r="D25" s="158">
        <f>SUM(D26:D27)</f>
        <v>0</v>
      </c>
      <c r="E25" s="158">
        <f t="shared" si="0"/>
        <v>0</v>
      </c>
      <c r="F25" s="158">
        <f>SUM(F26:F27)</f>
        <v>0</v>
      </c>
      <c r="G25" s="158">
        <f>SUM(G26:G27)</f>
        <v>0</v>
      </c>
      <c r="H25" s="158">
        <f t="shared" si="1"/>
        <v>0</v>
      </c>
      <c r="I25" s="158">
        <f t="shared" si="2"/>
        <v>0</v>
      </c>
    </row>
    <row r="26" spans="1:10" hidden="1" x14ac:dyDescent="0.25">
      <c r="A26" s="11"/>
      <c r="B26" s="17" t="s">
        <v>89</v>
      </c>
      <c r="C26" s="13">
        <v>0</v>
      </c>
      <c r="D26" s="13">
        <v>0</v>
      </c>
      <c r="E26" s="13">
        <f t="shared" si="0"/>
        <v>0</v>
      </c>
      <c r="F26" s="13">
        <v>0</v>
      </c>
      <c r="G26" s="13">
        <v>0</v>
      </c>
      <c r="H26" s="13">
        <f t="shared" si="1"/>
        <v>0</v>
      </c>
      <c r="I26" s="13">
        <f t="shared" si="2"/>
        <v>0</v>
      </c>
    </row>
    <row r="27" spans="1:10" hidden="1" x14ac:dyDescent="0.25">
      <c r="A27" s="11"/>
      <c r="B27" s="17" t="s">
        <v>542</v>
      </c>
      <c r="C27" s="13">
        <v>0</v>
      </c>
      <c r="D27" s="13">
        <v>0</v>
      </c>
      <c r="E27" s="13">
        <f t="shared" si="0"/>
        <v>0</v>
      </c>
      <c r="F27" s="13">
        <v>0</v>
      </c>
      <c r="G27" s="13">
        <v>0</v>
      </c>
      <c r="H27" s="13">
        <f t="shared" si="1"/>
        <v>0</v>
      </c>
      <c r="I27" s="13">
        <f t="shared" si="2"/>
        <v>0</v>
      </c>
    </row>
    <row r="28" spans="1:10" hidden="1" x14ac:dyDescent="0.25">
      <c r="A28" s="156" t="s">
        <v>17</v>
      </c>
      <c r="B28" s="157" t="s">
        <v>34</v>
      </c>
      <c r="C28" s="158">
        <f>C29</f>
        <v>0</v>
      </c>
      <c r="D28" s="158">
        <f>D29</f>
        <v>0</v>
      </c>
      <c r="E28" s="158">
        <f t="shared" si="0"/>
        <v>0</v>
      </c>
      <c r="F28" s="158">
        <f>F29</f>
        <v>0</v>
      </c>
      <c r="G28" s="158">
        <f>G29</f>
        <v>0</v>
      </c>
      <c r="H28" s="158">
        <f t="shared" si="1"/>
        <v>0</v>
      </c>
      <c r="I28" s="158">
        <f t="shared" si="2"/>
        <v>0</v>
      </c>
    </row>
    <row r="29" spans="1:10" hidden="1" x14ac:dyDescent="0.25">
      <c r="A29" s="11"/>
      <c r="B29" s="17" t="s">
        <v>543</v>
      </c>
      <c r="C29" s="13">
        <v>0</v>
      </c>
      <c r="D29" s="13">
        <v>0</v>
      </c>
      <c r="E29" s="13">
        <f t="shared" si="0"/>
        <v>0</v>
      </c>
      <c r="F29" s="13">
        <v>0</v>
      </c>
      <c r="G29" s="13">
        <v>0</v>
      </c>
      <c r="H29" s="13">
        <f t="shared" si="1"/>
        <v>0</v>
      </c>
      <c r="I29" s="13">
        <f t="shared" si="2"/>
        <v>0</v>
      </c>
    </row>
    <row r="30" spans="1:10" x14ac:dyDescent="0.25">
      <c r="A30" s="3"/>
      <c r="B30" s="24" t="s">
        <v>38</v>
      </c>
      <c r="C30" s="26">
        <f>C8+C22</f>
        <v>1750000</v>
      </c>
      <c r="D30" s="26">
        <f>D8+D22</f>
        <v>0</v>
      </c>
      <c r="E30" s="26">
        <f t="shared" si="0"/>
        <v>1750000</v>
      </c>
      <c r="F30" s="26">
        <f>F8+F22</f>
        <v>1750000</v>
      </c>
      <c r="G30" s="26">
        <f>G8+G22</f>
        <v>0</v>
      </c>
      <c r="H30" s="26">
        <f t="shared" si="1"/>
        <v>1750000</v>
      </c>
      <c r="I30" s="26">
        <f>+I22+I8</f>
        <v>1105396</v>
      </c>
      <c r="J30" s="60"/>
    </row>
    <row r="31" spans="1:10" x14ac:dyDescent="0.25">
      <c r="A31" s="5" t="s">
        <v>42</v>
      </c>
      <c r="B31" s="6" t="s">
        <v>43</v>
      </c>
      <c r="C31" s="7">
        <f>C32</f>
        <v>81445430</v>
      </c>
      <c r="D31" s="7">
        <f>D32</f>
        <v>0</v>
      </c>
      <c r="E31" s="7">
        <f t="shared" si="0"/>
        <v>81445430</v>
      </c>
      <c r="F31" s="7">
        <f>F32</f>
        <v>95611614</v>
      </c>
      <c r="G31" s="7">
        <f>G32</f>
        <v>0</v>
      </c>
      <c r="H31" s="7">
        <f t="shared" si="1"/>
        <v>95611614</v>
      </c>
      <c r="I31" s="7">
        <f>+I32</f>
        <v>24008724</v>
      </c>
      <c r="J31" s="60"/>
    </row>
    <row r="32" spans="1:10" x14ac:dyDescent="0.25">
      <c r="A32" s="156" t="s">
        <v>11</v>
      </c>
      <c r="B32" s="157" t="s">
        <v>53</v>
      </c>
      <c r="C32" s="158">
        <f>SUM(C33:C34)</f>
        <v>81445430</v>
      </c>
      <c r="D32" s="158">
        <f>SUM(D33:D34)</f>
        <v>0</v>
      </c>
      <c r="E32" s="158">
        <f t="shared" si="0"/>
        <v>81445430</v>
      </c>
      <c r="F32" s="158">
        <f>SUM(F33:F34)</f>
        <v>95611614</v>
      </c>
      <c r="G32" s="158">
        <f>SUM(G33:G34)</f>
        <v>0</v>
      </c>
      <c r="H32" s="158">
        <f t="shared" si="1"/>
        <v>95611614</v>
      </c>
      <c r="I32" s="158">
        <f>+I33+I34</f>
        <v>24008724</v>
      </c>
    </row>
    <row r="33" spans="1:10" x14ac:dyDescent="0.25">
      <c r="A33" s="11"/>
      <c r="B33" s="17" t="s">
        <v>514</v>
      </c>
      <c r="C33" s="13"/>
      <c r="D33" s="13">
        <v>0</v>
      </c>
      <c r="E33" s="13">
        <f t="shared" si="0"/>
        <v>0</v>
      </c>
      <c r="F33" s="13">
        <v>14166184</v>
      </c>
      <c r="G33" s="13">
        <v>0</v>
      </c>
      <c r="H33" s="13">
        <f t="shared" si="1"/>
        <v>14166184</v>
      </c>
      <c r="I33" s="13">
        <v>0</v>
      </c>
    </row>
    <row r="34" spans="1:10" x14ac:dyDescent="0.25">
      <c r="A34" s="11"/>
      <c r="B34" s="17" t="s">
        <v>544</v>
      </c>
      <c r="C34" s="13">
        <f>C46-C30-C33</f>
        <v>81445430</v>
      </c>
      <c r="D34" s="13">
        <f>D46-D30-D33</f>
        <v>0</v>
      </c>
      <c r="E34" s="13">
        <f t="shared" si="0"/>
        <v>81445430</v>
      </c>
      <c r="F34" s="13">
        <f>F46-F30-F33</f>
        <v>81445430</v>
      </c>
      <c r="G34" s="13">
        <f>G46-G30-G33</f>
        <v>0</v>
      </c>
      <c r="H34" s="13">
        <f t="shared" si="1"/>
        <v>81445430</v>
      </c>
      <c r="I34" s="13">
        <v>24008724</v>
      </c>
    </row>
    <row r="35" spans="1:10" x14ac:dyDescent="0.25">
      <c r="A35" s="33"/>
      <c r="B35" s="34" t="s">
        <v>57</v>
      </c>
      <c r="C35" s="35">
        <f>C30+C31</f>
        <v>83195430</v>
      </c>
      <c r="D35" s="35">
        <f>D30+D31</f>
        <v>0</v>
      </c>
      <c r="E35" s="35">
        <f t="shared" si="0"/>
        <v>83195430</v>
      </c>
      <c r="F35" s="35">
        <f>F30+F31</f>
        <v>97361614</v>
      </c>
      <c r="G35" s="35">
        <f>G30+G31</f>
        <v>0</v>
      </c>
      <c r="H35" s="35">
        <f t="shared" si="1"/>
        <v>97361614</v>
      </c>
      <c r="I35" s="35">
        <f>+I8+I22+I31</f>
        <v>25114120</v>
      </c>
      <c r="J35" s="60"/>
    </row>
    <row r="36" spans="1:10" x14ac:dyDescent="0.25">
      <c r="A36" s="5" t="s">
        <v>8</v>
      </c>
      <c r="B36" s="6" t="s">
        <v>109</v>
      </c>
      <c r="C36" s="7">
        <f>SUM(C37:C41)</f>
        <v>81925430</v>
      </c>
      <c r="D36" s="7">
        <f>SUM(D37:D41)</f>
        <v>0</v>
      </c>
      <c r="E36" s="7">
        <f t="shared" si="0"/>
        <v>81925430</v>
      </c>
      <c r="F36" s="7">
        <f>SUM(F37:F41)</f>
        <v>96091614</v>
      </c>
      <c r="G36" s="7">
        <f>SUM(G37:G41)</f>
        <v>0</v>
      </c>
      <c r="H36" s="7">
        <f t="shared" si="1"/>
        <v>96091614</v>
      </c>
      <c r="I36" s="7">
        <f>+I37+I38+I39+I40+I41</f>
        <v>21700708</v>
      </c>
      <c r="J36" s="60"/>
    </row>
    <row r="37" spans="1:10" x14ac:dyDescent="0.25">
      <c r="A37" s="156" t="s">
        <v>11</v>
      </c>
      <c r="B37" s="157" t="s">
        <v>13</v>
      </c>
      <c r="C37" s="158">
        <f>'[6]5 GSZNR fel'!E9+'[6]5 GSZNR fel'!E16</f>
        <v>53690000</v>
      </c>
      <c r="D37" s="158">
        <f>'[6]5 GSZNR fel'!D9+'[6]5 GSZNR fel'!D16</f>
        <v>0</v>
      </c>
      <c r="E37" s="158">
        <f t="shared" si="0"/>
        <v>53690000</v>
      </c>
      <c r="F37" s="158">
        <f>'[6]5 GSZNR fel'!H9+'[6]5 GSZNR fel'!H16</f>
        <v>53690000</v>
      </c>
      <c r="G37" s="158">
        <f>'[6]5 GSZNR fel'!G9+'[6]5 GSZNR fel'!G16</f>
        <v>0</v>
      </c>
      <c r="H37" s="158">
        <f t="shared" si="1"/>
        <v>53690000</v>
      </c>
      <c r="I37" s="158">
        <f>'[6]5 GSZNR fel'!I9+'[6]5 GSZNR fel'!I16</f>
        <v>15465446</v>
      </c>
    </row>
    <row r="38" spans="1:10" x14ac:dyDescent="0.25">
      <c r="A38" s="156" t="s">
        <v>14</v>
      </c>
      <c r="B38" s="157" t="s">
        <v>16</v>
      </c>
      <c r="C38" s="158">
        <f>'[6]5 GSZNR fel'!E10+'[6]5 GSZNR fel'!E17</f>
        <v>10289630</v>
      </c>
      <c r="D38" s="158">
        <f>'[6]5 GSZNR fel'!D10+'[6]5 GSZNR fel'!D17</f>
        <v>0</v>
      </c>
      <c r="E38" s="158">
        <f t="shared" si="0"/>
        <v>10289630</v>
      </c>
      <c r="F38" s="158">
        <f>'[6]5 GSZNR fel'!H10+'[6]5 GSZNR fel'!H17</f>
        <v>10289630</v>
      </c>
      <c r="G38" s="158">
        <f>'[6]5 GSZNR fel'!G10+'[6]5 GSZNR fel'!G17</f>
        <v>0</v>
      </c>
      <c r="H38" s="158">
        <f t="shared" si="1"/>
        <v>10289630</v>
      </c>
      <c r="I38" s="158">
        <f>'[6]5 GSZNR fel'!I10+'[6]5 GSZNR fel'!I17</f>
        <v>2724706</v>
      </c>
    </row>
    <row r="39" spans="1:10" x14ac:dyDescent="0.25">
      <c r="A39" s="156" t="s">
        <v>17</v>
      </c>
      <c r="B39" s="157" t="s">
        <v>19</v>
      </c>
      <c r="C39" s="158">
        <f>'[6]5 GSZNR fel'!E11+'[6]5 GSZNR fel'!E18</f>
        <v>17945800</v>
      </c>
      <c r="D39" s="158">
        <f>'[6]5 GSZNR fel'!D11+'[6]5 GSZNR fel'!D18</f>
        <v>0</v>
      </c>
      <c r="E39" s="158">
        <f t="shared" si="0"/>
        <v>17945800</v>
      </c>
      <c r="F39" s="158">
        <f>'[6]5 GSZNR fel'!H11+'[6]5 GSZNR fel'!H18</f>
        <v>17945800</v>
      </c>
      <c r="G39" s="158">
        <f>'[6]5 GSZNR fel'!G11+'[6]5 GSZNR fel'!G18</f>
        <v>0</v>
      </c>
      <c r="H39" s="158">
        <f t="shared" si="1"/>
        <v>17945800</v>
      </c>
      <c r="I39" s="158">
        <f>'[6]5 GSZNR fel'!I11+'[6]5 GSZNR fel'!I18</f>
        <v>3510556</v>
      </c>
      <c r="J39" s="60"/>
    </row>
    <row r="40" spans="1:10" x14ac:dyDescent="0.25">
      <c r="A40" s="156" t="s">
        <v>20</v>
      </c>
      <c r="B40" s="157" t="s">
        <v>22</v>
      </c>
      <c r="C40" s="158">
        <v>0</v>
      </c>
      <c r="D40" s="158">
        <v>0</v>
      </c>
      <c r="E40" s="158">
        <f t="shared" si="0"/>
        <v>0</v>
      </c>
      <c r="F40" s="158">
        <v>0</v>
      </c>
      <c r="G40" s="158">
        <v>0</v>
      </c>
      <c r="H40" s="158">
        <f t="shared" si="1"/>
        <v>0</v>
      </c>
      <c r="I40" s="158">
        <v>0</v>
      </c>
    </row>
    <row r="41" spans="1:10" x14ac:dyDescent="0.25">
      <c r="A41" s="156" t="s">
        <v>23</v>
      </c>
      <c r="B41" s="157" t="s">
        <v>24</v>
      </c>
      <c r="C41" s="158">
        <f>+'[6]5 GSZNR fel'!E12</f>
        <v>0</v>
      </c>
      <c r="D41" s="158">
        <f>+'[6]5 GSZNR fel'!D12</f>
        <v>0</v>
      </c>
      <c r="E41" s="158">
        <f t="shared" si="0"/>
        <v>0</v>
      </c>
      <c r="F41" s="158">
        <f>+'[6]5 GSZNR fel'!H12</f>
        <v>14166184</v>
      </c>
      <c r="G41" s="158">
        <f>+'[6]5 GSZNR fel'!G12</f>
        <v>0</v>
      </c>
      <c r="H41" s="158">
        <f t="shared" si="1"/>
        <v>14166184</v>
      </c>
      <c r="I41" s="158">
        <f>+'[6]5 GSZNR fel'!I12</f>
        <v>0</v>
      </c>
    </row>
    <row r="42" spans="1:10" x14ac:dyDescent="0.25">
      <c r="A42" s="5" t="s">
        <v>27</v>
      </c>
      <c r="B42" s="6" t="s">
        <v>115</v>
      </c>
      <c r="C42" s="7">
        <f>SUM(C43:C45)</f>
        <v>1270000</v>
      </c>
      <c r="D42" s="7">
        <f>SUM(D43:D45)</f>
        <v>0</v>
      </c>
      <c r="E42" s="285">
        <f t="shared" si="0"/>
        <v>1270000</v>
      </c>
      <c r="F42" s="7">
        <f>SUM(F43:F45)</f>
        <v>1270000</v>
      </c>
      <c r="G42" s="7">
        <f>SUM(G43:G45)</f>
        <v>0</v>
      </c>
      <c r="H42" s="285">
        <f t="shared" si="1"/>
        <v>1270000</v>
      </c>
      <c r="I42" s="7">
        <f>SUM(I43:I45)</f>
        <v>0</v>
      </c>
      <c r="J42" s="60"/>
    </row>
    <row r="43" spans="1:10" x14ac:dyDescent="0.25">
      <c r="A43" s="156" t="s">
        <v>11</v>
      </c>
      <c r="B43" s="157" t="s">
        <v>545</v>
      </c>
      <c r="C43" s="158">
        <f>'[6]5 GSZNR fel'!E13+'[6]5 GSZNR fel'!E19</f>
        <v>1270000</v>
      </c>
      <c r="D43" s="158">
        <f>'[6]5 GSZNR fel'!D13+'[6]5 GSZNR fel'!D19</f>
        <v>0</v>
      </c>
      <c r="E43" s="158">
        <f t="shared" si="0"/>
        <v>1270000</v>
      </c>
      <c r="F43" s="158">
        <f>'[6]5 GSZNR fel'!H13+'[6]5 GSZNR fel'!H19</f>
        <v>1270000</v>
      </c>
      <c r="G43" s="158">
        <f>'[6]5 GSZNR fel'!G13+'[6]5 GSZNR fel'!G19</f>
        <v>0</v>
      </c>
      <c r="H43" s="158">
        <f t="shared" si="1"/>
        <v>1270000</v>
      </c>
      <c r="I43" s="158">
        <f>'[6]5 GSZNR fel'!I13+'[6]5 GSZNR fel'!I19</f>
        <v>0</v>
      </c>
    </row>
    <row r="44" spans="1:10" x14ac:dyDescent="0.25">
      <c r="A44" s="156" t="s">
        <v>14</v>
      </c>
      <c r="B44" s="157" t="s">
        <v>33</v>
      </c>
      <c r="C44" s="158">
        <f>'[6]5 GSZNR fel'!E14+'[6]5 GSZNR fel'!E20</f>
        <v>0</v>
      </c>
      <c r="D44" s="158">
        <v>0</v>
      </c>
      <c r="E44" s="158">
        <f t="shared" si="0"/>
        <v>0</v>
      </c>
      <c r="F44" s="158">
        <f>'[6]5 GSZNR fel'!H14+'[6]5 GSZNR fel'!H20</f>
        <v>0</v>
      </c>
      <c r="G44" s="158">
        <v>0</v>
      </c>
      <c r="H44" s="158">
        <f t="shared" si="1"/>
        <v>0</v>
      </c>
      <c r="I44" s="158">
        <f>'[6]5 GSZNR fel'!I14+'[6]5 GSZNR fel'!I20</f>
        <v>0</v>
      </c>
    </row>
    <row r="45" spans="1:10" x14ac:dyDescent="0.25">
      <c r="A45" s="156" t="s">
        <v>17</v>
      </c>
      <c r="B45" s="157" t="s">
        <v>35</v>
      </c>
      <c r="C45" s="158">
        <v>0</v>
      </c>
      <c r="D45" s="158">
        <v>0</v>
      </c>
      <c r="E45" s="158">
        <f t="shared" si="0"/>
        <v>0</v>
      </c>
      <c r="F45" s="158">
        <v>0</v>
      </c>
      <c r="G45" s="158">
        <v>0</v>
      </c>
      <c r="H45" s="158">
        <f t="shared" si="1"/>
        <v>0</v>
      </c>
      <c r="I45" s="158">
        <v>0</v>
      </c>
    </row>
    <row r="46" spans="1:10" x14ac:dyDescent="0.25">
      <c r="A46" s="33"/>
      <c r="B46" s="34" t="s">
        <v>58</v>
      </c>
      <c r="C46" s="35">
        <f>C36+C42</f>
        <v>83195430</v>
      </c>
      <c r="D46" s="35">
        <f>D36+D42</f>
        <v>0</v>
      </c>
      <c r="E46" s="35">
        <f t="shared" si="0"/>
        <v>83195430</v>
      </c>
      <c r="F46" s="35">
        <f>F36+F42</f>
        <v>97361614</v>
      </c>
      <c r="G46" s="35">
        <f>G36+G42</f>
        <v>0</v>
      </c>
      <c r="H46" s="35">
        <f t="shared" si="1"/>
        <v>97361614</v>
      </c>
      <c r="I46" s="35">
        <f>+I42+I36</f>
        <v>21700708</v>
      </c>
      <c r="J46" s="60"/>
    </row>
    <row r="47" spans="1:10" x14ac:dyDescent="0.25">
      <c r="H47" s="60">
        <f>+H46-E46</f>
        <v>14166184</v>
      </c>
    </row>
  </sheetData>
  <mergeCells count="5">
    <mergeCell ref="A4:A5"/>
    <mergeCell ref="B4:B5"/>
    <mergeCell ref="C4:E4"/>
    <mergeCell ref="F4:H4"/>
    <mergeCell ref="I4:I5"/>
  </mergeCells>
  <printOptions horizontalCentered="1"/>
  <pageMargins left="0.19685039370078741" right="0.19685039370078741" top="0.82677165354330717" bottom="0.19685039370078741" header="0.31496062992125984" footer="0.31496062992125984"/>
  <pageSetup paperSize="9" scale="80" fitToWidth="0" fitToHeight="0" orientation="landscape" copies="2" r:id="rId1"/>
  <headerFooter>
    <oddHeader>&amp;L4/A.  melléklet a ......./2020. (.................) önkormányzati rendelethez&amp;C&amp;"-,Félkövér"&amp;16
A Walla József Óvoda 2020. évi bevételei és kiadásai jogcímenként és feladatonként</oddHeader>
    <oddFooter>&amp;C&amp;P&amp;R&amp;D,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7AE66-2E24-4144-A58D-BED9C5B4F23D}">
  <dimension ref="A1:J47"/>
  <sheetViews>
    <sheetView view="pageBreakPreview" topLeftCell="A11" zoomScale="96" zoomScaleNormal="100" zoomScaleSheetLayoutView="96" workbookViewId="0">
      <selection activeCell="J1" sqref="J1:J1048576"/>
    </sheetView>
  </sheetViews>
  <sheetFormatPr defaultRowHeight="15" x14ac:dyDescent="0.25"/>
  <cols>
    <col min="1" max="1" width="7.140625" style="122" customWidth="1"/>
    <col min="2" max="2" width="52.140625" customWidth="1"/>
    <col min="3" max="3" width="13.28515625" customWidth="1"/>
    <col min="5" max="5" width="16.5703125" bestFit="1" customWidth="1"/>
    <col min="6" max="6" width="13.28515625" customWidth="1"/>
    <col min="8" max="8" width="16.5703125" bestFit="1" customWidth="1"/>
    <col min="9" max="9" width="16.5703125" hidden="1" customWidth="1"/>
    <col min="10" max="10" width="12.7109375" customWidth="1"/>
  </cols>
  <sheetData>
    <row r="1" spans="1:10" x14ac:dyDescent="0.25">
      <c r="E1" s="265"/>
      <c r="H1" s="265" t="s">
        <v>0</v>
      </c>
    </row>
    <row r="2" spans="1:10" ht="15" customHeight="1" x14ac:dyDescent="0.25">
      <c r="A2" s="154" t="s">
        <v>556</v>
      </c>
      <c r="B2" s="154" t="s">
        <v>557</v>
      </c>
      <c r="C2" s="283"/>
      <c r="D2" s="283"/>
      <c r="E2" s="283"/>
      <c r="F2" s="283"/>
      <c r="G2" s="283"/>
      <c r="H2" s="283"/>
      <c r="I2" s="283"/>
    </row>
    <row r="3" spans="1:10" x14ac:dyDescent="0.25">
      <c r="A3" s="154" t="s">
        <v>558</v>
      </c>
      <c r="B3" s="154" t="s">
        <v>560</v>
      </c>
      <c r="C3" s="283"/>
      <c r="D3" s="283"/>
      <c r="E3" s="283"/>
      <c r="F3" s="283"/>
      <c r="G3" s="283"/>
      <c r="H3" s="283"/>
      <c r="I3" s="283"/>
    </row>
    <row r="4" spans="1:10" ht="57.75" customHeight="1" x14ac:dyDescent="0.25">
      <c r="A4" s="418" t="s">
        <v>1</v>
      </c>
      <c r="B4" s="432" t="s">
        <v>128</v>
      </c>
      <c r="C4" s="419" t="s">
        <v>6</v>
      </c>
      <c r="D4" s="420"/>
      <c r="E4" s="421"/>
      <c r="F4" s="419" t="s">
        <v>59</v>
      </c>
      <c r="G4" s="420"/>
      <c r="H4" s="421"/>
      <c r="I4" s="418" t="s">
        <v>60</v>
      </c>
    </row>
    <row r="5" spans="1:10" ht="60" x14ac:dyDescent="0.25">
      <c r="A5" s="418"/>
      <c r="B5" s="432"/>
      <c r="C5" s="4" t="s">
        <v>61</v>
      </c>
      <c r="D5" s="4" t="s">
        <v>62</v>
      </c>
      <c r="E5" s="4" t="s">
        <v>64</v>
      </c>
      <c r="F5" s="4" t="s">
        <v>61</v>
      </c>
      <c r="G5" s="4" t="s">
        <v>62</v>
      </c>
      <c r="H5" s="4" t="s">
        <v>64</v>
      </c>
      <c r="I5" s="418"/>
    </row>
    <row r="6" spans="1:10" x14ac:dyDescent="0.25">
      <c r="A6" s="171"/>
      <c r="B6" s="284" t="s">
        <v>360</v>
      </c>
      <c r="C6" s="172">
        <v>32</v>
      </c>
      <c r="D6" s="172"/>
      <c r="E6" s="172">
        <f t="shared" ref="E6:E46" si="0">SUM(C6:D6)</f>
        <v>32</v>
      </c>
      <c r="F6" s="172">
        <v>32</v>
      </c>
      <c r="G6" s="172"/>
      <c r="H6" s="172">
        <f t="shared" ref="H6:H46" si="1">SUM(F6:G6)</f>
        <v>32</v>
      </c>
    </row>
    <row r="7" spans="1:10" x14ac:dyDescent="0.25">
      <c r="A7" s="171"/>
      <c r="B7" s="284" t="s">
        <v>361</v>
      </c>
      <c r="C7" s="172"/>
      <c r="D7" s="172"/>
      <c r="E7" s="172">
        <f t="shared" si="0"/>
        <v>0</v>
      </c>
      <c r="F7" s="172"/>
      <c r="G7" s="172"/>
      <c r="H7" s="172">
        <f t="shared" si="1"/>
        <v>0</v>
      </c>
    </row>
    <row r="8" spans="1:10" x14ac:dyDescent="0.25">
      <c r="A8" s="5" t="s">
        <v>8</v>
      </c>
      <c r="B8" s="6" t="s">
        <v>9</v>
      </c>
      <c r="C8" s="7">
        <f>C9+C11+C20</f>
        <v>6300000</v>
      </c>
      <c r="D8" s="7">
        <f>D9+D11+D20</f>
        <v>0</v>
      </c>
      <c r="E8" s="7">
        <f t="shared" si="0"/>
        <v>6300000</v>
      </c>
      <c r="F8" s="7">
        <f>F9+F11+F20</f>
        <v>6300000</v>
      </c>
      <c r="G8" s="7">
        <f>G9+G11+G20</f>
        <v>0</v>
      </c>
      <c r="H8" s="7">
        <f t="shared" si="1"/>
        <v>6300000</v>
      </c>
      <c r="I8" s="7">
        <f>+I9+I11+I20</f>
        <v>2149635</v>
      </c>
      <c r="J8" s="60"/>
    </row>
    <row r="9" spans="1:10" x14ac:dyDescent="0.25">
      <c r="A9" s="156" t="s">
        <v>11</v>
      </c>
      <c r="B9" s="157" t="s">
        <v>12</v>
      </c>
      <c r="C9" s="158">
        <f>C10</f>
        <v>0</v>
      </c>
      <c r="D9" s="158">
        <f>D10</f>
        <v>0</v>
      </c>
      <c r="E9" s="158">
        <f t="shared" si="0"/>
        <v>0</v>
      </c>
      <c r="F9" s="158">
        <f>F10</f>
        <v>0</v>
      </c>
      <c r="G9" s="158">
        <f>G10</f>
        <v>0</v>
      </c>
      <c r="H9" s="158">
        <f t="shared" si="1"/>
        <v>0</v>
      </c>
      <c r="I9" s="158">
        <f>SUM(G9:H9)</f>
        <v>0</v>
      </c>
    </row>
    <row r="10" spans="1:10" ht="30" hidden="1" x14ac:dyDescent="0.25">
      <c r="A10" s="11"/>
      <c r="B10" s="82" t="s">
        <v>529</v>
      </c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13">
        <f>SUM(G10:H10)</f>
        <v>0</v>
      </c>
    </row>
    <row r="11" spans="1:10" x14ac:dyDescent="0.25">
      <c r="A11" s="156" t="s">
        <v>14</v>
      </c>
      <c r="B11" s="157" t="s">
        <v>18</v>
      </c>
      <c r="C11" s="158">
        <f>C12+C13+C14+C15+C16+C17+C18+C19</f>
        <v>6300000</v>
      </c>
      <c r="D11" s="158">
        <f>D12+D13+D14+D15+D16+D17+D18+D19</f>
        <v>0</v>
      </c>
      <c r="E11" s="158">
        <f t="shared" si="0"/>
        <v>6300000</v>
      </c>
      <c r="F11" s="158">
        <f>F12+F13+F14+F15+F16+F17+F18+F19</f>
        <v>6300000</v>
      </c>
      <c r="G11" s="158">
        <f>G12+G13+G14+G15+G16+G17+G18+G19</f>
        <v>0</v>
      </c>
      <c r="H11" s="158">
        <f t="shared" si="1"/>
        <v>6300000</v>
      </c>
      <c r="I11" s="158">
        <f>SUM(I12:I19)</f>
        <v>2149635</v>
      </c>
      <c r="J11" s="60"/>
    </row>
    <row r="12" spans="1:10" x14ac:dyDescent="0.25">
      <c r="A12" s="11"/>
      <c r="B12" s="82" t="s">
        <v>532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  <c r="I12" s="13"/>
    </row>
    <row r="13" spans="1:10" x14ac:dyDescent="0.25">
      <c r="A13" s="11"/>
      <c r="B13" s="82" t="s">
        <v>533</v>
      </c>
      <c r="C13" s="85">
        <v>0</v>
      </c>
      <c r="D13" s="85">
        <v>0</v>
      </c>
      <c r="E13" s="85">
        <f t="shared" si="0"/>
        <v>0</v>
      </c>
      <c r="F13" s="85">
        <v>0</v>
      </c>
      <c r="G13" s="85">
        <v>0</v>
      </c>
      <c r="H13" s="85">
        <f t="shared" si="1"/>
        <v>0</v>
      </c>
      <c r="I13" s="85"/>
    </row>
    <row r="14" spans="1:10" x14ac:dyDescent="0.25">
      <c r="A14" s="11"/>
      <c r="B14" s="82" t="s">
        <v>534</v>
      </c>
      <c r="C14" s="85">
        <v>0</v>
      </c>
      <c r="D14" s="85">
        <v>0</v>
      </c>
      <c r="E14" s="85">
        <f t="shared" si="0"/>
        <v>0</v>
      </c>
      <c r="F14" s="85">
        <v>0</v>
      </c>
      <c r="G14" s="85">
        <v>0</v>
      </c>
      <c r="H14" s="85">
        <f t="shared" si="1"/>
        <v>0</v>
      </c>
      <c r="I14" s="13"/>
    </row>
    <row r="15" spans="1:10" x14ac:dyDescent="0.25">
      <c r="A15" s="11"/>
      <c r="B15" s="82" t="s">
        <v>535</v>
      </c>
      <c r="C15" s="13">
        <v>4300000</v>
      </c>
      <c r="D15" s="13">
        <v>0</v>
      </c>
      <c r="E15" s="13">
        <f t="shared" si="0"/>
        <v>4300000</v>
      </c>
      <c r="F15" s="13">
        <v>4300000</v>
      </c>
      <c r="G15" s="13">
        <v>0</v>
      </c>
      <c r="H15" s="13">
        <f t="shared" si="1"/>
        <v>4300000</v>
      </c>
      <c r="I15" s="13">
        <v>1310354</v>
      </c>
    </row>
    <row r="16" spans="1:10" x14ac:dyDescent="0.25">
      <c r="A16" s="11"/>
      <c r="B16" s="82" t="s">
        <v>536</v>
      </c>
      <c r="C16" s="13">
        <v>1200000</v>
      </c>
      <c r="D16" s="13">
        <v>0</v>
      </c>
      <c r="E16" s="13">
        <f t="shared" si="0"/>
        <v>1200000</v>
      </c>
      <c r="F16" s="13">
        <v>1200000</v>
      </c>
      <c r="G16" s="13">
        <v>0</v>
      </c>
      <c r="H16" s="13">
        <f t="shared" si="1"/>
        <v>1200000</v>
      </c>
      <c r="I16" s="13">
        <v>353790</v>
      </c>
    </row>
    <row r="17" spans="1:10" x14ac:dyDescent="0.25">
      <c r="A17" s="11"/>
      <c r="B17" s="82" t="s">
        <v>537</v>
      </c>
      <c r="C17" s="13">
        <v>800000</v>
      </c>
      <c r="D17" s="13">
        <v>0</v>
      </c>
      <c r="E17" s="13">
        <f t="shared" si="0"/>
        <v>800000</v>
      </c>
      <c r="F17" s="13">
        <v>800000</v>
      </c>
      <c r="G17" s="13">
        <v>0</v>
      </c>
      <c r="H17" s="13">
        <f t="shared" si="1"/>
        <v>800000</v>
      </c>
      <c r="I17" s="13">
        <v>482000</v>
      </c>
    </row>
    <row r="18" spans="1:10" x14ac:dyDescent="0.25">
      <c r="A18" s="11"/>
      <c r="B18" s="82" t="s">
        <v>538</v>
      </c>
      <c r="C18" s="13">
        <v>0</v>
      </c>
      <c r="D18" s="13">
        <v>0</v>
      </c>
      <c r="E18" s="13">
        <f t="shared" si="0"/>
        <v>0</v>
      </c>
      <c r="F18" s="13">
        <v>0</v>
      </c>
      <c r="G18" s="13">
        <v>0</v>
      </c>
      <c r="H18" s="13">
        <f t="shared" si="1"/>
        <v>0</v>
      </c>
      <c r="I18" s="13"/>
    </row>
    <row r="19" spans="1:10" x14ac:dyDescent="0.25">
      <c r="A19" s="11"/>
      <c r="B19" s="82" t="s">
        <v>539</v>
      </c>
      <c r="C19" s="13">
        <v>0</v>
      </c>
      <c r="D19" s="13">
        <v>0</v>
      </c>
      <c r="E19" s="13">
        <f t="shared" si="0"/>
        <v>0</v>
      </c>
      <c r="F19" s="13">
        <v>0</v>
      </c>
      <c r="G19" s="13">
        <v>0</v>
      </c>
      <c r="H19" s="13">
        <f t="shared" si="1"/>
        <v>0</v>
      </c>
      <c r="I19" s="13">
        <v>3491</v>
      </c>
    </row>
    <row r="20" spans="1:10" x14ac:dyDescent="0.25">
      <c r="A20" s="156" t="s">
        <v>17</v>
      </c>
      <c r="B20" s="157" t="s">
        <v>21</v>
      </c>
      <c r="C20" s="158">
        <f>SUM(C21:C21)</f>
        <v>0</v>
      </c>
      <c r="D20" s="158">
        <f>SUM(D21:D21)</f>
        <v>0</v>
      </c>
      <c r="E20" s="158">
        <f t="shared" si="0"/>
        <v>0</v>
      </c>
      <c r="F20" s="158">
        <f>SUM(F21:F21)</f>
        <v>0</v>
      </c>
      <c r="G20" s="158">
        <f>SUM(G21:G21)</f>
        <v>0</v>
      </c>
      <c r="H20" s="158">
        <f t="shared" si="1"/>
        <v>0</v>
      </c>
      <c r="I20" s="158">
        <f>SUM(G20:H20)</f>
        <v>0</v>
      </c>
    </row>
    <row r="21" spans="1:10" hidden="1" x14ac:dyDescent="0.25">
      <c r="A21" s="11"/>
      <c r="B21" s="82" t="s">
        <v>540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  <c r="I21" s="13">
        <f>SUM(G21:H21)</f>
        <v>0</v>
      </c>
    </row>
    <row r="22" spans="1:10" x14ac:dyDescent="0.25">
      <c r="A22" s="5" t="s">
        <v>27</v>
      </c>
      <c r="B22" s="6" t="s">
        <v>28</v>
      </c>
      <c r="C22" s="7">
        <f>C23+C25+C28</f>
        <v>0</v>
      </c>
      <c r="D22" s="7">
        <f>D23+D25+D28</f>
        <v>0</v>
      </c>
      <c r="E22" s="7">
        <f t="shared" si="0"/>
        <v>0</v>
      </c>
      <c r="F22" s="7">
        <f>F23+F25+F28</f>
        <v>0</v>
      </c>
      <c r="G22" s="7">
        <f>G23+G25+G28</f>
        <v>0</v>
      </c>
      <c r="H22" s="7">
        <f t="shared" si="1"/>
        <v>0</v>
      </c>
      <c r="I22" s="7">
        <v>0</v>
      </c>
    </row>
    <row r="23" spans="1:10" hidden="1" x14ac:dyDescent="0.25">
      <c r="A23" s="156" t="s">
        <v>11</v>
      </c>
      <c r="B23" s="157" t="s">
        <v>30</v>
      </c>
      <c r="C23" s="158">
        <f>SUM(C24:C24)</f>
        <v>0</v>
      </c>
      <c r="D23" s="158">
        <f>SUM(D24:D24)</f>
        <v>0</v>
      </c>
      <c r="E23" s="158">
        <f t="shared" si="0"/>
        <v>0</v>
      </c>
      <c r="F23" s="158">
        <f>SUM(F24:F24)</f>
        <v>0</v>
      </c>
      <c r="G23" s="158">
        <f>SUM(G24:G24)</f>
        <v>0</v>
      </c>
      <c r="H23" s="158">
        <f t="shared" si="1"/>
        <v>0</v>
      </c>
      <c r="I23" s="158">
        <f t="shared" ref="I23:I29" si="2">SUM(G23:H23)</f>
        <v>0</v>
      </c>
    </row>
    <row r="24" spans="1:10" ht="30" hidden="1" x14ac:dyDescent="0.25">
      <c r="A24" s="11"/>
      <c r="B24" s="12" t="s">
        <v>541</v>
      </c>
      <c r="C24" s="13">
        <v>0</v>
      </c>
      <c r="D24" s="13">
        <v>0</v>
      </c>
      <c r="E24" s="13">
        <f t="shared" si="0"/>
        <v>0</v>
      </c>
      <c r="F24" s="13">
        <v>0</v>
      </c>
      <c r="G24" s="13">
        <v>0</v>
      </c>
      <c r="H24" s="13">
        <f t="shared" si="1"/>
        <v>0</v>
      </c>
      <c r="I24" s="13">
        <f t="shared" si="2"/>
        <v>0</v>
      </c>
    </row>
    <row r="25" spans="1:10" hidden="1" x14ac:dyDescent="0.25">
      <c r="A25" s="156" t="s">
        <v>14</v>
      </c>
      <c r="B25" s="157" t="s">
        <v>32</v>
      </c>
      <c r="C25" s="158">
        <f>SUM(C26:C27)</f>
        <v>0</v>
      </c>
      <c r="D25" s="158">
        <f>SUM(D26:D27)</f>
        <v>0</v>
      </c>
      <c r="E25" s="158">
        <f t="shared" si="0"/>
        <v>0</v>
      </c>
      <c r="F25" s="158">
        <f>SUM(F26:F27)</f>
        <v>0</v>
      </c>
      <c r="G25" s="158">
        <f>SUM(G26:G27)</f>
        <v>0</v>
      </c>
      <c r="H25" s="158">
        <f t="shared" si="1"/>
        <v>0</v>
      </c>
      <c r="I25" s="158">
        <f t="shared" si="2"/>
        <v>0</v>
      </c>
    </row>
    <row r="26" spans="1:10" hidden="1" x14ac:dyDescent="0.25">
      <c r="A26" s="11"/>
      <c r="B26" s="17" t="s">
        <v>89</v>
      </c>
      <c r="C26" s="13">
        <v>0</v>
      </c>
      <c r="D26" s="13">
        <v>0</v>
      </c>
      <c r="E26" s="13">
        <f t="shared" si="0"/>
        <v>0</v>
      </c>
      <c r="F26" s="13">
        <v>0</v>
      </c>
      <c r="G26" s="13">
        <v>0</v>
      </c>
      <c r="H26" s="13">
        <f t="shared" si="1"/>
        <v>0</v>
      </c>
      <c r="I26" s="13">
        <f t="shared" si="2"/>
        <v>0</v>
      </c>
    </row>
    <row r="27" spans="1:10" hidden="1" x14ac:dyDescent="0.25">
      <c r="A27" s="11"/>
      <c r="B27" s="17" t="s">
        <v>542</v>
      </c>
      <c r="C27" s="13">
        <v>0</v>
      </c>
      <c r="D27" s="13">
        <v>0</v>
      </c>
      <c r="E27" s="13">
        <f t="shared" si="0"/>
        <v>0</v>
      </c>
      <c r="F27" s="13">
        <v>0</v>
      </c>
      <c r="G27" s="13">
        <v>0</v>
      </c>
      <c r="H27" s="13">
        <f t="shared" si="1"/>
        <v>0</v>
      </c>
      <c r="I27" s="13">
        <f t="shared" si="2"/>
        <v>0</v>
      </c>
    </row>
    <row r="28" spans="1:10" hidden="1" x14ac:dyDescent="0.25">
      <c r="A28" s="156" t="s">
        <v>17</v>
      </c>
      <c r="B28" s="157" t="s">
        <v>34</v>
      </c>
      <c r="C28" s="158">
        <f>SUM(C29:C29)</f>
        <v>0</v>
      </c>
      <c r="D28" s="158">
        <f>SUM(D29:D29)</f>
        <v>0</v>
      </c>
      <c r="E28" s="158">
        <f t="shared" si="0"/>
        <v>0</v>
      </c>
      <c r="F28" s="158">
        <f>SUM(F29:F29)</f>
        <v>0</v>
      </c>
      <c r="G28" s="158">
        <f>SUM(G29:G29)</f>
        <v>0</v>
      </c>
      <c r="H28" s="158">
        <f t="shared" si="1"/>
        <v>0</v>
      </c>
      <c r="I28" s="158">
        <f t="shared" si="2"/>
        <v>0</v>
      </c>
    </row>
    <row r="29" spans="1:10" hidden="1" x14ac:dyDescent="0.25">
      <c r="A29" s="11"/>
      <c r="B29" s="17" t="s">
        <v>543</v>
      </c>
      <c r="C29" s="13">
        <v>0</v>
      </c>
      <c r="D29" s="13">
        <v>0</v>
      </c>
      <c r="E29" s="13">
        <f t="shared" si="0"/>
        <v>0</v>
      </c>
      <c r="F29" s="13">
        <v>0</v>
      </c>
      <c r="G29" s="13">
        <v>0</v>
      </c>
      <c r="H29" s="13">
        <f t="shared" si="1"/>
        <v>0</v>
      </c>
      <c r="I29" s="13">
        <f t="shared" si="2"/>
        <v>0</v>
      </c>
    </row>
    <row r="30" spans="1:10" x14ac:dyDescent="0.25">
      <c r="A30" s="3"/>
      <c r="B30" s="24" t="s">
        <v>38</v>
      </c>
      <c r="C30" s="26">
        <f>C22+C8</f>
        <v>6300000</v>
      </c>
      <c r="D30" s="26">
        <f>D22+D8</f>
        <v>0</v>
      </c>
      <c r="E30" s="26">
        <f t="shared" si="0"/>
        <v>6300000</v>
      </c>
      <c r="F30" s="26">
        <f>F22+F8</f>
        <v>6300000</v>
      </c>
      <c r="G30" s="26">
        <f>G22+G8</f>
        <v>0</v>
      </c>
      <c r="H30" s="26">
        <f t="shared" si="1"/>
        <v>6300000</v>
      </c>
      <c r="I30" s="26">
        <f>+I22+I8</f>
        <v>2149635</v>
      </c>
      <c r="J30" s="60"/>
    </row>
    <row r="31" spans="1:10" x14ac:dyDescent="0.25">
      <c r="A31" s="5" t="s">
        <v>42</v>
      </c>
      <c r="B31" s="6" t="s">
        <v>43</v>
      </c>
      <c r="C31" s="7">
        <f>C32</f>
        <v>197026150</v>
      </c>
      <c r="D31" s="7">
        <f>D32</f>
        <v>0</v>
      </c>
      <c r="E31" s="7">
        <f t="shared" si="0"/>
        <v>197026150</v>
      </c>
      <c r="F31" s="7">
        <f>F32</f>
        <v>205476274</v>
      </c>
      <c r="G31" s="7">
        <f>G32</f>
        <v>0</v>
      </c>
      <c r="H31" s="7">
        <f t="shared" si="1"/>
        <v>205476274</v>
      </c>
      <c r="I31" s="7">
        <f>+I32</f>
        <v>62729668</v>
      </c>
      <c r="J31" s="60"/>
    </row>
    <row r="32" spans="1:10" x14ac:dyDescent="0.25">
      <c r="A32" s="156" t="s">
        <v>11</v>
      </c>
      <c r="B32" s="157" t="s">
        <v>53</v>
      </c>
      <c r="C32" s="158">
        <f>SUM(C33:C34)</f>
        <v>197026150</v>
      </c>
      <c r="D32" s="158">
        <f>SUM(D33:D34)</f>
        <v>0</v>
      </c>
      <c r="E32" s="158">
        <f t="shared" si="0"/>
        <v>197026150</v>
      </c>
      <c r="F32" s="158">
        <f>SUM(F33:F34)</f>
        <v>205476274</v>
      </c>
      <c r="G32" s="158">
        <f>SUM(G33:G34)</f>
        <v>0</v>
      </c>
      <c r="H32" s="158">
        <f t="shared" si="1"/>
        <v>205476274</v>
      </c>
      <c r="I32" s="158">
        <f>+I33+I34</f>
        <v>62729668</v>
      </c>
    </row>
    <row r="33" spans="1:10" x14ac:dyDescent="0.25">
      <c r="A33" s="11"/>
      <c r="B33" s="17" t="s">
        <v>514</v>
      </c>
      <c r="C33" s="13">
        <v>0</v>
      </c>
      <c r="D33" s="13">
        <v>0</v>
      </c>
      <c r="E33" s="13">
        <f t="shared" si="0"/>
        <v>0</v>
      </c>
      <c r="F33" s="13">
        <v>8450124</v>
      </c>
      <c r="G33" s="13">
        <v>0</v>
      </c>
      <c r="H33" s="13">
        <f t="shared" si="1"/>
        <v>8450124</v>
      </c>
      <c r="I33" s="13">
        <v>0</v>
      </c>
    </row>
    <row r="34" spans="1:10" x14ac:dyDescent="0.25">
      <c r="A34" s="11"/>
      <c r="B34" s="17" t="s">
        <v>544</v>
      </c>
      <c r="C34" s="13">
        <f>C36+C42-C8-C22-C33</f>
        <v>197026150</v>
      </c>
      <c r="D34" s="13">
        <f>D36+D42-D8-D22-D33</f>
        <v>0</v>
      </c>
      <c r="E34" s="13">
        <f t="shared" si="0"/>
        <v>197026150</v>
      </c>
      <c r="F34" s="13">
        <f>F36+F42-F8-F22-F33</f>
        <v>197026150</v>
      </c>
      <c r="G34" s="13">
        <f>G36+G42-G8-G22-G33</f>
        <v>0</v>
      </c>
      <c r="H34" s="13">
        <f t="shared" si="1"/>
        <v>197026150</v>
      </c>
      <c r="I34" s="13">
        <v>62729668</v>
      </c>
    </row>
    <row r="35" spans="1:10" x14ac:dyDescent="0.25">
      <c r="A35" s="33"/>
      <c r="B35" s="34" t="s">
        <v>57</v>
      </c>
      <c r="C35" s="35">
        <f>C31+C22+C8</f>
        <v>203326150</v>
      </c>
      <c r="D35" s="35">
        <f>D31+D22+D8</f>
        <v>0</v>
      </c>
      <c r="E35" s="35">
        <f t="shared" si="0"/>
        <v>203326150</v>
      </c>
      <c r="F35" s="35">
        <f>F31+F22+F8</f>
        <v>211776274</v>
      </c>
      <c r="G35" s="35">
        <f>G31+G22+G8</f>
        <v>0</v>
      </c>
      <c r="H35" s="35">
        <f t="shared" si="1"/>
        <v>211776274</v>
      </c>
      <c r="I35" s="35">
        <f>+I8+I22+I31</f>
        <v>64879303</v>
      </c>
      <c r="J35" s="60"/>
    </row>
    <row r="36" spans="1:10" x14ac:dyDescent="0.25">
      <c r="A36" s="5" t="s">
        <v>8</v>
      </c>
      <c r="B36" s="6" t="s">
        <v>109</v>
      </c>
      <c r="C36" s="7">
        <f>SUM(C37:C41)</f>
        <v>202056150</v>
      </c>
      <c r="D36" s="7">
        <f>SUM(D37:D41)</f>
        <v>0</v>
      </c>
      <c r="E36" s="7">
        <f t="shared" si="0"/>
        <v>202056150</v>
      </c>
      <c r="F36" s="7">
        <f>SUM(F37:F41)</f>
        <v>209502974</v>
      </c>
      <c r="G36" s="7">
        <f>SUM(G37:G41)</f>
        <v>0</v>
      </c>
      <c r="H36" s="7">
        <f t="shared" si="1"/>
        <v>209502974</v>
      </c>
      <c r="I36" s="7">
        <f>+I37+I38+I39+I40+I41</f>
        <v>61929106</v>
      </c>
      <c r="J36" s="60"/>
    </row>
    <row r="37" spans="1:10" x14ac:dyDescent="0.25">
      <c r="A37" s="156" t="s">
        <v>11</v>
      </c>
      <c r="B37" s="157" t="s">
        <v>13</v>
      </c>
      <c r="C37" s="158">
        <f>'[6]5 GSZNR fel'!E24+'[6]5 GSZNR fel'!E30</f>
        <v>125417000</v>
      </c>
      <c r="D37" s="158">
        <f>'[6]5 GSZNR fel'!D24+'[6]5 GSZNR fel'!D30</f>
        <v>0</v>
      </c>
      <c r="E37" s="158">
        <f t="shared" si="0"/>
        <v>125417000</v>
      </c>
      <c r="F37" s="158">
        <f>'[6]5 GSZNR fel'!H24+'[6]5 GSZNR fel'!H30</f>
        <v>125417000</v>
      </c>
      <c r="G37" s="158">
        <f>'[6]5 GSZNR fel'!G24+'[6]5 GSZNR fel'!G30</f>
        <v>0</v>
      </c>
      <c r="H37" s="158">
        <f t="shared" si="1"/>
        <v>125417000</v>
      </c>
      <c r="I37" s="158">
        <f>'[6]5 GSZNR fel'!I24+'[6]5 GSZNR fel'!I30</f>
        <v>40919429</v>
      </c>
    </row>
    <row r="38" spans="1:10" x14ac:dyDescent="0.25">
      <c r="A38" s="156" t="s">
        <v>14</v>
      </c>
      <c r="B38" s="157" t="s">
        <v>16</v>
      </c>
      <c r="C38" s="158">
        <f>'[6]5 GSZNR fel'!E25+'[6]5 GSZNR fel'!E31</f>
        <v>26169150</v>
      </c>
      <c r="D38" s="158">
        <f>'[6]5 GSZNR fel'!D25+'[6]5 GSZNR fel'!D31</f>
        <v>0</v>
      </c>
      <c r="E38" s="158">
        <f t="shared" si="0"/>
        <v>26169150</v>
      </c>
      <c r="F38" s="158">
        <f>'[6]5 GSZNR fel'!H25+'[6]5 GSZNR fel'!H31</f>
        <v>26169150</v>
      </c>
      <c r="G38" s="158">
        <f>'[6]5 GSZNR fel'!G25+'[6]5 GSZNR fel'!G31</f>
        <v>0</v>
      </c>
      <c r="H38" s="158">
        <f t="shared" si="1"/>
        <v>26169150</v>
      </c>
      <c r="I38" s="158">
        <f>'[6]5 GSZNR fel'!I25+'[6]5 GSZNR fel'!I31</f>
        <v>8499537</v>
      </c>
    </row>
    <row r="39" spans="1:10" x14ac:dyDescent="0.25">
      <c r="A39" s="156" t="s">
        <v>17</v>
      </c>
      <c r="B39" s="157" t="s">
        <v>19</v>
      </c>
      <c r="C39" s="158">
        <f>'[6]5 GSZNR fel'!E26+'[6]5 GSZNR fel'!E32</f>
        <v>50470000</v>
      </c>
      <c r="D39" s="158">
        <f>'[6]5 GSZNR fel'!D26+'[6]5 GSZNR fel'!D32</f>
        <v>0</v>
      </c>
      <c r="E39" s="158">
        <f t="shared" si="0"/>
        <v>50470000</v>
      </c>
      <c r="F39" s="158">
        <f>'[6]5 GSZNR fel'!H26+'[6]5 GSZNR fel'!H32</f>
        <v>49672440</v>
      </c>
      <c r="G39" s="158">
        <f>'[6]5 GSZNR fel'!G26+'[6]5 GSZNR fel'!G32</f>
        <v>0</v>
      </c>
      <c r="H39" s="158">
        <f t="shared" si="1"/>
        <v>49672440</v>
      </c>
      <c r="I39" s="158">
        <f>'[6]5 GSZNR fel'!I26+'[6]5 GSZNR fel'!I32</f>
        <v>12510140</v>
      </c>
      <c r="J39" s="60"/>
    </row>
    <row r="40" spans="1:10" x14ac:dyDescent="0.25">
      <c r="A40" s="156" t="s">
        <v>20</v>
      </c>
      <c r="B40" s="157" t="s">
        <v>22</v>
      </c>
      <c r="C40" s="158">
        <v>0</v>
      </c>
      <c r="D40" s="158">
        <v>0</v>
      </c>
      <c r="E40" s="158">
        <f t="shared" si="0"/>
        <v>0</v>
      </c>
      <c r="F40" s="158">
        <v>0</v>
      </c>
      <c r="G40" s="158">
        <v>0</v>
      </c>
      <c r="H40" s="158">
        <f t="shared" si="1"/>
        <v>0</v>
      </c>
      <c r="I40" s="158">
        <v>0</v>
      </c>
    </row>
    <row r="41" spans="1:10" x14ac:dyDescent="0.25">
      <c r="A41" s="156" t="s">
        <v>23</v>
      </c>
      <c r="B41" s="157" t="s">
        <v>24</v>
      </c>
      <c r="C41" s="158">
        <f>+'[6]5 GSZNR fel'!E27</f>
        <v>0</v>
      </c>
      <c r="D41" s="158">
        <f>+'[6]5 GSZNR fel'!D27</f>
        <v>0</v>
      </c>
      <c r="E41" s="158">
        <f t="shared" si="0"/>
        <v>0</v>
      </c>
      <c r="F41" s="158">
        <f>+'[6]5 GSZNR fel'!H27</f>
        <v>8244384</v>
      </c>
      <c r="G41" s="158">
        <f>+'[6]5 GSZNR fel'!G27</f>
        <v>0</v>
      </c>
      <c r="H41" s="158">
        <f t="shared" si="1"/>
        <v>8244384</v>
      </c>
      <c r="I41" s="158">
        <f>+'[6]5 GSZNR fel'!I27</f>
        <v>0</v>
      </c>
    </row>
    <row r="42" spans="1:10" x14ac:dyDescent="0.25">
      <c r="A42" s="5" t="s">
        <v>27</v>
      </c>
      <c r="B42" s="6" t="s">
        <v>115</v>
      </c>
      <c r="C42" s="7">
        <f>SUM(C43:C45)</f>
        <v>1270000</v>
      </c>
      <c r="D42" s="7">
        <f>SUM(D43:D45)</f>
        <v>0</v>
      </c>
      <c r="E42" s="7">
        <f t="shared" si="0"/>
        <v>1270000</v>
      </c>
      <c r="F42" s="7">
        <f>SUM(F43:F45)</f>
        <v>2273300</v>
      </c>
      <c r="G42" s="7">
        <f>SUM(G43:G45)</f>
        <v>0</v>
      </c>
      <c r="H42" s="7">
        <f t="shared" si="1"/>
        <v>2273300</v>
      </c>
      <c r="I42" s="7">
        <f>SUM(I43:I45)</f>
        <v>7990</v>
      </c>
      <c r="J42" s="60"/>
    </row>
    <row r="43" spans="1:10" x14ac:dyDescent="0.25">
      <c r="A43" s="156" t="s">
        <v>11</v>
      </c>
      <c r="B43" s="157" t="s">
        <v>545</v>
      </c>
      <c r="C43" s="158">
        <f>'[6]5 GSZNR fel'!E28+'[6]5 GSZNR fel'!E33</f>
        <v>1270000</v>
      </c>
      <c r="D43" s="158">
        <f>'[6]5 GSZNR fel'!D28+'[6]5 GSZNR fel'!D33</f>
        <v>0</v>
      </c>
      <c r="E43" s="158">
        <f t="shared" si="0"/>
        <v>1270000</v>
      </c>
      <c r="F43" s="158">
        <f>'[6]5 GSZNR fel'!H28+'[6]5 GSZNR fel'!H33</f>
        <v>2273300</v>
      </c>
      <c r="G43" s="158">
        <f>'[6]5 GSZNR fel'!G28+'[6]5 GSZNR fel'!G33</f>
        <v>0</v>
      </c>
      <c r="H43" s="158">
        <f t="shared" si="1"/>
        <v>2273300</v>
      </c>
      <c r="I43" s="158">
        <f>'[6]5 GSZNR fel'!I28+'[6]5 GSZNR fel'!I33</f>
        <v>7990</v>
      </c>
    </row>
    <row r="44" spans="1:10" x14ac:dyDescent="0.25">
      <c r="A44" s="156" t="s">
        <v>14</v>
      </c>
      <c r="B44" s="157" t="s">
        <v>33</v>
      </c>
      <c r="C44" s="158">
        <v>0</v>
      </c>
      <c r="D44" s="158">
        <v>0</v>
      </c>
      <c r="E44" s="158">
        <f t="shared" si="0"/>
        <v>0</v>
      </c>
      <c r="F44" s="158">
        <v>0</v>
      </c>
      <c r="G44" s="158">
        <v>0</v>
      </c>
      <c r="H44" s="158">
        <f t="shared" si="1"/>
        <v>0</v>
      </c>
      <c r="I44" s="158">
        <v>0</v>
      </c>
    </row>
    <row r="45" spans="1:10" x14ac:dyDescent="0.25">
      <c r="A45" s="156" t="s">
        <v>17</v>
      </c>
      <c r="B45" s="157" t="s">
        <v>35</v>
      </c>
      <c r="C45" s="158">
        <v>0</v>
      </c>
      <c r="D45" s="158">
        <v>0</v>
      </c>
      <c r="E45" s="158">
        <f t="shared" si="0"/>
        <v>0</v>
      </c>
      <c r="F45" s="158">
        <v>0</v>
      </c>
      <c r="G45" s="158">
        <v>0</v>
      </c>
      <c r="H45" s="158">
        <f t="shared" si="1"/>
        <v>0</v>
      </c>
      <c r="I45" s="158">
        <v>0</v>
      </c>
    </row>
    <row r="46" spans="1:10" x14ac:dyDescent="0.25">
      <c r="A46" s="33"/>
      <c r="B46" s="34" t="s">
        <v>58</v>
      </c>
      <c r="C46" s="35">
        <f>C36+C42</f>
        <v>203326150</v>
      </c>
      <c r="D46" s="35">
        <f>D36+D42</f>
        <v>0</v>
      </c>
      <c r="E46" s="35">
        <f t="shared" si="0"/>
        <v>203326150</v>
      </c>
      <c r="F46" s="35">
        <f>F36+F42</f>
        <v>211776274</v>
      </c>
      <c r="G46" s="35">
        <f>G36+G42</f>
        <v>0</v>
      </c>
      <c r="H46" s="35">
        <f t="shared" si="1"/>
        <v>211776274</v>
      </c>
      <c r="I46" s="35">
        <f>+I42+I36</f>
        <v>61937096</v>
      </c>
      <c r="J46" s="60"/>
    </row>
    <row r="47" spans="1:10" x14ac:dyDescent="0.25">
      <c r="H47" s="60">
        <f>+H46-E46</f>
        <v>8450124</v>
      </c>
    </row>
  </sheetData>
  <mergeCells count="5">
    <mergeCell ref="A4:A5"/>
    <mergeCell ref="B4:B5"/>
    <mergeCell ref="C4:E4"/>
    <mergeCell ref="F4:H4"/>
    <mergeCell ref="I4:I5"/>
  </mergeCells>
  <printOptions horizontalCentered="1"/>
  <pageMargins left="0.19685039370078741" right="0.19685039370078741" top="0.91" bottom="0.19685039370078741" header="0.31496062992125984" footer="0.31496062992125984"/>
  <pageSetup paperSize="9" scale="80" fitToWidth="0" fitToHeight="0" orientation="landscape" copies="2" r:id="rId1"/>
  <headerFooter>
    <oddHeader>&amp;L4/B.  melléklet a ......./2020. (.................) önkormányzati rendelethez&amp;C&amp;"-,Félkövér"&amp;16
A Törökbálinti Nyitnikék Óvoda 2020. évi bevételei és kiadásai jogcímenként és feladatonként</oddHeader>
    <oddFooter>&amp;C&amp;P&amp;R&amp;D,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88E8-8D8C-4EBA-B5BC-0C2C79F258E6}">
  <dimension ref="A1:J47"/>
  <sheetViews>
    <sheetView view="pageBreakPreview" topLeftCell="A2" zoomScale="96" zoomScaleNormal="100" zoomScaleSheetLayoutView="96" workbookViewId="0">
      <selection activeCell="J1" sqref="J1:J1048576"/>
    </sheetView>
  </sheetViews>
  <sheetFormatPr defaultRowHeight="15" x14ac:dyDescent="0.25"/>
  <cols>
    <col min="1" max="1" width="7.140625" style="122" customWidth="1"/>
    <col min="2" max="2" width="50.7109375" customWidth="1"/>
    <col min="3" max="8" width="15" customWidth="1"/>
    <col min="9" max="9" width="15" hidden="1" customWidth="1"/>
    <col min="10" max="11" width="15" customWidth="1"/>
  </cols>
  <sheetData>
    <row r="1" spans="1:10" x14ac:dyDescent="0.25">
      <c r="E1" s="265"/>
      <c r="H1" s="265" t="s">
        <v>0</v>
      </c>
    </row>
    <row r="2" spans="1:10" ht="30" x14ac:dyDescent="0.25">
      <c r="A2" s="154" t="s">
        <v>556</v>
      </c>
      <c r="B2" s="154" t="s">
        <v>557</v>
      </c>
      <c r="C2" s="283"/>
      <c r="D2" s="283"/>
      <c r="E2" s="283"/>
      <c r="F2" s="283"/>
      <c r="G2" s="283"/>
      <c r="H2" s="283"/>
      <c r="I2" s="283"/>
    </row>
    <row r="3" spans="1:10" x14ac:dyDescent="0.25">
      <c r="A3" s="154" t="s">
        <v>558</v>
      </c>
      <c r="B3" s="154" t="s">
        <v>561</v>
      </c>
      <c r="C3" s="283"/>
      <c r="D3" s="283"/>
      <c r="E3" s="283"/>
      <c r="F3" s="283"/>
      <c r="G3" s="283"/>
      <c r="H3" s="283"/>
      <c r="I3" s="283"/>
    </row>
    <row r="4" spans="1:10" ht="42" customHeight="1" x14ac:dyDescent="0.25">
      <c r="A4" s="2" t="s">
        <v>1</v>
      </c>
      <c r="B4" s="3" t="s">
        <v>128</v>
      </c>
      <c r="C4" s="419" t="s">
        <v>6</v>
      </c>
      <c r="D4" s="420"/>
      <c r="E4" s="421"/>
      <c r="F4" s="419" t="s">
        <v>59</v>
      </c>
      <c r="G4" s="420"/>
      <c r="H4" s="421"/>
      <c r="I4" s="418" t="s">
        <v>60</v>
      </c>
    </row>
    <row r="5" spans="1:10" ht="30" x14ac:dyDescent="0.25">
      <c r="A5" s="2"/>
      <c r="B5" s="3"/>
      <c r="C5" s="4" t="s">
        <v>61</v>
      </c>
      <c r="D5" s="4" t="s">
        <v>62</v>
      </c>
      <c r="E5" s="4" t="s">
        <v>64</v>
      </c>
      <c r="F5" s="4" t="s">
        <v>61</v>
      </c>
      <c r="G5" s="4" t="s">
        <v>62</v>
      </c>
      <c r="H5" s="4" t="s">
        <v>64</v>
      </c>
      <c r="I5" s="418"/>
    </row>
    <row r="6" spans="1:10" x14ac:dyDescent="0.25">
      <c r="A6" s="171"/>
      <c r="B6" s="284" t="s">
        <v>360</v>
      </c>
      <c r="C6" s="172">
        <f>+'[6]5 GSZNR fel'!C35</f>
        <v>55</v>
      </c>
      <c r="D6" s="172"/>
      <c r="E6" s="172">
        <f t="shared" ref="E6:E46" si="0">SUM(C6:D6)</f>
        <v>55</v>
      </c>
      <c r="F6" s="172">
        <f>+'[6]5 GSZNR fel'!F35</f>
        <v>55</v>
      </c>
      <c r="G6" s="172"/>
      <c r="H6" s="172">
        <f t="shared" ref="H6:H46" si="1">SUM(F6:G6)</f>
        <v>55</v>
      </c>
    </row>
    <row r="7" spans="1:10" x14ac:dyDescent="0.25">
      <c r="A7" s="171"/>
      <c r="B7" s="284" t="s">
        <v>361</v>
      </c>
      <c r="C7" s="172"/>
      <c r="D7" s="172"/>
      <c r="E7" s="172">
        <f t="shared" si="0"/>
        <v>0</v>
      </c>
      <c r="F7" s="172"/>
      <c r="G7" s="172"/>
      <c r="H7" s="172">
        <f t="shared" si="1"/>
        <v>0</v>
      </c>
    </row>
    <row r="8" spans="1:10" x14ac:dyDescent="0.25">
      <c r="A8" s="5" t="s">
        <v>8</v>
      </c>
      <c r="B8" s="6" t="s">
        <v>9</v>
      </c>
      <c r="C8" s="7">
        <f>C9+C11+C20</f>
        <v>10700000</v>
      </c>
      <c r="D8" s="7">
        <f>D9+D11+D20</f>
        <v>0</v>
      </c>
      <c r="E8" s="7">
        <f t="shared" si="0"/>
        <v>10700000</v>
      </c>
      <c r="F8" s="7">
        <f>F9+F11+F20</f>
        <v>10700000</v>
      </c>
      <c r="G8" s="7">
        <f>G9+G11+G20</f>
        <v>0</v>
      </c>
      <c r="H8" s="7">
        <f t="shared" si="1"/>
        <v>10700000</v>
      </c>
      <c r="I8" s="7">
        <f>+I9+I11+I20</f>
        <v>3948061</v>
      </c>
      <c r="J8" s="60"/>
    </row>
    <row r="9" spans="1:10" x14ac:dyDescent="0.25">
      <c r="A9" s="156" t="s">
        <v>11</v>
      </c>
      <c r="B9" s="157" t="s">
        <v>12</v>
      </c>
      <c r="C9" s="158">
        <f>C10</f>
        <v>0</v>
      </c>
      <c r="D9" s="158">
        <f>D10</f>
        <v>0</v>
      </c>
      <c r="E9" s="158">
        <f t="shared" si="0"/>
        <v>0</v>
      </c>
      <c r="F9" s="158">
        <f>F10</f>
        <v>0</v>
      </c>
      <c r="G9" s="158">
        <f>G10</f>
        <v>0</v>
      </c>
      <c r="H9" s="158">
        <f t="shared" si="1"/>
        <v>0</v>
      </c>
      <c r="I9" s="158">
        <f>SUM(G9:H9)</f>
        <v>0</v>
      </c>
    </row>
    <row r="10" spans="1:10" ht="30" hidden="1" x14ac:dyDescent="0.25">
      <c r="A10" s="11"/>
      <c r="B10" s="82" t="s">
        <v>529</v>
      </c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13">
        <f>SUM(G10:H10)</f>
        <v>0</v>
      </c>
    </row>
    <row r="11" spans="1:10" x14ac:dyDescent="0.25">
      <c r="A11" s="156" t="s">
        <v>14</v>
      </c>
      <c r="B11" s="157" t="s">
        <v>18</v>
      </c>
      <c r="C11" s="158">
        <f>C12+C13+C14+C15+C16+C17+C18+C19</f>
        <v>10700000</v>
      </c>
      <c r="D11" s="158">
        <f>D12+D13+D14+D15+D16+D17+D18+D19</f>
        <v>0</v>
      </c>
      <c r="E11" s="158">
        <f t="shared" si="0"/>
        <v>10700000</v>
      </c>
      <c r="F11" s="158">
        <f>F12+F13+F14+F15+F16+F17+F18+F19</f>
        <v>10700000</v>
      </c>
      <c r="G11" s="158">
        <f>G12+G13+G14+G15+G16+G17+G18+G19</f>
        <v>0</v>
      </c>
      <c r="H11" s="158">
        <f t="shared" si="1"/>
        <v>10700000</v>
      </c>
      <c r="I11" s="158">
        <f>SUM(I12:I19)</f>
        <v>3948061</v>
      </c>
      <c r="J11" s="60"/>
    </row>
    <row r="12" spans="1:10" x14ac:dyDescent="0.25">
      <c r="A12" s="11"/>
      <c r="B12" s="82" t="s">
        <v>532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  <c r="I12" s="13"/>
    </row>
    <row r="13" spans="1:10" x14ac:dyDescent="0.25">
      <c r="A13" s="11"/>
      <c r="B13" s="82" t="s">
        <v>533</v>
      </c>
      <c r="C13" s="13">
        <v>0</v>
      </c>
      <c r="D13" s="13">
        <v>0</v>
      </c>
      <c r="E13" s="13">
        <f t="shared" si="0"/>
        <v>0</v>
      </c>
      <c r="F13" s="13">
        <v>0</v>
      </c>
      <c r="G13" s="13">
        <v>0</v>
      </c>
      <c r="H13" s="13">
        <f t="shared" si="1"/>
        <v>0</v>
      </c>
      <c r="I13" s="85"/>
    </row>
    <row r="14" spans="1:10" x14ac:dyDescent="0.25">
      <c r="A14" s="11"/>
      <c r="B14" s="82" t="s">
        <v>534</v>
      </c>
      <c r="C14" s="13">
        <v>0</v>
      </c>
      <c r="D14" s="13">
        <v>0</v>
      </c>
      <c r="E14" s="13">
        <f t="shared" si="0"/>
        <v>0</v>
      </c>
      <c r="F14" s="13">
        <v>0</v>
      </c>
      <c r="G14" s="13">
        <v>0</v>
      </c>
      <c r="H14" s="13">
        <f t="shared" si="1"/>
        <v>0</v>
      </c>
      <c r="I14" s="13"/>
    </row>
    <row r="15" spans="1:10" x14ac:dyDescent="0.25">
      <c r="A15" s="11"/>
      <c r="B15" s="82" t="s">
        <v>535</v>
      </c>
      <c r="C15" s="13">
        <v>7700000</v>
      </c>
      <c r="D15" s="13">
        <v>0</v>
      </c>
      <c r="E15" s="13">
        <f t="shared" si="0"/>
        <v>7700000</v>
      </c>
      <c r="F15" s="13">
        <v>7700000</v>
      </c>
      <c r="G15" s="13">
        <v>0</v>
      </c>
      <c r="H15" s="13">
        <f t="shared" si="1"/>
        <v>7700000</v>
      </c>
      <c r="I15" s="13">
        <v>2556767</v>
      </c>
    </row>
    <row r="16" spans="1:10" x14ac:dyDescent="0.25">
      <c r="A16" s="11"/>
      <c r="B16" s="82" t="s">
        <v>536</v>
      </c>
      <c r="C16" s="13">
        <v>2000000</v>
      </c>
      <c r="D16" s="13">
        <v>0</v>
      </c>
      <c r="E16" s="13">
        <f t="shared" si="0"/>
        <v>2000000</v>
      </c>
      <c r="F16" s="13">
        <v>2000000</v>
      </c>
      <c r="G16" s="13">
        <v>0</v>
      </c>
      <c r="H16" s="13">
        <f t="shared" si="1"/>
        <v>2000000</v>
      </c>
      <c r="I16" s="13">
        <v>690277</v>
      </c>
    </row>
    <row r="17" spans="1:10" x14ac:dyDescent="0.25">
      <c r="A17" s="11"/>
      <c r="B17" s="82" t="s">
        <v>537</v>
      </c>
      <c r="C17" s="13">
        <v>1000000</v>
      </c>
      <c r="D17" s="13">
        <v>0</v>
      </c>
      <c r="E17" s="13">
        <f t="shared" si="0"/>
        <v>1000000</v>
      </c>
      <c r="F17" s="13">
        <v>1000000</v>
      </c>
      <c r="G17" s="13">
        <v>0</v>
      </c>
      <c r="H17" s="13">
        <f t="shared" si="1"/>
        <v>1000000</v>
      </c>
      <c r="I17" s="13">
        <v>700000</v>
      </c>
    </row>
    <row r="18" spans="1:10" x14ac:dyDescent="0.25">
      <c r="A18" s="11"/>
      <c r="B18" s="82" t="s">
        <v>538</v>
      </c>
      <c r="C18" s="13">
        <v>0</v>
      </c>
      <c r="D18" s="13">
        <v>0</v>
      </c>
      <c r="E18" s="13">
        <f t="shared" si="0"/>
        <v>0</v>
      </c>
      <c r="F18" s="13">
        <v>0</v>
      </c>
      <c r="G18" s="13">
        <v>0</v>
      </c>
      <c r="H18" s="13">
        <f t="shared" si="1"/>
        <v>0</v>
      </c>
      <c r="I18" s="13"/>
    </row>
    <row r="19" spans="1:10" x14ac:dyDescent="0.25">
      <c r="A19" s="11"/>
      <c r="B19" s="82" t="s">
        <v>539</v>
      </c>
      <c r="C19" s="13">
        <v>0</v>
      </c>
      <c r="D19" s="13">
        <v>0</v>
      </c>
      <c r="E19" s="13">
        <f t="shared" si="0"/>
        <v>0</v>
      </c>
      <c r="F19" s="13">
        <v>0</v>
      </c>
      <c r="G19" s="13">
        <v>0</v>
      </c>
      <c r="H19" s="13">
        <f t="shared" si="1"/>
        <v>0</v>
      </c>
      <c r="I19" s="13">
        <v>1017</v>
      </c>
    </row>
    <row r="20" spans="1:10" x14ac:dyDescent="0.25">
      <c r="A20" s="156" t="s">
        <v>17</v>
      </c>
      <c r="B20" s="157" t="s">
        <v>21</v>
      </c>
      <c r="C20" s="158">
        <f>SUM(C21:C21)</f>
        <v>0</v>
      </c>
      <c r="D20" s="158">
        <f>SUM(D21:D21)</f>
        <v>0</v>
      </c>
      <c r="E20" s="158">
        <f t="shared" si="0"/>
        <v>0</v>
      </c>
      <c r="F20" s="158">
        <f>SUM(F21:F21)</f>
        <v>0</v>
      </c>
      <c r="G20" s="158">
        <f>SUM(G21:G21)</f>
        <v>0</v>
      </c>
      <c r="H20" s="158">
        <f t="shared" si="1"/>
        <v>0</v>
      </c>
      <c r="I20" s="158">
        <f>SUM(G20:H20)</f>
        <v>0</v>
      </c>
    </row>
    <row r="21" spans="1:10" hidden="1" x14ac:dyDescent="0.25">
      <c r="A21" s="11"/>
      <c r="B21" s="82" t="s">
        <v>540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  <c r="I21" s="13">
        <f>SUM(G21:H21)</f>
        <v>0</v>
      </c>
    </row>
    <row r="22" spans="1:10" x14ac:dyDescent="0.25">
      <c r="A22" s="5" t="s">
        <v>27</v>
      </c>
      <c r="B22" s="6" t="s">
        <v>28</v>
      </c>
      <c r="C22" s="7">
        <f>C23+C25+C28</f>
        <v>0</v>
      </c>
      <c r="D22" s="7">
        <f>D23+D25+D28</f>
        <v>0</v>
      </c>
      <c r="E22" s="7">
        <f t="shared" si="0"/>
        <v>0</v>
      </c>
      <c r="F22" s="7">
        <f>F23+F25+F28</f>
        <v>0</v>
      </c>
      <c r="G22" s="7">
        <f>G23+G25+G28</f>
        <v>0</v>
      </c>
      <c r="H22" s="7">
        <f t="shared" si="1"/>
        <v>0</v>
      </c>
      <c r="I22" s="7">
        <v>0</v>
      </c>
    </row>
    <row r="23" spans="1:10" hidden="1" x14ac:dyDescent="0.25">
      <c r="A23" s="156" t="s">
        <v>11</v>
      </c>
      <c r="B23" s="157" t="s">
        <v>30</v>
      </c>
      <c r="C23" s="158">
        <f>SUM(C24:C24)</f>
        <v>0</v>
      </c>
      <c r="D23" s="158">
        <f>SUM(D24:D24)</f>
        <v>0</v>
      </c>
      <c r="E23" s="158">
        <f t="shared" si="0"/>
        <v>0</v>
      </c>
      <c r="F23" s="158">
        <f>SUM(F24:F24)</f>
        <v>0</v>
      </c>
      <c r="G23" s="158">
        <f>SUM(G24:G24)</f>
        <v>0</v>
      </c>
      <c r="H23" s="158">
        <f t="shared" si="1"/>
        <v>0</v>
      </c>
      <c r="I23" s="158">
        <f t="shared" ref="I23:I29" si="2">SUM(G23:H23)</f>
        <v>0</v>
      </c>
    </row>
    <row r="24" spans="1:10" ht="30" hidden="1" x14ac:dyDescent="0.25">
      <c r="A24" s="11"/>
      <c r="B24" s="12" t="s">
        <v>541</v>
      </c>
      <c r="C24" s="13">
        <v>0</v>
      </c>
      <c r="D24" s="13">
        <v>0</v>
      </c>
      <c r="E24" s="13">
        <f t="shared" si="0"/>
        <v>0</v>
      </c>
      <c r="F24" s="13">
        <v>0</v>
      </c>
      <c r="G24" s="13">
        <v>0</v>
      </c>
      <c r="H24" s="13">
        <f t="shared" si="1"/>
        <v>0</v>
      </c>
      <c r="I24" s="13">
        <f t="shared" si="2"/>
        <v>0</v>
      </c>
    </row>
    <row r="25" spans="1:10" hidden="1" x14ac:dyDescent="0.25">
      <c r="A25" s="156" t="s">
        <v>14</v>
      </c>
      <c r="B25" s="157" t="s">
        <v>32</v>
      </c>
      <c r="C25" s="158">
        <f>SUM(C26:C27)</f>
        <v>0</v>
      </c>
      <c r="D25" s="158">
        <f>SUM(D26:D27)</f>
        <v>0</v>
      </c>
      <c r="E25" s="158">
        <f t="shared" si="0"/>
        <v>0</v>
      </c>
      <c r="F25" s="158">
        <f>SUM(F26:F27)</f>
        <v>0</v>
      </c>
      <c r="G25" s="158">
        <f>SUM(G26:G27)</f>
        <v>0</v>
      </c>
      <c r="H25" s="158">
        <f t="shared" si="1"/>
        <v>0</v>
      </c>
      <c r="I25" s="158">
        <f t="shared" si="2"/>
        <v>0</v>
      </c>
    </row>
    <row r="26" spans="1:10" hidden="1" x14ac:dyDescent="0.25">
      <c r="A26" s="11"/>
      <c r="B26" s="17" t="s">
        <v>89</v>
      </c>
      <c r="C26" s="13">
        <v>0</v>
      </c>
      <c r="D26" s="13">
        <v>0</v>
      </c>
      <c r="E26" s="13">
        <f t="shared" si="0"/>
        <v>0</v>
      </c>
      <c r="F26" s="13">
        <v>0</v>
      </c>
      <c r="G26" s="13">
        <v>0</v>
      </c>
      <c r="H26" s="13">
        <f t="shared" si="1"/>
        <v>0</v>
      </c>
      <c r="I26" s="13">
        <f t="shared" si="2"/>
        <v>0</v>
      </c>
    </row>
    <row r="27" spans="1:10" hidden="1" x14ac:dyDescent="0.25">
      <c r="A27" s="11"/>
      <c r="B27" s="17" t="s">
        <v>542</v>
      </c>
      <c r="C27" s="13">
        <v>0</v>
      </c>
      <c r="D27" s="13">
        <v>0</v>
      </c>
      <c r="E27" s="13">
        <f t="shared" si="0"/>
        <v>0</v>
      </c>
      <c r="F27" s="13">
        <v>0</v>
      </c>
      <c r="G27" s="13">
        <v>0</v>
      </c>
      <c r="H27" s="13">
        <f t="shared" si="1"/>
        <v>0</v>
      </c>
      <c r="I27" s="13">
        <f t="shared" si="2"/>
        <v>0</v>
      </c>
    </row>
    <row r="28" spans="1:10" hidden="1" x14ac:dyDescent="0.25">
      <c r="A28" s="156" t="s">
        <v>17</v>
      </c>
      <c r="B28" s="157" t="s">
        <v>34</v>
      </c>
      <c r="C28" s="158">
        <f>SUM(C29:C29)</f>
        <v>0</v>
      </c>
      <c r="D28" s="158">
        <f>SUM(D29:D29)</f>
        <v>0</v>
      </c>
      <c r="E28" s="158">
        <f t="shared" si="0"/>
        <v>0</v>
      </c>
      <c r="F28" s="158">
        <f>SUM(F29:F29)</f>
        <v>0</v>
      </c>
      <c r="G28" s="158">
        <f>SUM(G29:G29)</f>
        <v>0</v>
      </c>
      <c r="H28" s="158">
        <f t="shared" si="1"/>
        <v>0</v>
      </c>
      <c r="I28" s="158">
        <f t="shared" si="2"/>
        <v>0</v>
      </c>
    </row>
    <row r="29" spans="1:10" hidden="1" x14ac:dyDescent="0.25">
      <c r="A29" s="11"/>
      <c r="B29" s="17" t="s">
        <v>543</v>
      </c>
      <c r="C29" s="13">
        <v>0</v>
      </c>
      <c r="D29" s="13">
        <v>0</v>
      </c>
      <c r="E29" s="13">
        <f t="shared" si="0"/>
        <v>0</v>
      </c>
      <c r="F29" s="13">
        <v>0</v>
      </c>
      <c r="G29" s="13">
        <v>0</v>
      </c>
      <c r="H29" s="13">
        <f t="shared" si="1"/>
        <v>0</v>
      </c>
      <c r="I29" s="13">
        <f t="shared" si="2"/>
        <v>0</v>
      </c>
    </row>
    <row r="30" spans="1:10" x14ac:dyDescent="0.25">
      <c r="A30" s="3"/>
      <c r="B30" s="24" t="s">
        <v>38</v>
      </c>
      <c r="C30" s="26">
        <f>C22+C8</f>
        <v>10700000</v>
      </c>
      <c r="D30" s="26">
        <f>D22+D8</f>
        <v>0</v>
      </c>
      <c r="E30" s="26">
        <f t="shared" si="0"/>
        <v>10700000</v>
      </c>
      <c r="F30" s="26">
        <f>F22+F8</f>
        <v>10700000</v>
      </c>
      <c r="G30" s="26">
        <f>G22+G8</f>
        <v>0</v>
      </c>
      <c r="H30" s="26">
        <f t="shared" si="1"/>
        <v>10700000</v>
      </c>
      <c r="I30" s="26">
        <f>+I22+I8</f>
        <v>3948061</v>
      </c>
      <c r="J30" s="60"/>
    </row>
    <row r="31" spans="1:10" x14ac:dyDescent="0.25">
      <c r="A31" s="5" t="s">
        <v>42</v>
      </c>
      <c r="B31" s="6" t="s">
        <v>43</v>
      </c>
      <c r="C31" s="7">
        <f>C32</f>
        <v>348872890</v>
      </c>
      <c r="D31" s="7">
        <f>D32</f>
        <v>0</v>
      </c>
      <c r="E31" s="7">
        <f t="shared" si="0"/>
        <v>348872890</v>
      </c>
      <c r="F31" s="7">
        <f>F32</f>
        <v>361547290</v>
      </c>
      <c r="G31" s="7">
        <f>G32</f>
        <v>0</v>
      </c>
      <c r="H31" s="7">
        <f t="shared" si="1"/>
        <v>361547290</v>
      </c>
      <c r="I31" s="7">
        <f>+I32</f>
        <v>113501611</v>
      </c>
      <c r="J31" s="60"/>
    </row>
    <row r="32" spans="1:10" x14ac:dyDescent="0.25">
      <c r="A32" s="156" t="s">
        <v>11</v>
      </c>
      <c r="B32" s="157" t="s">
        <v>53</v>
      </c>
      <c r="C32" s="158">
        <f>SUM(C33:C34)</f>
        <v>348872890</v>
      </c>
      <c r="D32" s="158">
        <f>SUM(D33:D34)</f>
        <v>0</v>
      </c>
      <c r="E32" s="158">
        <f t="shared" si="0"/>
        <v>348872890</v>
      </c>
      <c r="F32" s="158">
        <f>SUM(F33:F34)</f>
        <v>361547290</v>
      </c>
      <c r="G32" s="158">
        <f>SUM(G33:G34)</f>
        <v>0</v>
      </c>
      <c r="H32" s="158">
        <f t="shared" si="1"/>
        <v>361547290</v>
      </c>
      <c r="I32" s="158">
        <f>+I33+I34</f>
        <v>113501611</v>
      </c>
    </row>
    <row r="33" spans="1:10" x14ac:dyDescent="0.25">
      <c r="A33" s="11"/>
      <c r="B33" s="17" t="s">
        <v>514</v>
      </c>
      <c r="C33" s="13">
        <v>0</v>
      </c>
      <c r="D33" s="13">
        <v>0</v>
      </c>
      <c r="E33" s="13">
        <f t="shared" si="0"/>
        <v>0</v>
      </c>
      <c r="F33" s="13">
        <v>12674400</v>
      </c>
      <c r="G33" s="13">
        <v>0</v>
      </c>
      <c r="H33" s="13">
        <f t="shared" si="1"/>
        <v>12674400</v>
      </c>
      <c r="I33" s="13">
        <v>0</v>
      </c>
    </row>
    <row r="34" spans="1:10" x14ac:dyDescent="0.25">
      <c r="A34" s="11"/>
      <c r="B34" s="17" t="s">
        <v>544</v>
      </c>
      <c r="C34" s="13">
        <f>C46-C30-C33</f>
        <v>348872890</v>
      </c>
      <c r="D34" s="13">
        <f>D46-D30-D33</f>
        <v>0</v>
      </c>
      <c r="E34" s="13">
        <f t="shared" si="0"/>
        <v>348872890</v>
      </c>
      <c r="F34" s="13">
        <f>F46-F30-F33</f>
        <v>348872890</v>
      </c>
      <c r="G34" s="13">
        <f>G46-G30-G33</f>
        <v>0</v>
      </c>
      <c r="H34" s="13">
        <f t="shared" si="1"/>
        <v>348872890</v>
      </c>
      <c r="I34" s="13">
        <v>113501611</v>
      </c>
    </row>
    <row r="35" spans="1:10" x14ac:dyDescent="0.25">
      <c r="A35" s="33"/>
      <c r="B35" s="34" t="s">
        <v>57</v>
      </c>
      <c r="C35" s="35">
        <f>C31+C22+C8</f>
        <v>359572890</v>
      </c>
      <c r="D35" s="35">
        <f>D31+D22+D8</f>
        <v>0</v>
      </c>
      <c r="E35" s="35">
        <f t="shared" si="0"/>
        <v>359572890</v>
      </c>
      <c r="F35" s="35">
        <f>F31+F22+F8</f>
        <v>372247290</v>
      </c>
      <c r="G35" s="35">
        <f>G31+G22+G8</f>
        <v>0</v>
      </c>
      <c r="H35" s="35">
        <f t="shared" si="1"/>
        <v>372247290</v>
      </c>
      <c r="I35" s="35">
        <f>+I8+I22+I31</f>
        <v>117449672</v>
      </c>
      <c r="J35" s="60"/>
    </row>
    <row r="36" spans="1:10" x14ac:dyDescent="0.25">
      <c r="A36" s="5" t="s">
        <v>8</v>
      </c>
      <c r="B36" s="6" t="s">
        <v>109</v>
      </c>
      <c r="C36" s="7">
        <f>SUM(C37:C41)</f>
        <v>358556890</v>
      </c>
      <c r="D36" s="7">
        <f>SUM(D37:D41)</f>
        <v>0</v>
      </c>
      <c r="E36" s="7">
        <f t="shared" si="0"/>
        <v>358556890</v>
      </c>
      <c r="F36" s="7">
        <f>SUM(F37:F41)</f>
        <v>371231290</v>
      </c>
      <c r="G36" s="7">
        <f>SUM(G37:G41)</f>
        <v>0</v>
      </c>
      <c r="H36" s="7">
        <f t="shared" si="1"/>
        <v>371231290</v>
      </c>
      <c r="I36" s="7">
        <f>+I37+I38+I39+I40+I41</f>
        <v>118652157</v>
      </c>
      <c r="J36" s="60"/>
    </row>
    <row r="37" spans="1:10" x14ac:dyDescent="0.25">
      <c r="A37" s="156" t="s">
        <v>11</v>
      </c>
      <c r="B37" s="157" t="s">
        <v>13</v>
      </c>
      <c r="C37" s="158">
        <f>'[6]5 GSZNR fel'!E38+'[6]5 GSZNR fel'!E44</f>
        <v>222046000</v>
      </c>
      <c r="D37" s="158">
        <f>'[6]5 GSZNR fel'!D38+'[6]5 GSZNR fel'!D44</f>
        <v>0</v>
      </c>
      <c r="E37" s="158">
        <f t="shared" si="0"/>
        <v>222046000</v>
      </c>
      <c r="F37" s="158">
        <f>'[6]5 GSZNR fel'!H38+'[6]5 GSZNR fel'!H44</f>
        <v>222046000</v>
      </c>
      <c r="G37" s="158">
        <f>'[6]5 GSZNR fel'!G38+'[6]5 GSZNR fel'!G44</f>
        <v>0</v>
      </c>
      <c r="H37" s="158">
        <f t="shared" si="1"/>
        <v>222046000</v>
      </c>
      <c r="I37" s="158">
        <f>'[6]5 GSZNR fel'!I38+'[6]5 GSZNR fel'!I44</f>
        <v>76554887</v>
      </c>
    </row>
    <row r="38" spans="1:10" x14ac:dyDescent="0.25">
      <c r="A38" s="156" t="s">
        <v>14</v>
      </c>
      <c r="B38" s="157" t="s">
        <v>16</v>
      </c>
      <c r="C38" s="158">
        <f>'[6]5 GSZNR fel'!E39+'[6]5 GSZNR fel'!E45</f>
        <v>46170290</v>
      </c>
      <c r="D38" s="158">
        <f>'[6]5 GSZNR fel'!D39+'[6]5 GSZNR fel'!D45</f>
        <v>0</v>
      </c>
      <c r="E38" s="158">
        <f t="shared" si="0"/>
        <v>46170290</v>
      </c>
      <c r="F38" s="158">
        <f>'[6]5 GSZNR fel'!H39+'[6]5 GSZNR fel'!H45</f>
        <v>46170290</v>
      </c>
      <c r="G38" s="158">
        <f>'[6]5 GSZNR fel'!G39+'[6]5 GSZNR fel'!G45</f>
        <v>0</v>
      </c>
      <c r="H38" s="158">
        <f t="shared" si="1"/>
        <v>46170290</v>
      </c>
      <c r="I38" s="158">
        <f>'[6]5 GSZNR fel'!I39+'[6]5 GSZNR fel'!I45</f>
        <v>15950319</v>
      </c>
    </row>
    <row r="39" spans="1:10" x14ac:dyDescent="0.25">
      <c r="A39" s="156" t="s">
        <v>17</v>
      </c>
      <c r="B39" s="157" t="s">
        <v>19</v>
      </c>
      <c r="C39" s="158">
        <f>'[6]5 GSZNR fel'!E40+'[6]5 GSZNR fel'!E46</f>
        <v>90340600</v>
      </c>
      <c r="D39" s="158">
        <f>'[6]5 GSZNR fel'!D40+'[6]5 GSZNR fel'!D46</f>
        <v>0</v>
      </c>
      <c r="E39" s="164">
        <f t="shared" si="0"/>
        <v>90340600</v>
      </c>
      <c r="F39" s="158">
        <f>'[6]5 GSZNR fel'!H40+'[6]5 GSZNR fel'!H46</f>
        <v>90660895</v>
      </c>
      <c r="G39" s="158">
        <f>'[6]5 GSZNR fel'!G40+'[6]5 GSZNR fel'!G46</f>
        <v>0</v>
      </c>
      <c r="H39" s="164">
        <f t="shared" si="1"/>
        <v>90660895</v>
      </c>
      <c r="I39" s="158">
        <f>'[6]5 GSZNR fel'!I40+'[6]5 GSZNR fel'!I46</f>
        <v>26146951</v>
      </c>
      <c r="J39" s="60"/>
    </row>
    <row r="40" spans="1:10" x14ac:dyDescent="0.25">
      <c r="A40" s="156" t="s">
        <v>20</v>
      </c>
      <c r="B40" s="157" t="s">
        <v>22</v>
      </c>
      <c r="C40" s="158">
        <v>0</v>
      </c>
      <c r="D40" s="158">
        <v>0</v>
      </c>
      <c r="E40" s="158">
        <f t="shared" si="0"/>
        <v>0</v>
      </c>
      <c r="F40" s="158">
        <v>0</v>
      </c>
      <c r="G40" s="158">
        <v>0</v>
      </c>
      <c r="H40" s="158">
        <f t="shared" si="1"/>
        <v>0</v>
      </c>
      <c r="I40" s="158">
        <v>0</v>
      </c>
    </row>
    <row r="41" spans="1:10" x14ac:dyDescent="0.25">
      <c r="A41" s="156" t="s">
        <v>23</v>
      </c>
      <c r="B41" s="157" t="s">
        <v>24</v>
      </c>
      <c r="C41" s="158">
        <f>+'[6]5 GSZNR fel'!E41</f>
        <v>0</v>
      </c>
      <c r="D41" s="158">
        <f>+'[6]5 GSZNR fel'!D41</f>
        <v>0</v>
      </c>
      <c r="E41" s="158">
        <f t="shared" si="0"/>
        <v>0</v>
      </c>
      <c r="F41" s="158">
        <f>+'[6]5 GSZNR fel'!H41</f>
        <v>12354105</v>
      </c>
      <c r="G41" s="158">
        <f>+'[6]5 GSZNR fel'!G41</f>
        <v>0</v>
      </c>
      <c r="H41" s="158">
        <f t="shared" si="1"/>
        <v>12354105</v>
      </c>
      <c r="I41" s="158">
        <f>+'[6]5 GSZNR fel'!I41</f>
        <v>0</v>
      </c>
    </row>
    <row r="42" spans="1:10" x14ac:dyDescent="0.25">
      <c r="A42" s="5" t="s">
        <v>27</v>
      </c>
      <c r="B42" s="6" t="s">
        <v>115</v>
      </c>
      <c r="C42" s="7">
        <f>SUM(C43:C45)</f>
        <v>1016000</v>
      </c>
      <c r="D42" s="7">
        <f>SUM(D43:D45)</f>
        <v>0</v>
      </c>
      <c r="E42" s="7">
        <f t="shared" si="0"/>
        <v>1016000</v>
      </c>
      <c r="F42" s="7">
        <f>SUM(F43:F45)</f>
        <v>1016000</v>
      </c>
      <c r="G42" s="7">
        <f>SUM(G43:G45)</f>
        <v>0</v>
      </c>
      <c r="H42" s="7">
        <f t="shared" si="1"/>
        <v>1016000</v>
      </c>
      <c r="I42" s="7">
        <f>SUM(I43:I45)</f>
        <v>90492</v>
      </c>
      <c r="J42" s="60"/>
    </row>
    <row r="43" spans="1:10" x14ac:dyDescent="0.25">
      <c r="A43" s="156" t="s">
        <v>11</v>
      </c>
      <c r="B43" s="157" t="s">
        <v>545</v>
      </c>
      <c r="C43" s="158">
        <f>'[6]5 GSZNR fel'!E42+'[6]5 GSZNR fel'!E47</f>
        <v>1016000</v>
      </c>
      <c r="D43" s="158">
        <f>'[6]5 GSZNR fel'!D42+'[6]5 GSZNR fel'!D47</f>
        <v>0</v>
      </c>
      <c r="E43" s="158">
        <f t="shared" si="0"/>
        <v>1016000</v>
      </c>
      <c r="F43" s="158">
        <f>'[6]5 GSZNR fel'!H42+'[6]5 GSZNR fel'!H47</f>
        <v>1016000</v>
      </c>
      <c r="G43" s="158">
        <f>'[6]5 GSZNR fel'!G42+'[6]5 GSZNR fel'!G47</f>
        <v>0</v>
      </c>
      <c r="H43" s="158">
        <f t="shared" si="1"/>
        <v>1016000</v>
      </c>
      <c r="I43" s="158">
        <f>'[6]5 GSZNR fel'!I42+'[6]5 GSZNR fel'!I47</f>
        <v>90492</v>
      </c>
    </row>
    <row r="44" spans="1:10" x14ac:dyDescent="0.25">
      <c r="A44" s="156" t="s">
        <v>14</v>
      </c>
      <c r="B44" s="157" t="s">
        <v>33</v>
      </c>
      <c r="C44" s="158">
        <v>0</v>
      </c>
      <c r="D44" s="158">
        <v>0</v>
      </c>
      <c r="E44" s="158">
        <f t="shared" si="0"/>
        <v>0</v>
      </c>
      <c r="F44" s="158">
        <v>0</v>
      </c>
      <c r="G44" s="158">
        <v>0</v>
      </c>
      <c r="H44" s="158">
        <f t="shared" si="1"/>
        <v>0</v>
      </c>
      <c r="I44" s="158">
        <v>0</v>
      </c>
    </row>
    <row r="45" spans="1:10" x14ac:dyDescent="0.25">
      <c r="A45" s="156" t="s">
        <v>17</v>
      </c>
      <c r="B45" s="157" t="s">
        <v>35</v>
      </c>
      <c r="C45" s="158">
        <v>0</v>
      </c>
      <c r="D45" s="158">
        <v>0</v>
      </c>
      <c r="E45" s="158">
        <f t="shared" si="0"/>
        <v>0</v>
      </c>
      <c r="F45" s="158">
        <v>0</v>
      </c>
      <c r="G45" s="158">
        <v>0</v>
      </c>
      <c r="H45" s="158">
        <f t="shared" si="1"/>
        <v>0</v>
      </c>
      <c r="I45" s="158">
        <v>0</v>
      </c>
    </row>
    <row r="46" spans="1:10" x14ac:dyDescent="0.25">
      <c r="A46" s="33"/>
      <c r="B46" s="34" t="s">
        <v>58</v>
      </c>
      <c r="C46" s="35">
        <f>C36+C42</f>
        <v>359572890</v>
      </c>
      <c r="D46" s="35">
        <f>D36+D42</f>
        <v>0</v>
      </c>
      <c r="E46" s="35">
        <f t="shared" si="0"/>
        <v>359572890</v>
      </c>
      <c r="F46" s="35">
        <f>F36+F42</f>
        <v>372247290</v>
      </c>
      <c r="G46" s="35">
        <f>G36+G42</f>
        <v>0</v>
      </c>
      <c r="H46" s="35">
        <f t="shared" si="1"/>
        <v>372247290</v>
      </c>
      <c r="I46" s="35">
        <f>+I42+I36</f>
        <v>118742649</v>
      </c>
      <c r="J46" s="60"/>
    </row>
    <row r="47" spans="1:10" x14ac:dyDescent="0.25">
      <c r="E47" s="286"/>
      <c r="H47" s="60">
        <f>+H46-E46</f>
        <v>12674400</v>
      </c>
    </row>
  </sheetData>
  <mergeCells count="3">
    <mergeCell ref="C4:E4"/>
    <mergeCell ref="F4:H4"/>
    <mergeCell ref="I4:I5"/>
  </mergeCells>
  <printOptions horizontalCentered="1"/>
  <pageMargins left="0.19685039370078741" right="0.19685039370078741" top="0.9055118110236221" bottom="0.19685039370078741" header="0.31496062992125984" footer="0.31496062992125984"/>
  <pageSetup paperSize="9" scale="80" fitToWidth="0" fitToHeight="0" orientation="landscape" copies="2" r:id="rId1"/>
  <headerFooter>
    <oddHeader>&amp;L4/C.  melléklet a ......./2020. (.................) önkormányzati rendelethez&amp;C&amp;"-,Félkövér"&amp;16
A Törökbálinti Bóbita Óvoda 2020. évi bevételei és kiadásai jogcímenként és feladatonként</oddHeader>
    <oddFooter>&amp;C&amp;P&amp;R&amp;D,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7A46-8E10-4D99-AE37-9A7907D40D58}">
  <dimension ref="A1:J49"/>
  <sheetViews>
    <sheetView view="pageBreakPreview" zoomScale="91" zoomScaleNormal="100" zoomScaleSheetLayoutView="91" workbookViewId="0">
      <selection activeCell="J1" sqref="J1:J1048576"/>
    </sheetView>
  </sheetViews>
  <sheetFormatPr defaultRowHeight="15" x14ac:dyDescent="0.25"/>
  <cols>
    <col min="1" max="1" width="7.140625" style="122" customWidth="1"/>
    <col min="2" max="2" width="46.7109375" customWidth="1"/>
    <col min="3" max="3" width="12" customWidth="1"/>
    <col min="5" max="5" width="13.42578125" customWidth="1"/>
    <col min="6" max="6" width="12" customWidth="1"/>
    <col min="8" max="8" width="13.42578125" customWidth="1"/>
    <col min="9" max="9" width="14.5703125" hidden="1" customWidth="1"/>
    <col min="10" max="10" width="11.42578125" bestFit="1" customWidth="1"/>
  </cols>
  <sheetData>
    <row r="1" spans="1:10" x14ac:dyDescent="0.25">
      <c r="E1" s="265"/>
      <c r="H1" s="265" t="s">
        <v>0</v>
      </c>
    </row>
    <row r="2" spans="1:10" ht="30" x14ac:dyDescent="0.25">
      <c r="A2" s="154" t="s">
        <v>556</v>
      </c>
      <c r="B2" s="154" t="s">
        <v>557</v>
      </c>
      <c r="C2" s="283"/>
      <c r="D2" s="283"/>
      <c r="E2" s="283"/>
      <c r="F2" s="283"/>
      <c r="G2" s="283"/>
      <c r="H2" s="283"/>
      <c r="I2" s="283"/>
    </row>
    <row r="3" spans="1:10" x14ac:dyDescent="0.25">
      <c r="A3" s="154" t="s">
        <v>558</v>
      </c>
      <c r="B3" s="154" t="s">
        <v>562</v>
      </c>
      <c r="C3" s="283"/>
      <c r="D3" s="283"/>
      <c r="E3" s="283"/>
      <c r="F3" s="283"/>
      <c r="G3" s="283"/>
      <c r="H3" s="283"/>
      <c r="I3" s="283"/>
    </row>
    <row r="4" spans="1:10" ht="37.5" customHeight="1" x14ac:dyDescent="0.25">
      <c r="A4" s="418" t="s">
        <v>1</v>
      </c>
      <c r="B4" s="432" t="s">
        <v>128</v>
      </c>
      <c r="C4" s="419" t="s">
        <v>6</v>
      </c>
      <c r="D4" s="420"/>
      <c r="E4" s="421"/>
      <c r="F4" s="419" t="s">
        <v>59</v>
      </c>
      <c r="G4" s="420"/>
      <c r="H4" s="421"/>
      <c r="I4" s="418" t="s">
        <v>60</v>
      </c>
    </row>
    <row r="5" spans="1:10" ht="60" x14ac:dyDescent="0.25">
      <c r="A5" s="418"/>
      <c r="B5" s="432"/>
      <c r="C5" s="4" t="s">
        <v>61</v>
      </c>
      <c r="D5" s="4" t="s">
        <v>62</v>
      </c>
      <c r="E5" s="4" t="s">
        <v>64</v>
      </c>
      <c r="F5" s="4" t="s">
        <v>61</v>
      </c>
      <c r="G5" s="4" t="s">
        <v>62</v>
      </c>
      <c r="H5" s="4" t="s">
        <v>64</v>
      </c>
      <c r="I5" s="418"/>
    </row>
    <row r="6" spans="1:10" x14ac:dyDescent="0.25">
      <c r="A6" s="171"/>
      <c r="B6" s="284" t="s">
        <v>360</v>
      </c>
      <c r="C6" s="172">
        <f>15+2</f>
        <v>17</v>
      </c>
      <c r="D6" s="172">
        <v>0</v>
      </c>
      <c r="E6" s="172">
        <f t="shared" ref="E6:E46" si="0">SUM(C6:D6)</f>
        <v>17</v>
      </c>
      <c r="F6" s="172">
        <f>15+2</f>
        <v>17</v>
      </c>
      <c r="G6" s="172">
        <v>0</v>
      </c>
      <c r="H6" s="172">
        <f t="shared" ref="H6:H46" si="1">SUM(F6:G6)</f>
        <v>17</v>
      </c>
    </row>
    <row r="7" spans="1:10" x14ac:dyDescent="0.25">
      <c r="A7" s="171"/>
      <c r="B7" s="284" t="s">
        <v>361</v>
      </c>
      <c r="C7" s="172">
        <v>0</v>
      </c>
      <c r="D7" s="172">
        <v>0</v>
      </c>
      <c r="E7" s="172">
        <f t="shared" si="0"/>
        <v>0</v>
      </c>
      <c r="F7" s="172">
        <v>0</v>
      </c>
      <c r="G7" s="172">
        <v>0</v>
      </c>
      <c r="H7" s="172">
        <f t="shared" si="1"/>
        <v>0</v>
      </c>
    </row>
    <row r="8" spans="1:10" x14ac:dyDescent="0.25">
      <c r="A8" s="5" t="s">
        <v>8</v>
      </c>
      <c r="B8" s="6" t="s">
        <v>9</v>
      </c>
      <c r="C8" s="7">
        <f>C9+C11+C20</f>
        <v>35000000</v>
      </c>
      <c r="D8" s="7">
        <f>D9+D11+D20</f>
        <v>0</v>
      </c>
      <c r="E8" s="7">
        <f t="shared" si="0"/>
        <v>35000000</v>
      </c>
      <c r="F8" s="7">
        <f>F9+F11+F20</f>
        <v>35000000</v>
      </c>
      <c r="G8" s="7">
        <f>G9+G11+G20</f>
        <v>0</v>
      </c>
      <c r="H8" s="7">
        <f t="shared" si="1"/>
        <v>35000000</v>
      </c>
      <c r="I8" s="7">
        <f>+I9+I11+I20</f>
        <v>7765581</v>
      </c>
      <c r="J8" s="60"/>
    </row>
    <row r="9" spans="1:10" x14ac:dyDescent="0.25">
      <c r="A9" s="156" t="s">
        <v>11</v>
      </c>
      <c r="B9" s="157" t="s">
        <v>12</v>
      </c>
      <c r="C9" s="158">
        <f>C10</f>
        <v>0</v>
      </c>
      <c r="D9" s="158">
        <f>D10</f>
        <v>0</v>
      </c>
      <c r="E9" s="158">
        <f t="shared" si="0"/>
        <v>0</v>
      </c>
      <c r="F9" s="158">
        <f>F10</f>
        <v>0</v>
      </c>
      <c r="G9" s="158">
        <f>G10</f>
        <v>0</v>
      </c>
      <c r="H9" s="158">
        <f t="shared" si="1"/>
        <v>0</v>
      </c>
      <c r="I9" s="158">
        <f>SUM(G9:H9)</f>
        <v>0</v>
      </c>
    </row>
    <row r="10" spans="1:10" ht="30" hidden="1" x14ac:dyDescent="0.25">
      <c r="A10" s="11"/>
      <c r="B10" s="82" t="s">
        <v>529</v>
      </c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13">
        <f>SUM(G10:H10)</f>
        <v>0</v>
      </c>
    </row>
    <row r="11" spans="1:10" x14ac:dyDescent="0.25">
      <c r="A11" s="156" t="s">
        <v>14</v>
      </c>
      <c r="B11" s="157" t="s">
        <v>18</v>
      </c>
      <c r="C11" s="158">
        <f>C12+C13+C14+C15+C16+C17+C18+C19</f>
        <v>35000000</v>
      </c>
      <c r="D11" s="158">
        <f>D12+D13+D14+D15+D16+D17+D18+D19</f>
        <v>0</v>
      </c>
      <c r="E11" s="158">
        <f t="shared" si="0"/>
        <v>35000000</v>
      </c>
      <c r="F11" s="158">
        <f>F12+F13+F14+F15+F16+F17+F18+F19</f>
        <v>35000000</v>
      </c>
      <c r="G11" s="158">
        <f>G12+G13+G14+G15+G16+G17+G18+G19</f>
        <v>0</v>
      </c>
      <c r="H11" s="158">
        <f t="shared" si="1"/>
        <v>35000000</v>
      </c>
      <c r="I11" s="158">
        <f>SUM(I12:I19)</f>
        <v>7765581</v>
      </c>
      <c r="J11" s="60"/>
    </row>
    <row r="12" spans="1:10" x14ac:dyDescent="0.25">
      <c r="A12" s="11"/>
      <c r="B12" s="82" t="s">
        <v>532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  <c r="I12" s="13"/>
    </row>
    <row r="13" spans="1:10" x14ac:dyDescent="0.25">
      <c r="A13" s="11"/>
      <c r="B13" s="82" t="s">
        <v>533</v>
      </c>
      <c r="C13" s="85">
        <v>27000000</v>
      </c>
      <c r="D13" s="85">
        <v>0</v>
      </c>
      <c r="E13" s="85">
        <f t="shared" si="0"/>
        <v>27000000</v>
      </c>
      <c r="F13" s="85">
        <v>27000000</v>
      </c>
      <c r="G13" s="85">
        <v>0</v>
      </c>
      <c r="H13" s="85">
        <f t="shared" si="1"/>
        <v>27000000</v>
      </c>
      <c r="I13" s="85">
        <v>6104537</v>
      </c>
    </row>
    <row r="14" spans="1:10" x14ac:dyDescent="0.25">
      <c r="A14" s="11"/>
      <c r="B14" s="82" t="s">
        <v>534</v>
      </c>
      <c r="C14" s="85"/>
      <c r="D14" s="85">
        <v>0</v>
      </c>
      <c r="E14" s="85">
        <f t="shared" si="0"/>
        <v>0</v>
      </c>
      <c r="F14" s="85"/>
      <c r="G14" s="85">
        <v>0</v>
      </c>
      <c r="H14" s="85">
        <f t="shared" si="1"/>
        <v>0</v>
      </c>
      <c r="I14" s="13"/>
    </row>
    <row r="15" spans="1:10" x14ac:dyDescent="0.25">
      <c r="A15" s="11"/>
      <c r="B15" s="82" t="s">
        <v>535</v>
      </c>
      <c r="C15" s="13"/>
      <c r="D15" s="13">
        <v>0</v>
      </c>
      <c r="E15" s="13">
        <f t="shared" si="0"/>
        <v>0</v>
      </c>
      <c r="F15" s="13"/>
      <c r="G15" s="13">
        <v>0</v>
      </c>
      <c r="H15" s="13">
        <f t="shared" si="1"/>
        <v>0</v>
      </c>
      <c r="I15" s="13"/>
    </row>
    <row r="16" spans="1:10" x14ac:dyDescent="0.25">
      <c r="A16" s="11"/>
      <c r="B16" s="82" t="s">
        <v>536</v>
      </c>
      <c r="C16" s="13">
        <v>7000000</v>
      </c>
      <c r="D16" s="13">
        <v>0</v>
      </c>
      <c r="E16" s="13">
        <f t="shared" si="0"/>
        <v>7000000</v>
      </c>
      <c r="F16" s="13">
        <v>7000000</v>
      </c>
      <c r="G16" s="13">
        <v>0</v>
      </c>
      <c r="H16" s="13">
        <f t="shared" si="1"/>
        <v>7000000</v>
      </c>
      <c r="I16" s="13">
        <v>1648229</v>
      </c>
    </row>
    <row r="17" spans="1:10" x14ac:dyDescent="0.25">
      <c r="A17" s="11"/>
      <c r="B17" s="82" t="s">
        <v>537</v>
      </c>
      <c r="C17" s="13"/>
      <c r="D17" s="13">
        <v>0</v>
      </c>
      <c r="E17" s="13">
        <f t="shared" si="0"/>
        <v>0</v>
      </c>
      <c r="F17" s="13"/>
      <c r="G17" s="13">
        <v>0</v>
      </c>
      <c r="H17" s="13">
        <f t="shared" si="1"/>
        <v>0</v>
      </c>
      <c r="I17" s="13"/>
    </row>
    <row r="18" spans="1:10" x14ac:dyDescent="0.25">
      <c r="A18" s="11"/>
      <c r="B18" s="82" t="s">
        <v>538</v>
      </c>
      <c r="C18" s="13"/>
      <c r="D18" s="13">
        <v>0</v>
      </c>
      <c r="E18" s="13">
        <f t="shared" si="0"/>
        <v>0</v>
      </c>
      <c r="F18" s="13"/>
      <c r="G18" s="13">
        <v>0</v>
      </c>
      <c r="H18" s="13">
        <f t="shared" si="1"/>
        <v>0</v>
      </c>
      <c r="I18" s="13"/>
    </row>
    <row r="19" spans="1:10" x14ac:dyDescent="0.25">
      <c r="A19" s="11"/>
      <c r="B19" s="82" t="s">
        <v>539</v>
      </c>
      <c r="C19" s="13">
        <v>1000000</v>
      </c>
      <c r="D19" s="13">
        <v>0</v>
      </c>
      <c r="E19" s="13">
        <f t="shared" si="0"/>
        <v>1000000</v>
      </c>
      <c r="F19" s="13">
        <v>1000000</v>
      </c>
      <c r="G19" s="13">
        <v>0</v>
      </c>
      <c r="H19" s="13">
        <f t="shared" si="1"/>
        <v>1000000</v>
      </c>
      <c r="I19" s="13">
        <v>12815</v>
      </c>
    </row>
    <row r="20" spans="1:10" x14ac:dyDescent="0.25">
      <c r="A20" s="156" t="s">
        <v>17</v>
      </c>
      <c r="B20" s="157" t="s">
        <v>21</v>
      </c>
      <c r="C20" s="158">
        <f>SUM(C21:C21)</f>
        <v>0</v>
      </c>
      <c r="D20" s="158">
        <f>SUM(D21:D21)</f>
        <v>0</v>
      </c>
      <c r="E20" s="158">
        <f t="shared" si="0"/>
        <v>0</v>
      </c>
      <c r="F20" s="158">
        <f>SUM(F21:F21)</f>
        <v>0</v>
      </c>
      <c r="G20" s="158">
        <f>SUM(G21:G21)</f>
        <v>0</v>
      </c>
      <c r="H20" s="158">
        <f t="shared" si="1"/>
        <v>0</v>
      </c>
      <c r="I20" s="158">
        <f>SUM(G20:H20)</f>
        <v>0</v>
      </c>
    </row>
    <row r="21" spans="1:10" hidden="1" x14ac:dyDescent="0.25">
      <c r="A21" s="11"/>
      <c r="B21" s="82" t="s">
        <v>540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  <c r="I21" s="13">
        <f>SUM(G21:H21)</f>
        <v>0</v>
      </c>
    </row>
    <row r="22" spans="1:10" x14ac:dyDescent="0.25">
      <c r="A22" s="5" t="s">
        <v>27</v>
      </c>
      <c r="B22" s="6" t="s">
        <v>28</v>
      </c>
      <c r="C22" s="7">
        <f>C23+C25+C28</f>
        <v>0</v>
      </c>
      <c r="D22" s="7">
        <f>D23+D25+D28</f>
        <v>0</v>
      </c>
      <c r="E22" s="7">
        <f t="shared" si="0"/>
        <v>0</v>
      </c>
      <c r="F22" s="7">
        <f>F23+F25+F28</f>
        <v>0</v>
      </c>
      <c r="G22" s="7">
        <f>G23+G25+G28</f>
        <v>0</v>
      </c>
      <c r="H22" s="7">
        <f t="shared" si="1"/>
        <v>0</v>
      </c>
      <c r="I22" s="7">
        <v>0</v>
      </c>
    </row>
    <row r="23" spans="1:10" hidden="1" x14ac:dyDescent="0.25">
      <c r="A23" s="156" t="s">
        <v>11</v>
      </c>
      <c r="B23" s="157" t="s">
        <v>30</v>
      </c>
      <c r="C23" s="158">
        <f>SUM(C24:C24)</f>
        <v>0</v>
      </c>
      <c r="D23" s="158">
        <f>SUM(D24:D24)</f>
        <v>0</v>
      </c>
      <c r="E23" s="158">
        <f t="shared" si="0"/>
        <v>0</v>
      </c>
      <c r="F23" s="158">
        <f>SUM(F24:F24)</f>
        <v>0</v>
      </c>
      <c r="G23" s="158">
        <f>SUM(G24:G24)</f>
        <v>0</v>
      </c>
      <c r="H23" s="158">
        <f t="shared" si="1"/>
        <v>0</v>
      </c>
      <c r="I23" s="158">
        <f t="shared" ref="I23:I29" si="2">SUM(G23:H23)</f>
        <v>0</v>
      </c>
    </row>
    <row r="24" spans="1:10" ht="30" hidden="1" x14ac:dyDescent="0.25">
      <c r="A24" s="11"/>
      <c r="B24" s="12" t="s">
        <v>541</v>
      </c>
      <c r="C24" s="13">
        <v>0</v>
      </c>
      <c r="D24" s="13">
        <v>0</v>
      </c>
      <c r="E24" s="13">
        <f t="shared" si="0"/>
        <v>0</v>
      </c>
      <c r="F24" s="13">
        <v>0</v>
      </c>
      <c r="G24" s="13">
        <v>0</v>
      </c>
      <c r="H24" s="13">
        <f t="shared" si="1"/>
        <v>0</v>
      </c>
      <c r="I24" s="13">
        <f t="shared" si="2"/>
        <v>0</v>
      </c>
    </row>
    <row r="25" spans="1:10" hidden="1" x14ac:dyDescent="0.25">
      <c r="A25" s="156" t="s">
        <v>14</v>
      </c>
      <c r="B25" s="157" t="s">
        <v>32</v>
      </c>
      <c r="C25" s="158">
        <f>SUM(C26:C27)</f>
        <v>0</v>
      </c>
      <c r="D25" s="158">
        <f>SUM(D26:D27)</f>
        <v>0</v>
      </c>
      <c r="E25" s="158">
        <f t="shared" si="0"/>
        <v>0</v>
      </c>
      <c r="F25" s="158">
        <f>SUM(F26:F27)</f>
        <v>0</v>
      </c>
      <c r="G25" s="158">
        <f>SUM(G26:G27)</f>
        <v>0</v>
      </c>
      <c r="H25" s="158">
        <f t="shared" si="1"/>
        <v>0</v>
      </c>
      <c r="I25" s="158">
        <f t="shared" si="2"/>
        <v>0</v>
      </c>
    </row>
    <row r="26" spans="1:10" hidden="1" x14ac:dyDescent="0.25">
      <c r="A26" s="11"/>
      <c r="B26" s="17" t="s">
        <v>89</v>
      </c>
      <c r="C26" s="13">
        <v>0</v>
      </c>
      <c r="D26" s="13">
        <v>0</v>
      </c>
      <c r="E26" s="13">
        <f t="shared" si="0"/>
        <v>0</v>
      </c>
      <c r="F26" s="13">
        <v>0</v>
      </c>
      <c r="G26" s="13">
        <v>0</v>
      </c>
      <c r="H26" s="13">
        <f t="shared" si="1"/>
        <v>0</v>
      </c>
      <c r="I26" s="13">
        <f t="shared" si="2"/>
        <v>0</v>
      </c>
    </row>
    <row r="27" spans="1:10" hidden="1" x14ac:dyDescent="0.25">
      <c r="A27" s="11"/>
      <c r="B27" s="17" t="s">
        <v>542</v>
      </c>
      <c r="C27" s="13">
        <v>0</v>
      </c>
      <c r="D27" s="13">
        <v>0</v>
      </c>
      <c r="E27" s="13">
        <f t="shared" si="0"/>
        <v>0</v>
      </c>
      <c r="F27" s="13">
        <v>0</v>
      </c>
      <c r="G27" s="13">
        <v>0</v>
      </c>
      <c r="H27" s="13">
        <f t="shared" si="1"/>
        <v>0</v>
      </c>
      <c r="I27" s="13">
        <f t="shared" si="2"/>
        <v>0</v>
      </c>
    </row>
    <row r="28" spans="1:10" hidden="1" x14ac:dyDescent="0.25">
      <c r="A28" s="156" t="s">
        <v>17</v>
      </c>
      <c r="B28" s="157" t="s">
        <v>34</v>
      </c>
      <c r="C28" s="158">
        <f>SUM(C29:C29)</f>
        <v>0</v>
      </c>
      <c r="D28" s="158">
        <f>SUM(D29:D29)</f>
        <v>0</v>
      </c>
      <c r="E28" s="158">
        <f t="shared" si="0"/>
        <v>0</v>
      </c>
      <c r="F28" s="158">
        <f>SUM(F29:F29)</f>
        <v>0</v>
      </c>
      <c r="G28" s="158">
        <f>SUM(G29:G29)</f>
        <v>0</v>
      </c>
      <c r="H28" s="158">
        <f t="shared" si="1"/>
        <v>0</v>
      </c>
      <c r="I28" s="158">
        <f t="shared" si="2"/>
        <v>0</v>
      </c>
    </row>
    <row r="29" spans="1:10" hidden="1" x14ac:dyDescent="0.25">
      <c r="A29" s="11"/>
      <c r="B29" s="17" t="s">
        <v>543</v>
      </c>
      <c r="C29" s="13">
        <v>0</v>
      </c>
      <c r="D29" s="13">
        <v>0</v>
      </c>
      <c r="E29" s="13">
        <f t="shared" si="0"/>
        <v>0</v>
      </c>
      <c r="F29" s="13">
        <v>0</v>
      </c>
      <c r="G29" s="13">
        <v>0</v>
      </c>
      <c r="H29" s="13">
        <f t="shared" si="1"/>
        <v>0</v>
      </c>
      <c r="I29" s="13">
        <f t="shared" si="2"/>
        <v>0</v>
      </c>
    </row>
    <row r="30" spans="1:10" x14ac:dyDescent="0.25">
      <c r="A30" s="3"/>
      <c r="B30" s="24" t="s">
        <v>38</v>
      </c>
      <c r="C30" s="26">
        <f>C22+C8</f>
        <v>35000000</v>
      </c>
      <c r="D30" s="26">
        <f>D22+D8</f>
        <v>0</v>
      </c>
      <c r="E30" s="26">
        <f t="shared" si="0"/>
        <v>35000000</v>
      </c>
      <c r="F30" s="26">
        <f>F22+F8</f>
        <v>35000000</v>
      </c>
      <c r="G30" s="26">
        <f>G22+G8</f>
        <v>0</v>
      </c>
      <c r="H30" s="26">
        <f t="shared" si="1"/>
        <v>35000000</v>
      </c>
      <c r="I30" s="26">
        <f>+I22+I8</f>
        <v>7765581</v>
      </c>
      <c r="J30" s="60"/>
    </row>
    <row r="31" spans="1:10" x14ac:dyDescent="0.25">
      <c r="A31" s="5" t="s">
        <v>42</v>
      </c>
      <c r="B31" s="6" t="s">
        <v>43</v>
      </c>
      <c r="C31" s="7">
        <f>C32</f>
        <v>222914160</v>
      </c>
      <c r="D31" s="7">
        <f>D32</f>
        <v>0</v>
      </c>
      <c r="E31" s="7">
        <f t="shared" si="0"/>
        <v>222914160</v>
      </c>
      <c r="F31" s="7">
        <f>F32</f>
        <v>228149175</v>
      </c>
      <c r="G31" s="7">
        <f>G32</f>
        <v>0</v>
      </c>
      <c r="H31" s="7">
        <f t="shared" si="1"/>
        <v>228149175</v>
      </c>
      <c r="I31" s="7">
        <f>+I32</f>
        <v>72338452</v>
      </c>
      <c r="J31" s="60"/>
    </row>
    <row r="32" spans="1:10" x14ac:dyDescent="0.25">
      <c r="A32" s="156" t="s">
        <v>11</v>
      </c>
      <c r="B32" s="157" t="s">
        <v>53</v>
      </c>
      <c r="C32" s="158">
        <f>SUM(C33:C34)</f>
        <v>222914160</v>
      </c>
      <c r="D32" s="158">
        <f>SUM(D33:D34)</f>
        <v>0</v>
      </c>
      <c r="E32" s="158">
        <f t="shared" si="0"/>
        <v>222914160</v>
      </c>
      <c r="F32" s="158">
        <f>SUM(F33:F34)</f>
        <v>228149175</v>
      </c>
      <c r="G32" s="158">
        <f>SUM(G33:G34)</f>
        <v>0</v>
      </c>
      <c r="H32" s="158">
        <f t="shared" si="1"/>
        <v>228149175</v>
      </c>
      <c r="I32" s="158">
        <f>+I33+I34</f>
        <v>72338452</v>
      </c>
    </row>
    <row r="33" spans="1:10" x14ac:dyDescent="0.25">
      <c r="A33" s="11"/>
      <c r="B33" s="17" t="s">
        <v>514</v>
      </c>
      <c r="C33" s="13">
        <v>0</v>
      </c>
      <c r="D33" s="13">
        <v>0</v>
      </c>
      <c r="E33" s="13">
        <f t="shared" si="0"/>
        <v>0</v>
      </c>
      <c r="F33" s="13">
        <v>5139815</v>
      </c>
      <c r="G33" s="13">
        <v>0</v>
      </c>
      <c r="H33" s="13">
        <f t="shared" si="1"/>
        <v>5139815</v>
      </c>
      <c r="I33" s="13">
        <v>0</v>
      </c>
    </row>
    <row r="34" spans="1:10" x14ac:dyDescent="0.25">
      <c r="A34" s="11"/>
      <c r="B34" s="17" t="s">
        <v>544</v>
      </c>
      <c r="C34" s="13">
        <f>C36+C42-C8-C22-C33</f>
        <v>222914160</v>
      </c>
      <c r="D34" s="13">
        <f>D36+D42-D8-D22-D33</f>
        <v>0</v>
      </c>
      <c r="E34" s="13">
        <f t="shared" si="0"/>
        <v>222914160</v>
      </c>
      <c r="F34" s="13">
        <f>F36+F42-F8-F22-F33</f>
        <v>223009360</v>
      </c>
      <c r="G34" s="13">
        <f>G36+G42-G8-G22-G33</f>
        <v>0</v>
      </c>
      <c r="H34" s="13">
        <f t="shared" si="1"/>
        <v>223009360</v>
      </c>
      <c r="I34" s="13">
        <v>72338452</v>
      </c>
      <c r="J34" s="60"/>
    </row>
    <row r="35" spans="1:10" x14ac:dyDescent="0.25">
      <c r="A35" s="33"/>
      <c r="B35" s="34" t="s">
        <v>57</v>
      </c>
      <c r="C35" s="35">
        <f>C31+C22+C8</f>
        <v>257914160</v>
      </c>
      <c r="D35" s="35">
        <f>D31+D22+D8</f>
        <v>0</v>
      </c>
      <c r="E35" s="35">
        <f t="shared" si="0"/>
        <v>257914160</v>
      </c>
      <c r="F35" s="35">
        <f>F31+F22+F8</f>
        <v>263149175</v>
      </c>
      <c r="G35" s="35">
        <f>G31+G22+G8</f>
        <v>0</v>
      </c>
      <c r="H35" s="35">
        <f t="shared" si="1"/>
        <v>263149175</v>
      </c>
      <c r="I35" s="35">
        <f>+I8+I22+I31</f>
        <v>80104033</v>
      </c>
      <c r="J35" s="60"/>
    </row>
    <row r="36" spans="1:10" x14ac:dyDescent="0.25">
      <c r="A36" s="5" t="s">
        <v>8</v>
      </c>
      <c r="B36" s="6" t="s">
        <v>109</v>
      </c>
      <c r="C36" s="7">
        <f>SUM(C37:C41)</f>
        <v>256644160</v>
      </c>
      <c r="D36" s="7">
        <f>SUM(D37:D41)</f>
        <v>0</v>
      </c>
      <c r="E36" s="7">
        <f t="shared" si="0"/>
        <v>256644160</v>
      </c>
      <c r="F36" s="7">
        <f>SUM(F37:F41)</f>
        <v>261879175</v>
      </c>
      <c r="G36" s="7">
        <f>SUM(G37:G41)</f>
        <v>0</v>
      </c>
      <c r="H36" s="7">
        <f t="shared" si="1"/>
        <v>261879175</v>
      </c>
      <c r="I36" s="7">
        <f>+I37+I38+I39+I40+I41</f>
        <v>79544355</v>
      </c>
      <c r="J36" s="60"/>
    </row>
    <row r="37" spans="1:10" x14ac:dyDescent="0.25">
      <c r="A37" s="156" t="s">
        <v>11</v>
      </c>
      <c r="B37" s="157" t="s">
        <v>13</v>
      </c>
      <c r="C37" s="158">
        <f>'[6]5 GSZNR fel'!E52+'[6]5 GSZNR fel'!E59+'[6]5 GSZNR fel'!E64</f>
        <v>83854000</v>
      </c>
      <c r="D37" s="158">
        <f>'[6]5 GSZNR fel'!D52+'[6]5 GSZNR fel'!D59+'[6]5 GSZNR fel'!D64+'[6]5 GSZNR fel'!E70</f>
        <v>0</v>
      </c>
      <c r="E37" s="158">
        <f t="shared" si="0"/>
        <v>83854000</v>
      </c>
      <c r="F37" s="158">
        <f>'[6]5 GSZNR fel'!H52+'[6]5 GSZNR fel'!H59+'[6]5 GSZNR fel'!H64</f>
        <v>83854000</v>
      </c>
      <c r="G37" s="158">
        <f>'[6]5 GSZNR fel'!G52+'[6]5 GSZNR fel'!G59+'[6]5 GSZNR fel'!G64+'[6]5 GSZNR fel'!H70</f>
        <v>0</v>
      </c>
      <c r="H37" s="158">
        <f t="shared" si="1"/>
        <v>83854000</v>
      </c>
      <c r="I37" s="158">
        <f>'[6]5 GSZNR fel'!I52+'[6]5 GSZNR fel'!I59+'[6]5 GSZNR fel'!I64</f>
        <v>28486244</v>
      </c>
    </row>
    <row r="38" spans="1:10" x14ac:dyDescent="0.25">
      <c r="A38" s="156" t="s">
        <v>14</v>
      </c>
      <c r="B38" s="157" t="s">
        <v>16</v>
      </c>
      <c r="C38" s="158">
        <f>'[6]5 GSZNR fel'!E53+'[6]5 GSZNR fel'!E60+'[6]5 GSZNR fel'!E65</f>
        <v>16333160</v>
      </c>
      <c r="D38" s="158">
        <f>'[6]5 GSZNR fel'!D53+'[6]5 GSZNR fel'!D60+'[6]5 GSZNR fel'!D65+'[6]5 GSZNR fel'!E71</f>
        <v>0</v>
      </c>
      <c r="E38" s="158">
        <f t="shared" si="0"/>
        <v>16333160</v>
      </c>
      <c r="F38" s="158">
        <f>'[6]5 GSZNR fel'!H53+'[6]5 GSZNR fel'!H60+'[6]5 GSZNR fel'!H65</f>
        <v>16333160</v>
      </c>
      <c r="G38" s="158">
        <f>'[6]5 GSZNR fel'!G53+'[6]5 GSZNR fel'!G60+'[6]5 GSZNR fel'!G65+'[6]5 GSZNR fel'!H71</f>
        <v>0</v>
      </c>
      <c r="H38" s="158">
        <f t="shared" si="1"/>
        <v>16333160</v>
      </c>
      <c r="I38" s="158">
        <f>'[6]5 GSZNR fel'!I53+'[6]5 GSZNR fel'!I60+'[6]5 GSZNR fel'!I65</f>
        <v>5173226</v>
      </c>
    </row>
    <row r="39" spans="1:10" x14ac:dyDescent="0.25">
      <c r="A39" s="156" t="s">
        <v>17</v>
      </c>
      <c r="B39" s="157" t="s">
        <v>19</v>
      </c>
      <c r="C39" s="158">
        <f>'[6]5 GSZNR fel'!E54+'[6]5 GSZNR fel'!E61+'[6]5 GSZNR fel'!E66</f>
        <v>156457000</v>
      </c>
      <c r="D39" s="158">
        <f>'[6]5 GSZNR fel'!D54+'[6]5 GSZNR fel'!D61+'[6]5 GSZNR fel'!D66+'[6]5 GSZNR fel'!E72</f>
        <v>0</v>
      </c>
      <c r="E39" s="164">
        <f t="shared" si="0"/>
        <v>156457000</v>
      </c>
      <c r="F39" s="158">
        <f>'[6]5 GSZNR fel'!H54+'[6]5 GSZNR fel'!H61+'[6]5 GSZNR fel'!H66</f>
        <v>158878518</v>
      </c>
      <c r="G39" s="158">
        <f>'[6]5 GSZNR fel'!G54+'[6]5 GSZNR fel'!G61+'[6]5 GSZNR fel'!G66+'[6]5 GSZNR fel'!H72</f>
        <v>0</v>
      </c>
      <c r="H39" s="164">
        <f t="shared" si="1"/>
        <v>158878518</v>
      </c>
      <c r="I39" s="158">
        <f>'[6]5 GSZNR fel'!I54+'[6]5 GSZNR fel'!I61+'[6]5 GSZNR fel'!I66</f>
        <v>45789685</v>
      </c>
      <c r="J39" s="60"/>
    </row>
    <row r="40" spans="1:10" x14ac:dyDescent="0.25">
      <c r="A40" s="156" t="s">
        <v>20</v>
      </c>
      <c r="B40" s="157" t="s">
        <v>22</v>
      </c>
      <c r="C40" s="158">
        <v>0</v>
      </c>
      <c r="D40" s="158">
        <v>0</v>
      </c>
      <c r="E40" s="158">
        <f t="shared" si="0"/>
        <v>0</v>
      </c>
      <c r="F40" s="158">
        <v>0</v>
      </c>
      <c r="G40" s="158">
        <v>0</v>
      </c>
      <c r="H40" s="158">
        <f t="shared" si="1"/>
        <v>0</v>
      </c>
      <c r="I40" s="158">
        <v>0</v>
      </c>
    </row>
    <row r="41" spans="1:10" x14ac:dyDescent="0.25">
      <c r="A41" s="156" t="s">
        <v>23</v>
      </c>
      <c r="B41" s="157" t="s">
        <v>24</v>
      </c>
      <c r="C41" s="158">
        <f>+'[6]5 GSZNR fel'!E55</f>
        <v>0</v>
      </c>
      <c r="D41" s="158">
        <v>0</v>
      </c>
      <c r="E41" s="158">
        <f t="shared" si="0"/>
        <v>0</v>
      </c>
      <c r="F41" s="158">
        <f>+'[6]5 GSZNR fel'!H55</f>
        <v>2813497</v>
      </c>
      <c r="G41" s="158">
        <v>0</v>
      </c>
      <c r="H41" s="158">
        <f t="shared" si="1"/>
        <v>2813497</v>
      </c>
      <c r="I41" s="158">
        <f>+'[6]5 GSZNR fel'!I55</f>
        <v>95200</v>
      </c>
    </row>
    <row r="42" spans="1:10" x14ac:dyDescent="0.25">
      <c r="A42" s="5" t="s">
        <v>27</v>
      </c>
      <c r="B42" s="6" t="s">
        <v>115</v>
      </c>
      <c r="C42" s="7">
        <f>SUM(C43:C45)</f>
        <v>1270000</v>
      </c>
      <c r="D42" s="7">
        <f>SUM(D43:D45)</f>
        <v>0</v>
      </c>
      <c r="E42" s="7">
        <f t="shared" si="0"/>
        <v>1270000</v>
      </c>
      <c r="F42" s="7">
        <f>SUM(F43:F45)</f>
        <v>1270000</v>
      </c>
      <c r="G42" s="7">
        <f>SUM(G43:G45)</f>
        <v>0</v>
      </c>
      <c r="H42" s="7">
        <f t="shared" si="1"/>
        <v>1270000</v>
      </c>
      <c r="I42" s="7">
        <f>SUM(I43:I45)</f>
        <v>43730</v>
      </c>
      <c r="J42" s="60"/>
    </row>
    <row r="43" spans="1:10" x14ac:dyDescent="0.25">
      <c r="A43" s="156" t="s">
        <v>11</v>
      </c>
      <c r="B43" s="157" t="s">
        <v>545</v>
      </c>
      <c r="C43" s="158">
        <f>'[6]5 GSZNR fel'!E56+'[6]5 GSZNR fel'!E62+'[6]5 GSZNR fel'!E67</f>
        <v>1270000</v>
      </c>
      <c r="D43" s="158">
        <f>'[6]5 GSZNR fel'!D56+'[6]5 GSZNR fel'!D62+'[6]5 GSZNR fel'!D67</f>
        <v>0</v>
      </c>
      <c r="E43" s="164">
        <f t="shared" si="0"/>
        <v>1270000</v>
      </c>
      <c r="F43" s="158">
        <f>'[6]5 GSZNR fel'!H56+'[6]5 GSZNR fel'!H62+'[6]5 GSZNR fel'!H67</f>
        <v>1270000</v>
      </c>
      <c r="G43" s="158">
        <f>'[6]5 GSZNR fel'!G56+'[6]5 GSZNR fel'!G62+'[6]5 GSZNR fel'!G67</f>
        <v>0</v>
      </c>
      <c r="H43" s="164">
        <f t="shared" si="1"/>
        <v>1270000</v>
      </c>
      <c r="I43" s="158">
        <f>'[6]5 GSZNR fel'!I56+'[6]5 GSZNR fel'!I62+'[6]5 GSZNR fel'!I67</f>
        <v>43730</v>
      </c>
    </row>
    <row r="44" spans="1:10" x14ac:dyDescent="0.25">
      <c r="A44" s="156" t="s">
        <v>14</v>
      </c>
      <c r="B44" s="157" t="s">
        <v>33</v>
      </c>
      <c r="C44" s="158">
        <f>+'[6]5 GSZNR fel'!E57</f>
        <v>0</v>
      </c>
      <c r="D44" s="158">
        <v>0</v>
      </c>
      <c r="E44" s="158">
        <f t="shared" si="0"/>
        <v>0</v>
      </c>
      <c r="F44" s="158">
        <f>+'[6]5 GSZNR fel'!H57</f>
        <v>0</v>
      </c>
      <c r="G44" s="158">
        <v>0</v>
      </c>
      <c r="H44" s="158">
        <f t="shared" si="1"/>
        <v>0</v>
      </c>
      <c r="I44" s="158">
        <f>+'[6]5 GSZNR fel'!I57</f>
        <v>0</v>
      </c>
    </row>
    <row r="45" spans="1:10" x14ac:dyDescent="0.25">
      <c r="A45" s="156" t="s">
        <v>17</v>
      </c>
      <c r="B45" s="157" t="s">
        <v>35</v>
      </c>
      <c r="C45" s="158" t="s">
        <v>563</v>
      </c>
      <c r="D45" s="158">
        <v>0</v>
      </c>
      <c r="E45" s="158">
        <f t="shared" si="0"/>
        <v>0</v>
      </c>
      <c r="F45" s="158" t="s">
        <v>563</v>
      </c>
      <c r="G45" s="158">
        <v>0</v>
      </c>
      <c r="H45" s="158">
        <f t="shared" si="1"/>
        <v>0</v>
      </c>
      <c r="I45" s="158"/>
    </row>
    <row r="46" spans="1:10" x14ac:dyDescent="0.25">
      <c r="A46" s="33"/>
      <c r="B46" s="34" t="s">
        <v>58</v>
      </c>
      <c r="C46" s="35">
        <f>C36+C42</f>
        <v>257914160</v>
      </c>
      <c r="D46" s="35">
        <f>D36+D42</f>
        <v>0</v>
      </c>
      <c r="E46" s="35">
        <f t="shared" si="0"/>
        <v>257914160</v>
      </c>
      <c r="F46" s="35">
        <f>F36+F42</f>
        <v>263149175</v>
      </c>
      <c r="G46" s="35">
        <f>G36+G42</f>
        <v>0</v>
      </c>
      <c r="H46" s="35">
        <f t="shared" si="1"/>
        <v>263149175</v>
      </c>
      <c r="I46" s="35">
        <f>+I42+I36</f>
        <v>79588085</v>
      </c>
      <c r="J46" s="60"/>
    </row>
    <row r="47" spans="1:10" x14ac:dyDescent="0.25">
      <c r="H47" s="60">
        <f>+H46-E46</f>
        <v>5235015</v>
      </c>
    </row>
    <row r="48" spans="1:10" x14ac:dyDescent="0.25">
      <c r="H48">
        <v>95200</v>
      </c>
    </row>
    <row r="49" spans="8:8" x14ac:dyDescent="0.25">
      <c r="H49" s="60">
        <f>+H47-H48</f>
        <v>5139815</v>
      </c>
    </row>
  </sheetData>
  <mergeCells count="5">
    <mergeCell ref="A4:A5"/>
    <mergeCell ref="B4:B5"/>
    <mergeCell ref="C4:E4"/>
    <mergeCell ref="F4:H4"/>
    <mergeCell ref="I4:I5"/>
  </mergeCells>
  <printOptions horizontalCentered="1"/>
  <pageMargins left="0.19685039370078741" right="0.19685039370078741" top="0.8" bottom="0.19685039370078741" header="0.31496062992125984" footer="0.31496062992125984"/>
  <pageSetup paperSize="9" scale="80" fitToWidth="0" fitToHeight="0" orientation="landscape" copies="2" r:id="rId1"/>
  <headerFooter>
    <oddHeader>&amp;L4/D.  melléklet a ......./2020. (.................) önkormányzati rendelethez&amp;C&amp;"-,Félkövér"&amp;16
A Munkácsy Mihály Művelődési Ház 2020. évi bevételei és kiadásai jogcímenként és feladatonként</oddHeader>
    <oddFooter>&amp;C&amp;P&amp;R&amp;D,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F9E4-706D-415F-BF04-419E6B67191F}">
  <dimension ref="A1:J47"/>
  <sheetViews>
    <sheetView view="pageBreakPreview" zoomScale="91" zoomScaleNormal="100" zoomScaleSheetLayoutView="91" workbookViewId="0">
      <selection activeCell="J1" sqref="J1:J1048576"/>
    </sheetView>
  </sheetViews>
  <sheetFormatPr defaultRowHeight="15" x14ac:dyDescent="0.25"/>
  <cols>
    <col min="1" max="1" width="6.7109375" style="122" customWidth="1"/>
    <col min="2" max="2" width="53.28515625" customWidth="1"/>
    <col min="3" max="8" width="15.140625" customWidth="1"/>
    <col min="9" max="9" width="17.7109375" hidden="1" customWidth="1"/>
    <col min="10" max="11" width="15.140625" customWidth="1"/>
  </cols>
  <sheetData>
    <row r="1" spans="1:10" x14ac:dyDescent="0.25">
      <c r="E1" s="265"/>
      <c r="H1" s="265" t="s">
        <v>0</v>
      </c>
    </row>
    <row r="2" spans="1:10" ht="30" x14ac:dyDescent="0.25">
      <c r="A2" s="154" t="s">
        <v>556</v>
      </c>
      <c r="B2" s="154" t="s">
        <v>557</v>
      </c>
      <c r="C2" s="283"/>
      <c r="D2" s="283"/>
      <c r="E2" s="283"/>
      <c r="F2" s="283"/>
      <c r="G2" s="283"/>
      <c r="H2" s="283"/>
      <c r="I2" s="283"/>
    </row>
    <row r="3" spans="1:10" x14ac:dyDescent="0.25">
      <c r="A3" s="154" t="s">
        <v>558</v>
      </c>
      <c r="B3" s="154" t="s">
        <v>564</v>
      </c>
      <c r="C3" s="283"/>
      <c r="D3" s="283"/>
      <c r="E3" s="283"/>
      <c r="F3" s="283"/>
      <c r="G3" s="283"/>
      <c r="H3" s="283"/>
      <c r="I3" s="283"/>
    </row>
    <row r="4" spans="1:10" ht="30.4" customHeight="1" x14ac:dyDescent="0.25">
      <c r="A4" s="418" t="s">
        <v>1</v>
      </c>
      <c r="B4" s="432" t="s">
        <v>128</v>
      </c>
      <c r="C4" s="419" t="s">
        <v>6</v>
      </c>
      <c r="D4" s="420"/>
      <c r="E4" s="421"/>
      <c r="F4" s="419" t="s">
        <v>59</v>
      </c>
      <c r="G4" s="420"/>
      <c r="H4" s="421"/>
      <c r="I4" s="418" t="s">
        <v>60</v>
      </c>
    </row>
    <row r="5" spans="1:10" ht="30" x14ac:dyDescent="0.25">
      <c r="A5" s="418"/>
      <c r="B5" s="432"/>
      <c r="C5" s="4" t="s">
        <v>61</v>
      </c>
      <c r="D5" s="4" t="s">
        <v>62</v>
      </c>
      <c r="E5" s="4" t="s">
        <v>64</v>
      </c>
      <c r="F5" s="4" t="s">
        <v>61</v>
      </c>
      <c r="G5" s="4" t="s">
        <v>62</v>
      </c>
      <c r="H5" s="4" t="s">
        <v>64</v>
      </c>
      <c r="I5" s="418"/>
    </row>
    <row r="6" spans="1:10" x14ac:dyDescent="0.25">
      <c r="A6" s="171"/>
      <c r="B6" s="284" t="s">
        <v>360</v>
      </c>
      <c r="C6" s="172">
        <v>4.5</v>
      </c>
      <c r="D6" s="172">
        <v>1</v>
      </c>
      <c r="E6" s="172">
        <f t="shared" ref="E6:E46" si="0">SUM(C6:D6)</f>
        <v>5.5</v>
      </c>
      <c r="F6" s="172">
        <v>4.5</v>
      </c>
      <c r="G6" s="172">
        <v>1</v>
      </c>
      <c r="H6" s="172">
        <f t="shared" ref="H6:H46" si="1">SUM(F6:G6)</f>
        <v>5.5</v>
      </c>
    </row>
    <row r="7" spans="1:10" x14ac:dyDescent="0.25">
      <c r="A7" s="171"/>
      <c r="B7" s="284" t="s">
        <v>361</v>
      </c>
      <c r="C7" s="172"/>
      <c r="D7" s="172"/>
      <c r="E7" s="172">
        <f t="shared" si="0"/>
        <v>0</v>
      </c>
      <c r="F7" s="172"/>
      <c r="G7" s="172"/>
      <c r="H7" s="172">
        <f t="shared" si="1"/>
        <v>0</v>
      </c>
    </row>
    <row r="8" spans="1:10" x14ac:dyDescent="0.25">
      <c r="A8" s="5" t="s">
        <v>8</v>
      </c>
      <c r="B8" s="6" t="s">
        <v>9</v>
      </c>
      <c r="C8" s="7">
        <f>C9+C11+C20</f>
        <v>0</v>
      </c>
      <c r="D8" s="7">
        <f>D9+D11+D20</f>
        <v>0</v>
      </c>
      <c r="E8" s="7">
        <f t="shared" si="0"/>
        <v>0</v>
      </c>
      <c r="F8" s="7">
        <f>F9+F11+F20</f>
        <v>0</v>
      </c>
      <c r="G8" s="7">
        <f>G9+G11+G20</f>
        <v>0</v>
      </c>
      <c r="H8" s="7">
        <f t="shared" si="1"/>
        <v>0</v>
      </c>
      <c r="I8" s="7">
        <f>+I9+I11+I20</f>
        <v>76228</v>
      </c>
      <c r="J8" s="60"/>
    </row>
    <row r="9" spans="1:10" x14ac:dyDescent="0.25">
      <c r="A9" s="156" t="s">
        <v>11</v>
      </c>
      <c r="B9" s="157" t="s">
        <v>12</v>
      </c>
      <c r="C9" s="158">
        <f>C10</f>
        <v>0</v>
      </c>
      <c r="D9" s="158">
        <f>D10</f>
        <v>0</v>
      </c>
      <c r="E9" s="158">
        <f t="shared" si="0"/>
        <v>0</v>
      </c>
      <c r="F9" s="158">
        <f>F10</f>
        <v>0</v>
      </c>
      <c r="G9" s="158">
        <f>G10</f>
        <v>0</v>
      </c>
      <c r="H9" s="158">
        <f t="shared" si="1"/>
        <v>0</v>
      </c>
      <c r="I9" s="158">
        <f>SUM(G9:H9)</f>
        <v>0</v>
      </c>
    </row>
    <row r="10" spans="1:10" ht="30" hidden="1" x14ac:dyDescent="0.25">
      <c r="A10" s="11"/>
      <c r="B10" s="82" t="s">
        <v>529</v>
      </c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13">
        <f>SUM(G10:H10)</f>
        <v>0</v>
      </c>
    </row>
    <row r="11" spans="1:10" x14ac:dyDescent="0.25">
      <c r="A11" s="156" t="s">
        <v>14</v>
      </c>
      <c r="B11" s="157" t="s">
        <v>18</v>
      </c>
      <c r="C11" s="158">
        <f>C12+C13+C14+C15+C16+C17+C18+C19</f>
        <v>0</v>
      </c>
      <c r="D11" s="158">
        <f>D12+D13+D14+D15+D16+D17+D18+D19</f>
        <v>0</v>
      </c>
      <c r="E11" s="158">
        <f t="shared" si="0"/>
        <v>0</v>
      </c>
      <c r="F11" s="158">
        <f>F12+F13+F14+F15+F16+F17+F18+F19</f>
        <v>0</v>
      </c>
      <c r="G11" s="158">
        <f>G12+G13+G14+G15+G16+G17+G18+G19</f>
        <v>0</v>
      </c>
      <c r="H11" s="158">
        <f t="shared" si="1"/>
        <v>0</v>
      </c>
      <c r="I11" s="158">
        <f>SUM(I12:I19)</f>
        <v>76228</v>
      </c>
      <c r="J11" s="60"/>
    </row>
    <row r="12" spans="1:10" x14ac:dyDescent="0.25">
      <c r="A12" s="11"/>
      <c r="B12" s="82" t="s">
        <v>532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  <c r="I12" s="13"/>
    </row>
    <row r="13" spans="1:10" x14ac:dyDescent="0.25">
      <c r="A13" s="11"/>
      <c r="B13" s="82" t="s">
        <v>533</v>
      </c>
      <c r="C13" s="13">
        <v>0</v>
      </c>
      <c r="D13" s="13">
        <v>0</v>
      </c>
      <c r="E13" s="13">
        <f t="shared" si="0"/>
        <v>0</v>
      </c>
      <c r="F13" s="13">
        <v>0</v>
      </c>
      <c r="G13" s="13">
        <v>0</v>
      </c>
      <c r="H13" s="13">
        <f t="shared" si="1"/>
        <v>0</v>
      </c>
      <c r="I13" s="85"/>
    </row>
    <row r="14" spans="1:10" x14ac:dyDescent="0.25">
      <c r="A14" s="11"/>
      <c r="B14" s="82" t="s">
        <v>534</v>
      </c>
      <c r="C14" s="13">
        <v>0</v>
      </c>
      <c r="D14" s="13">
        <v>0</v>
      </c>
      <c r="E14" s="13">
        <f t="shared" si="0"/>
        <v>0</v>
      </c>
      <c r="F14" s="13">
        <v>0</v>
      </c>
      <c r="G14" s="13">
        <v>0</v>
      </c>
      <c r="H14" s="13">
        <f t="shared" si="1"/>
        <v>0</v>
      </c>
      <c r="I14" s="13"/>
    </row>
    <row r="15" spans="1:10" x14ac:dyDescent="0.25">
      <c r="A15" s="11"/>
      <c r="B15" s="82" t="s">
        <v>535</v>
      </c>
      <c r="C15" s="13">
        <v>0</v>
      </c>
      <c r="D15" s="13">
        <v>0</v>
      </c>
      <c r="E15" s="13">
        <f t="shared" si="0"/>
        <v>0</v>
      </c>
      <c r="F15" s="13">
        <v>0</v>
      </c>
      <c r="G15" s="13">
        <v>0</v>
      </c>
      <c r="H15" s="13">
        <f t="shared" si="1"/>
        <v>0</v>
      </c>
      <c r="I15" s="13"/>
    </row>
    <row r="16" spans="1:10" x14ac:dyDescent="0.25">
      <c r="A16" s="11"/>
      <c r="B16" s="82" t="s">
        <v>536</v>
      </c>
      <c r="C16" s="13">
        <v>0</v>
      </c>
      <c r="D16" s="13">
        <v>0</v>
      </c>
      <c r="E16" s="13">
        <f t="shared" si="0"/>
        <v>0</v>
      </c>
      <c r="F16" s="13">
        <v>0</v>
      </c>
      <c r="G16" s="13">
        <v>0</v>
      </c>
      <c r="H16" s="13">
        <f t="shared" si="1"/>
        <v>0</v>
      </c>
      <c r="I16" s="13"/>
    </row>
    <row r="17" spans="1:10" x14ac:dyDescent="0.25">
      <c r="A17" s="11"/>
      <c r="B17" s="82" t="s">
        <v>537</v>
      </c>
      <c r="C17" s="13">
        <v>0</v>
      </c>
      <c r="D17" s="13">
        <v>0</v>
      </c>
      <c r="E17" s="13">
        <f t="shared" si="0"/>
        <v>0</v>
      </c>
      <c r="F17" s="13">
        <v>0</v>
      </c>
      <c r="G17" s="13">
        <v>0</v>
      </c>
      <c r="H17" s="13">
        <f t="shared" si="1"/>
        <v>0</v>
      </c>
      <c r="I17" s="13"/>
    </row>
    <row r="18" spans="1:10" x14ac:dyDescent="0.25">
      <c r="A18" s="11"/>
      <c r="B18" s="82" t="s">
        <v>538</v>
      </c>
      <c r="C18" s="13">
        <v>0</v>
      </c>
      <c r="D18" s="13">
        <v>0</v>
      </c>
      <c r="E18" s="13">
        <f t="shared" si="0"/>
        <v>0</v>
      </c>
      <c r="F18" s="13">
        <v>0</v>
      </c>
      <c r="G18" s="13">
        <v>0</v>
      </c>
      <c r="H18" s="13">
        <f t="shared" si="1"/>
        <v>0</v>
      </c>
      <c r="I18" s="13"/>
    </row>
    <row r="19" spans="1:10" x14ac:dyDescent="0.25">
      <c r="A19" s="11"/>
      <c r="B19" s="82" t="s">
        <v>539</v>
      </c>
      <c r="C19" s="13"/>
      <c r="D19" s="13">
        <v>0</v>
      </c>
      <c r="E19" s="13">
        <f t="shared" si="0"/>
        <v>0</v>
      </c>
      <c r="F19" s="13">
        <v>0</v>
      </c>
      <c r="G19" s="13">
        <v>0</v>
      </c>
      <c r="H19" s="13">
        <f t="shared" si="1"/>
        <v>0</v>
      </c>
      <c r="I19" s="13">
        <v>76228</v>
      </c>
    </row>
    <row r="20" spans="1:10" x14ac:dyDescent="0.25">
      <c r="A20" s="156" t="s">
        <v>17</v>
      </c>
      <c r="B20" s="157" t="s">
        <v>21</v>
      </c>
      <c r="C20" s="158">
        <f>SUM(C21:C21)</f>
        <v>0</v>
      </c>
      <c r="D20" s="158">
        <f>SUM(D21:D21)</f>
        <v>0</v>
      </c>
      <c r="E20" s="158">
        <f t="shared" si="0"/>
        <v>0</v>
      </c>
      <c r="F20" s="158">
        <f>SUM(F21:F21)</f>
        <v>0</v>
      </c>
      <c r="G20" s="158">
        <f>SUM(G21:G21)</f>
        <v>0</v>
      </c>
      <c r="H20" s="158">
        <f t="shared" si="1"/>
        <v>0</v>
      </c>
      <c r="I20" s="158">
        <f>SUM(G20:H20)</f>
        <v>0</v>
      </c>
    </row>
    <row r="21" spans="1:10" hidden="1" x14ac:dyDescent="0.25">
      <c r="A21" s="11"/>
      <c r="B21" s="82" t="s">
        <v>540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  <c r="I21" s="13">
        <f>SUM(G21:H21)</f>
        <v>0</v>
      </c>
    </row>
    <row r="22" spans="1:10" x14ac:dyDescent="0.25">
      <c r="A22" s="5" t="s">
        <v>27</v>
      </c>
      <c r="B22" s="6" t="s">
        <v>28</v>
      </c>
      <c r="C22" s="7">
        <f>C23+C25+C28</f>
        <v>0</v>
      </c>
      <c r="D22" s="7">
        <f>D23+D25+D28</f>
        <v>0</v>
      </c>
      <c r="E22" s="7">
        <f t="shared" si="0"/>
        <v>0</v>
      </c>
      <c r="F22" s="7">
        <f>F23+F25+F28</f>
        <v>0</v>
      </c>
      <c r="G22" s="7">
        <f>G23+G25+G28</f>
        <v>0</v>
      </c>
      <c r="H22" s="7">
        <f t="shared" si="1"/>
        <v>0</v>
      </c>
      <c r="I22" s="7">
        <v>0</v>
      </c>
      <c r="J22" s="60"/>
    </row>
    <row r="23" spans="1:10" hidden="1" x14ac:dyDescent="0.25">
      <c r="A23" s="156" t="s">
        <v>11</v>
      </c>
      <c r="B23" s="157" t="s">
        <v>30</v>
      </c>
      <c r="C23" s="158">
        <f>SUM(C24:C24)</f>
        <v>0</v>
      </c>
      <c r="D23" s="158">
        <f>SUM(D24:D24)</f>
        <v>0</v>
      </c>
      <c r="E23" s="158">
        <f t="shared" si="0"/>
        <v>0</v>
      </c>
      <c r="F23" s="158">
        <f>SUM(F24:F24)</f>
        <v>0</v>
      </c>
      <c r="G23" s="158">
        <f>SUM(G24:G24)</f>
        <v>0</v>
      </c>
      <c r="H23" s="158">
        <f t="shared" si="1"/>
        <v>0</v>
      </c>
      <c r="I23" s="158">
        <f t="shared" ref="I23:I29" si="2">SUM(G23:H23)</f>
        <v>0</v>
      </c>
    </row>
    <row r="24" spans="1:10" ht="30" hidden="1" x14ac:dyDescent="0.25">
      <c r="A24" s="11"/>
      <c r="B24" s="12" t="s">
        <v>541</v>
      </c>
      <c r="C24" s="13">
        <v>0</v>
      </c>
      <c r="D24" s="13">
        <v>0</v>
      </c>
      <c r="E24" s="13">
        <f t="shared" si="0"/>
        <v>0</v>
      </c>
      <c r="F24" s="13">
        <v>0</v>
      </c>
      <c r="G24" s="13">
        <v>0</v>
      </c>
      <c r="H24" s="13">
        <f t="shared" si="1"/>
        <v>0</v>
      </c>
      <c r="I24" s="13">
        <f t="shared" si="2"/>
        <v>0</v>
      </c>
    </row>
    <row r="25" spans="1:10" hidden="1" x14ac:dyDescent="0.25">
      <c r="A25" s="156" t="s">
        <v>14</v>
      </c>
      <c r="B25" s="157" t="s">
        <v>32</v>
      </c>
      <c r="C25" s="158">
        <f>SUM(C26:C27)</f>
        <v>0</v>
      </c>
      <c r="D25" s="158">
        <f>SUM(D26:D27)</f>
        <v>0</v>
      </c>
      <c r="E25" s="158">
        <f t="shared" si="0"/>
        <v>0</v>
      </c>
      <c r="F25" s="158">
        <f>SUM(F26:F27)</f>
        <v>0</v>
      </c>
      <c r="G25" s="158">
        <f>SUM(G26:G27)</f>
        <v>0</v>
      </c>
      <c r="H25" s="158">
        <f t="shared" si="1"/>
        <v>0</v>
      </c>
      <c r="I25" s="158">
        <f t="shared" si="2"/>
        <v>0</v>
      </c>
    </row>
    <row r="26" spans="1:10" hidden="1" x14ac:dyDescent="0.25">
      <c r="A26" s="11"/>
      <c r="B26" s="17" t="s">
        <v>89</v>
      </c>
      <c r="C26" s="13">
        <v>0</v>
      </c>
      <c r="D26" s="13">
        <v>0</v>
      </c>
      <c r="E26" s="13">
        <f t="shared" si="0"/>
        <v>0</v>
      </c>
      <c r="F26" s="13">
        <v>0</v>
      </c>
      <c r="G26" s="13">
        <v>0</v>
      </c>
      <c r="H26" s="13">
        <f t="shared" si="1"/>
        <v>0</v>
      </c>
      <c r="I26" s="13">
        <f t="shared" si="2"/>
        <v>0</v>
      </c>
    </row>
    <row r="27" spans="1:10" hidden="1" x14ac:dyDescent="0.25">
      <c r="A27" s="11"/>
      <c r="B27" s="17" t="s">
        <v>542</v>
      </c>
      <c r="C27" s="13">
        <v>0</v>
      </c>
      <c r="D27" s="13">
        <v>0</v>
      </c>
      <c r="E27" s="13">
        <f t="shared" si="0"/>
        <v>0</v>
      </c>
      <c r="F27" s="13">
        <v>0</v>
      </c>
      <c r="G27" s="13">
        <v>0</v>
      </c>
      <c r="H27" s="13">
        <f t="shared" si="1"/>
        <v>0</v>
      </c>
      <c r="I27" s="13">
        <f t="shared" si="2"/>
        <v>0</v>
      </c>
    </row>
    <row r="28" spans="1:10" hidden="1" x14ac:dyDescent="0.25">
      <c r="A28" s="156" t="s">
        <v>17</v>
      </c>
      <c r="B28" s="157" t="s">
        <v>34</v>
      </c>
      <c r="C28" s="158">
        <f>SUM(C29:C29)</f>
        <v>0</v>
      </c>
      <c r="D28" s="158">
        <f>SUM(D29:D29)</f>
        <v>0</v>
      </c>
      <c r="E28" s="158">
        <f t="shared" si="0"/>
        <v>0</v>
      </c>
      <c r="F28" s="158">
        <f>SUM(F29:F29)</f>
        <v>0</v>
      </c>
      <c r="G28" s="158">
        <f>SUM(G29:G29)</f>
        <v>0</v>
      </c>
      <c r="H28" s="158">
        <f t="shared" si="1"/>
        <v>0</v>
      </c>
      <c r="I28" s="158">
        <f t="shared" si="2"/>
        <v>0</v>
      </c>
    </row>
    <row r="29" spans="1:10" hidden="1" x14ac:dyDescent="0.25">
      <c r="A29" s="11"/>
      <c r="B29" s="17" t="s">
        <v>543</v>
      </c>
      <c r="C29" s="13">
        <v>0</v>
      </c>
      <c r="D29" s="13">
        <v>0</v>
      </c>
      <c r="E29" s="13">
        <f t="shared" si="0"/>
        <v>0</v>
      </c>
      <c r="F29" s="13">
        <v>0</v>
      </c>
      <c r="G29" s="13">
        <v>0</v>
      </c>
      <c r="H29" s="13">
        <f t="shared" si="1"/>
        <v>0</v>
      </c>
      <c r="I29" s="13">
        <f t="shared" si="2"/>
        <v>0</v>
      </c>
    </row>
    <row r="30" spans="1:10" x14ac:dyDescent="0.25">
      <c r="A30" s="3"/>
      <c r="B30" s="24" t="s">
        <v>38</v>
      </c>
      <c r="C30" s="26">
        <f>C22+C8</f>
        <v>0</v>
      </c>
      <c r="D30" s="26">
        <f>D22+D8</f>
        <v>0</v>
      </c>
      <c r="E30" s="26">
        <f t="shared" si="0"/>
        <v>0</v>
      </c>
      <c r="F30" s="26">
        <f>F22+F8</f>
        <v>0</v>
      </c>
      <c r="G30" s="26">
        <f>G22+G8</f>
        <v>0</v>
      </c>
      <c r="H30" s="26">
        <f t="shared" si="1"/>
        <v>0</v>
      </c>
      <c r="I30" s="26">
        <f>+I22+I8</f>
        <v>76228</v>
      </c>
      <c r="J30" s="60"/>
    </row>
    <row r="31" spans="1:10" x14ac:dyDescent="0.25">
      <c r="A31" s="5" t="s">
        <v>42</v>
      </c>
      <c r="B31" s="6" t="s">
        <v>43</v>
      </c>
      <c r="C31" s="7">
        <f>C32</f>
        <v>46562130</v>
      </c>
      <c r="D31" s="7">
        <f>D32</f>
        <v>8757500</v>
      </c>
      <c r="E31" s="7">
        <f t="shared" si="0"/>
        <v>55319630</v>
      </c>
      <c r="F31" s="7">
        <f>F32</f>
        <v>48843725</v>
      </c>
      <c r="G31" s="7">
        <f>G32</f>
        <v>8757500</v>
      </c>
      <c r="H31" s="7">
        <f t="shared" si="1"/>
        <v>57601225</v>
      </c>
      <c r="I31" s="7">
        <f>+I32</f>
        <v>14578685</v>
      </c>
      <c r="J31" s="60"/>
    </row>
    <row r="32" spans="1:10" x14ac:dyDescent="0.25">
      <c r="A32" s="156" t="s">
        <v>11</v>
      </c>
      <c r="B32" s="157" t="s">
        <v>53</v>
      </c>
      <c r="C32" s="158">
        <f>SUM(C33:C34)</f>
        <v>46562130</v>
      </c>
      <c r="D32" s="158">
        <f>SUM(D33:D34)</f>
        <v>8757500</v>
      </c>
      <c r="E32" s="158">
        <f t="shared" si="0"/>
        <v>55319630</v>
      </c>
      <c r="F32" s="158">
        <f>SUM(F33:F34)</f>
        <v>48843725</v>
      </c>
      <c r="G32" s="158">
        <f>SUM(G33:G34)</f>
        <v>8757500</v>
      </c>
      <c r="H32" s="158">
        <f t="shared" si="1"/>
        <v>57601225</v>
      </c>
      <c r="I32" s="158">
        <f>+I33+I34</f>
        <v>14578685</v>
      </c>
    </row>
    <row r="33" spans="1:10" x14ac:dyDescent="0.25">
      <c r="A33" s="11"/>
      <c r="B33" s="17" t="s">
        <v>514</v>
      </c>
      <c r="C33" s="13">
        <v>0</v>
      </c>
      <c r="D33" s="13">
        <v>0</v>
      </c>
      <c r="E33" s="13">
        <f t="shared" si="0"/>
        <v>0</v>
      </c>
      <c r="F33" s="13">
        <v>2281595</v>
      </c>
      <c r="G33" s="13">
        <v>0</v>
      </c>
      <c r="H33" s="13">
        <f t="shared" si="1"/>
        <v>2281595</v>
      </c>
      <c r="I33" s="13">
        <v>0</v>
      </c>
    </row>
    <row r="34" spans="1:10" x14ac:dyDescent="0.25">
      <c r="A34" s="11"/>
      <c r="B34" s="17" t="s">
        <v>544</v>
      </c>
      <c r="C34" s="13">
        <f>C46-C30-C33</f>
        <v>46562130</v>
      </c>
      <c r="D34" s="13">
        <f>D46-D30-D33</f>
        <v>8757500</v>
      </c>
      <c r="E34" s="13">
        <f t="shared" si="0"/>
        <v>55319630</v>
      </c>
      <c r="F34" s="13">
        <f>F46-F30-F33</f>
        <v>46562130</v>
      </c>
      <c r="G34" s="13">
        <f>G46-G30-G33</f>
        <v>8757500</v>
      </c>
      <c r="H34" s="13">
        <f t="shared" si="1"/>
        <v>55319630</v>
      </c>
      <c r="I34" s="13">
        <v>14578685</v>
      </c>
    </row>
    <row r="35" spans="1:10" x14ac:dyDescent="0.25">
      <c r="A35" s="33"/>
      <c r="B35" s="34" t="s">
        <v>57</v>
      </c>
      <c r="C35" s="35">
        <f>C31+C22+C8</f>
        <v>46562130</v>
      </c>
      <c r="D35" s="35">
        <f>D31+D22+D8</f>
        <v>8757500</v>
      </c>
      <c r="E35" s="35">
        <f t="shared" si="0"/>
        <v>55319630</v>
      </c>
      <c r="F35" s="35">
        <f>F31+F22+F8</f>
        <v>48843725</v>
      </c>
      <c r="G35" s="35">
        <f>G31+G22+G8</f>
        <v>8757500</v>
      </c>
      <c r="H35" s="35">
        <f t="shared" si="1"/>
        <v>57601225</v>
      </c>
      <c r="I35" s="35">
        <f>+I8+I22+I31</f>
        <v>14654913</v>
      </c>
      <c r="J35" s="60"/>
    </row>
    <row r="36" spans="1:10" x14ac:dyDescent="0.25">
      <c r="A36" s="5" t="s">
        <v>8</v>
      </c>
      <c r="B36" s="6" t="s">
        <v>109</v>
      </c>
      <c r="C36" s="7">
        <f>SUM(C37:C41)</f>
        <v>43962130</v>
      </c>
      <c r="D36" s="7">
        <f>SUM(D37:D41)</f>
        <v>8757500</v>
      </c>
      <c r="E36" s="7">
        <f t="shared" si="0"/>
        <v>52719630</v>
      </c>
      <c r="F36" s="7">
        <f>SUM(F37:F41)</f>
        <v>46243725</v>
      </c>
      <c r="G36" s="7">
        <f>SUM(G37:G41)</f>
        <v>8757500</v>
      </c>
      <c r="H36" s="7">
        <f t="shared" si="1"/>
        <v>55001225</v>
      </c>
      <c r="I36" s="7">
        <f>+I37+I38+I39+I40+I41</f>
        <v>13977481</v>
      </c>
      <c r="J36" s="60"/>
    </row>
    <row r="37" spans="1:10" x14ac:dyDescent="0.25">
      <c r="A37" s="156" t="s">
        <v>11</v>
      </c>
      <c r="B37" s="157" t="s">
        <v>13</v>
      </c>
      <c r="C37" s="158">
        <f>'[6]5 GSZNR fel'!E77+'[6]5 GSZNR fel'!E84</f>
        <v>16831500</v>
      </c>
      <c r="D37" s="158">
        <f>'[6]5 GSZNR fel'!E90</f>
        <v>5382000</v>
      </c>
      <c r="E37" s="164">
        <f t="shared" si="0"/>
        <v>22213500</v>
      </c>
      <c r="F37" s="158">
        <f>'[6]5 GSZNR fel'!H77+'[6]5 GSZNR fel'!H84</f>
        <v>16831500</v>
      </c>
      <c r="G37" s="158">
        <f>'[6]5 GSZNR fel'!H90</f>
        <v>5382000</v>
      </c>
      <c r="H37" s="164">
        <f t="shared" si="1"/>
        <v>22213500</v>
      </c>
      <c r="I37" s="158">
        <f>'[6]5 GSZNR fel'!I77+'[6]5 GSZNR fel'!I84+'[6]5 GSZNR fel'!I90</f>
        <v>7357748</v>
      </c>
    </row>
    <row r="38" spans="1:10" x14ac:dyDescent="0.25">
      <c r="A38" s="156" t="s">
        <v>14</v>
      </c>
      <c r="B38" s="157" t="s">
        <v>16</v>
      </c>
      <c r="C38" s="158">
        <f>'[6]5 GSZNR fel'!E78+'[6]5 GSZNR fel'!E85</f>
        <v>3228630</v>
      </c>
      <c r="D38" s="158">
        <f>'[6]5 GSZNR fel'!E91</f>
        <v>1216500</v>
      </c>
      <c r="E38" s="164">
        <f t="shared" si="0"/>
        <v>4445130</v>
      </c>
      <c r="F38" s="158">
        <f>'[6]5 GSZNR fel'!H78+'[6]5 GSZNR fel'!H85</f>
        <v>3228630</v>
      </c>
      <c r="G38" s="158">
        <f>'[6]5 GSZNR fel'!H91</f>
        <v>1216500</v>
      </c>
      <c r="H38" s="164">
        <f t="shared" si="1"/>
        <v>4445130</v>
      </c>
      <c r="I38" s="158">
        <f>'[6]5 GSZNR fel'!I78+'[6]5 GSZNR fel'!I85+'[6]5 GSZNR fel'!I91</f>
        <v>1313936</v>
      </c>
    </row>
    <row r="39" spans="1:10" x14ac:dyDescent="0.25">
      <c r="A39" s="156" t="s">
        <v>17</v>
      </c>
      <c r="B39" s="157" t="s">
        <v>19</v>
      </c>
      <c r="C39" s="158">
        <f>'[6]5 GSZNR fel'!E79+'[6]5 GSZNR fel'!E86</f>
        <v>23902000</v>
      </c>
      <c r="D39" s="158">
        <f>'[6]5 GSZNR fel'!E92</f>
        <v>2159000</v>
      </c>
      <c r="E39" s="164">
        <f t="shared" si="0"/>
        <v>26061000</v>
      </c>
      <c r="F39" s="158">
        <f>'[6]5 GSZNR fel'!H79+'[6]5 GSZNR fel'!H86</f>
        <v>24138339</v>
      </c>
      <c r="G39" s="158">
        <f>'[6]5 GSZNR fel'!H92</f>
        <v>2159000</v>
      </c>
      <c r="H39" s="164">
        <f t="shared" si="1"/>
        <v>26297339</v>
      </c>
      <c r="I39" s="158">
        <f>'[6]5 GSZNR fel'!I79+'[6]5 GSZNR fel'!I86+'[6]5 GSZNR fel'!I92</f>
        <v>5305797</v>
      </c>
      <c r="J39" s="60"/>
    </row>
    <row r="40" spans="1:10" x14ac:dyDescent="0.25">
      <c r="A40" s="156" t="s">
        <v>20</v>
      </c>
      <c r="B40" s="157" t="s">
        <v>22</v>
      </c>
      <c r="C40" s="158">
        <v>0</v>
      </c>
      <c r="D40" s="158">
        <v>0</v>
      </c>
      <c r="E40" s="158">
        <f t="shared" si="0"/>
        <v>0</v>
      </c>
      <c r="F40" s="158">
        <v>0</v>
      </c>
      <c r="G40" s="158">
        <v>0</v>
      </c>
      <c r="H40" s="158">
        <f t="shared" si="1"/>
        <v>0</v>
      </c>
      <c r="I40" s="158">
        <v>0</v>
      </c>
    </row>
    <row r="41" spans="1:10" x14ac:dyDescent="0.25">
      <c r="A41" s="156" t="s">
        <v>23</v>
      </c>
      <c r="B41" s="157" t="s">
        <v>24</v>
      </c>
      <c r="C41" s="158">
        <f>+'[6]5 GSZNR fel'!E80</f>
        <v>0</v>
      </c>
      <c r="D41" s="158">
        <v>0</v>
      </c>
      <c r="E41" s="158">
        <f t="shared" si="0"/>
        <v>0</v>
      </c>
      <c r="F41" s="158">
        <f>+'[6]5 GSZNR fel'!H80</f>
        <v>2045256</v>
      </c>
      <c r="G41" s="158">
        <v>0</v>
      </c>
      <c r="H41" s="158">
        <f t="shared" si="1"/>
        <v>2045256</v>
      </c>
      <c r="I41" s="158">
        <v>0</v>
      </c>
    </row>
    <row r="42" spans="1:10" x14ac:dyDescent="0.25">
      <c r="A42" s="5" t="s">
        <v>27</v>
      </c>
      <c r="B42" s="6" t="s">
        <v>115</v>
      </c>
      <c r="C42" s="7">
        <f>SUM(C43:C45)</f>
        <v>2600000</v>
      </c>
      <c r="D42" s="7">
        <f>SUM(D43:D45)</f>
        <v>0</v>
      </c>
      <c r="E42" s="285">
        <f t="shared" si="0"/>
        <v>2600000</v>
      </c>
      <c r="F42" s="7">
        <f>SUM(F43:F45)</f>
        <v>2600000</v>
      </c>
      <c r="G42" s="7">
        <f>SUM(G43:G45)</f>
        <v>0</v>
      </c>
      <c r="H42" s="285">
        <f t="shared" si="1"/>
        <v>2600000</v>
      </c>
      <c r="I42" s="7">
        <f>SUM(I43:I45)</f>
        <v>639981</v>
      </c>
      <c r="J42" s="60"/>
    </row>
    <row r="43" spans="1:10" x14ac:dyDescent="0.25">
      <c r="A43" s="156" t="s">
        <v>11</v>
      </c>
      <c r="B43" s="157" t="s">
        <v>545</v>
      </c>
      <c r="C43" s="158">
        <f>'[6]5 GSZNR fel'!E81+'[6]5 GSZNR fel'!E87</f>
        <v>2600000</v>
      </c>
      <c r="D43" s="158">
        <f>'[6]5 GSZNR fel'!E93</f>
        <v>0</v>
      </c>
      <c r="E43" s="158">
        <f t="shared" si="0"/>
        <v>2600000</v>
      </c>
      <c r="F43" s="158">
        <f>'[6]5 GSZNR fel'!H81+'[6]5 GSZNR fel'!H87</f>
        <v>2600000</v>
      </c>
      <c r="G43" s="158">
        <f>'[6]5 GSZNR fel'!H93</f>
        <v>0</v>
      </c>
      <c r="H43" s="158">
        <f t="shared" si="1"/>
        <v>2600000</v>
      </c>
      <c r="I43" s="158">
        <f>'[6]5 GSZNR fel'!I81+'[6]5 GSZNR fel'!I87+'[6]5 GSZNR fel'!I93</f>
        <v>639981</v>
      </c>
      <c r="J43" s="60"/>
    </row>
    <row r="44" spans="1:10" x14ac:dyDescent="0.25">
      <c r="A44" s="156" t="s">
        <v>14</v>
      </c>
      <c r="B44" s="157" t="s">
        <v>33</v>
      </c>
      <c r="C44" s="158">
        <f>'[6]5 GSZNR fel'!E82</f>
        <v>0</v>
      </c>
      <c r="D44" s="158">
        <v>0</v>
      </c>
      <c r="E44" s="158">
        <f t="shared" si="0"/>
        <v>0</v>
      </c>
      <c r="F44" s="158">
        <f>'[6]5 GSZNR fel'!H82</f>
        <v>0</v>
      </c>
      <c r="G44" s="158">
        <v>0</v>
      </c>
      <c r="H44" s="158">
        <f t="shared" si="1"/>
        <v>0</v>
      </c>
      <c r="I44" s="158">
        <f>'[6]5 GSZNR fel'!I82</f>
        <v>0</v>
      </c>
    </row>
    <row r="45" spans="1:10" x14ac:dyDescent="0.25">
      <c r="A45" s="156" t="s">
        <v>17</v>
      </c>
      <c r="B45" s="157" t="s">
        <v>35</v>
      </c>
      <c r="C45" s="158">
        <v>0</v>
      </c>
      <c r="D45" s="158">
        <v>0</v>
      </c>
      <c r="E45" s="158">
        <f t="shared" si="0"/>
        <v>0</v>
      </c>
      <c r="F45" s="158">
        <v>0</v>
      </c>
      <c r="G45" s="158">
        <v>0</v>
      </c>
      <c r="H45" s="158">
        <f t="shared" si="1"/>
        <v>0</v>
      </c>
      <c r="I45" s="158">
        <v>0</v>
      </c>
    </row>
    <row r="46" spans="1:10" x14ac:dyDescent="0.25">
      <c r="A46" s="33"/>
      <c r="B46" s="34" t="s">
        <v>58</v>
      </c>
      <c r="C46" s="35">
        <f>C36+C42</f>
        <v>46562130</v>
      </c>
      <c r="D46" s="35">
        <f>D36+D42</f>
        <v>8757500</v>
      </c>
      <c r="E46" s="35">
        <f t="shared" si="0"/>
        <v>55319630</v>
      </c>
      <c r="F46" s="35">
        <f>F36+F42</f>
        <v>48843725</v>
      </c>
      <c r="G46" s="35">
        <f>G36+G42</f>
        <v>8757500</v>
      </c>
      <c r="H46" s="35">
        <f t="shared" si="1"/>
        <v>57601225</v>
      </c>
      <c r="I46" s="35">
        <f>+I42+I36</f>
        <v>14617462</v>
      </c>
      <c r="J46" s="60"/>
    </row>
    <row r="47" spans="1:10" x14ac:dyDescent="0.25">
      <c r="H47" s="60">
        <f>+H46-E46</f>
        <v>2281595</v>
      </c>
    </row>
  </sheetData>
  <mergeCells count="5">
    <mergeCell ref="A4:A5"/>
    <mergeCell ref="B4:B5"/>
    <mergeCell ref="C4:E4"/>
    <mergeCell ref="F4:H4"/>
    <mergeCell ref="I4:I5"/>
  </mergeCells>
  <printOptions horizontalCentered="1"/>
  <pageMargins left="0.19685039370078741" right="0.19685039370078741" top="1.0236220472440944" bottom="0.19685039370078741" header="0.31496062992125984" footer="0.31496062992125984"/>
  <pageSetup paperSize="9" scale="80" fitToWidth="0" fitToHeight="0" orientation="landscape" copies="2" r:id="rId1"/>
  <headerFooter>
    <oddHeader>&amp;L4/E.  melléklet a ......./2020. (.................) önkormányzati rendelethez&amp;C&amp;"-,Félkövér"&amp;16
A Volf György Könyvtár és Helytörténeti Gyűjtemény 2020. évi bevételei és kiadásai jogcímenként és feladatonként</oddHeader>
    <oddFooter>&amp;C&amp;P&amp;R&amp;D,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9E6C-D913-4649-81F8-C010C8978B7C}">
  <dimension ref="A1:J47"/>
  <sheetViews>
    <sheetView view="pageBreakPreview" zoomScale="98" zoomScaleNormal="100" zoomScaleSheetLayoutView="98" workbookViewId="0">
      <selection activeCell="J1" sqref="J1:J1048576"/>
    </sheetView>
  </sheetViews>
  <sheetFormatPr defaultRowHeight="15" x14ac:dyDescent="0.25"/>
  <cols>
    <col min="1" max="1" width="7.140625" style="122" customWidth="1"/>
    <col min="2" max="2" width="51.85546875" customWidth="1"/>
    <col min="3" max="3" width="12" customWidth="1"/>
    <col min="5" max="5" width="16.5703125" bestFit="1" customWidth="1"/>
    <col min="6" max="6" width="12" customWidth="1"/>
    <col min="8" max="8" width="16.5703125" bestFit="1" customWidth="1"/>
    <col min="9" max="9" width="15.85546875" hidden="1" customWidth="1"/>
  </cols>
  <sheetData>
    <row r="1" spans="1:10" x14ac:dyDescent="0.25">
      <c r="E1" s="265"/>
      <c r="H1" s="265" t="s">
        <v>0</v>
      </c>
    </row>
    <row r="2" spans="1:10" ht="15" customHeight="1" x14ac:dyDescent="0.25">
      <c r="A2" s="154" t="s">
        <v>556</v>
      </c>
      <c r="B2" s="287" t="s">
        <v>557</v>
      </c>
      <c r="C2" s="283"/>
      <c r="D2" s="283"/>
      <c r="E2" s="283"/>
      <c r="F2" s="283"/>
      <c r="G2" s="283"/>
      <c r="H2" s="283"/>
      <c r="I2" s="283"/>
    </row>
    <row r="3" spans="1:10" ht="15" customHeight="1" x14ac:dyDescent="0.25">
      <c r="A3" s="154" t="s">
        <v>558</v>
      </c>
      <c r="B3" s="154" t="s">
        <v>565</v>
      </c>
      <c r="C3" s="283"/>
      <c r="D3" s="283"/>
      <c r="E3" s="283"/>
      <c r="F3" s="283"/>
      <c r="G3" s="283"/>
      <c r="H3" s="283"/>
      <c r="I3" s="283"/>
    </row>
    <row r="4" spans="1:10" ht="66.400000000000006" customHeight="1" x14ac:dyDescent="0.25">
      <c r="A4" s="418" t="s">
        <v>1</v>
      </c>
      <c r="B4" s="432" t="s">
        <v>128</v>
      </c>
      <c r="C4" s="419" t="s">
        <v>6</v>
      </c>
      <c r="D4" s="420"/>
      <c r="E4" s="421"/>
      <c r="F4" s="419" t="s">
        <v>59</v>
      </c>
      <c r="G4" s="420"/>
      <c r="H4" s="421"/>
      <c r="I4" s="418" t="s">
        <v>60</v>
      </c>
    </row>
    <row r="5" spans="1:10" ht="60" x14ac:dyDescent="0.25">
      <c r="A5" s="418"/>
      <c r="B5" s="432"/>
      <c r="C5" s="4" t="s">
        <v>61</v>
      </c>
      <c r="D5" s="4" t="s">
        <v>62</v>
      </c>
      <c r="E5" s="4" t="s">
        <v>64</v>
      </c>
      <c r="F5" s="4" t="s">
        <v>61</v>
      </c>
      <c r="G5" s="4" t="s">
        <v>62</v>
      </c>
      <c r="H5" s="4" t="s">
        <v>64</v>
      </c>
      <c r="I5" s="418"/>
    </row>
    <row r="6" spans="1:10" x14ac:dyDescent="0.25">
      <c r="A6" s="171"/>
      <c r="B6" s="284" t="s">
        <v>360</v>
      </c>
      <c r="C6" s="172">
        <f>+'[6]5 GSZNR fel'!C94</f>
        <v>19</v>
      </c>
      <c r="D6" s="172"/>
      <c r="E6" s="172">
        <f t="shared" ref="E6:E46" si="0">SUM(C6:D6)</f>
        <v>19</v>
      </c>
      <c r="F6" s="172">
        <f>+'[6]5 GSZNR fel'!F94</f>
        <v>19</v>
      </c>
      <c r="G6" s="172"/>
      <c r="H6" s="172">
        <f t="shared" ref="H6:H46" si="1">SUM(F6:G6)</f>
        <v>19</v>
      </c>
    </row>
    <row r="7" spans="1:10" x14ac:dyDescent="0.25">
      <c r="A7" s="171"/>
      <c r="B7" s="284" t="s">
        <v>361</v>
      </c>
      <c r="C7" s="172"/>
      <c r="D7" s="172"/>
      <c r="E7" s="172">
        <f t="shared" si="0"/>
        <v>0</v>
      </c>
      <c r="F7" s="172"/>
      <c r="G7" s="172"/>
      <c r="H7" s="172">
        <f t="shared" si="1"/>
        <v>0</v>
      </c>
    </row>
    <row r="8" spans="1:10" x14ac:dyDescent="0.25">
      <c r="A8" s="5" t="s">
        <v>8</v>
      </c>
      <c r="B8" s="6" t="s">
        <v>9</v>
      </c>
      <c r="C8" s="7">
        <f>C9+C11+C20</f>
        <v>9200000</v>
      </c>
      <c r="D8" s="7">
        <f>D9+D11+D20</f>
        <v>0</v>
      </c>
      <c r="E8" s="7">
        <f t="shared" si="0"/>
        <v>9200000</v>
      </c>
      <c r="F8" s="7">
        <f>F9+F11+F20</f>
        <v>9200000</v>
      </c>
      <c r="G8" s="7">
        <f>G9+G11+G20</f>
        <v>0</v>
      </c>
      <c r="H8" s="7">
        <f t="shared" si="1"/>
        <v>9200000</v>
      </c>
      <c r="I8" s="7">
        <f>+I9+I11+I20</f>
        <v>4209173</v>
      </c>
      <c r="J8" s="60"/>
    </row>
    <row r="9" spans="1:10" x14ac:dyDescent="0.25">
      <c r="A9" s="156" t="s">
        <v>11</v>
      </c>
      <c r="B9" s="157" t="s">
        <v>12</v>
      </c>
      <c r="C9" s="158">
        <f>C10</f>
        <v>0</v>
      </c>
      <c r="D9" s="158">
        <f>D10</f>
        <v>0</v>
      </c>
      <c r="E9" s="158">
        <f t="shared" si="0"/>
        <v>0</v>
      </c>
      <c r="F9" s="158">
        <f>F10</f>
        <v>0</v>
      </c>
      <c r="G9" s="158">
        <f>G10</f>
        <v>0</v>
      </c>
      <c r="H9" s="158">
        <f t="shared" si="1"/>
        <v>0</v>
      </c>
      <c r="I9" s="158">
        <f>SUM(G9:H9)</f>
        <v>0</v>
      </c>
    </row>
    <row r="10" spans="1:10" ht="30" hidden="1" x14ac:dyDescent="0.25">
      <c r="A10" s="11"/>
      <c r="B10" s="82" t="s">
        <v>529</v>
      </c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13">
        <f>SUM(G10:H10)</f>
        <v>0</v>
      </c>
    </row>
    <row r="11" spans="1:10" x14ac:dyDescent="0.25">
      <c r="A11" s="156" t="s">
        <v>14</v>
      </c>
      <c r="B11" s="157" t="s">
        <v>18</v>
      </c>
      <c r="C11" s="158">
        <f>C12+C13+C14+C15+C16+C17+C18+C19</f>
        <v>9200000</v>
      </c>
      <c r="D11" s="158">
        <f>D12+D13+D14+D15+D16+D17+D18+D19</f>
        <v>0</v>
      </c>
      <c r="E11" s="158">
        <f t="shared" si="0"/>
        <v>9200000</v>
      </c>
      <c r="F11" s="158">
        <f>F12+F13+F14+F15+F16+F17+F18+F19</f>
        <v>9200000</v>
      </c>
      <c r="G11" s="158">
        <f>G12+G13+G14+G15+G16+G17+G18+G19</f>
        <v>0</v>
      </c>
      <c r="H11" s="158">
        <f t="shared" si="1"/>
        <v>9200000</v>
      </c>
      <c r="I11" s="158">
        <f>SUM(I12:I19)</f>
        <v>4209173</v>
      </c>
      <c r="J11" s="60"/>
    </row>
    <row r="12" spans="1:10" x14ac:dyDescent="0.25">
      <c r="A12" s="11"/>
      <c r="B12" s="82" t="s">
        <v>532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  <c r="I12" s="13"/>
    </row>
    <row r="13" spans="1:10" x14ac:dyDescent="0.25">
      <c r="A13" s="11"/>
      <c r="B13" s="82" t="s">
        <v>533</v>
      </c>
      <c r="C13" s="13">
        <v>0</v>
      </c>
      <c r="D13" s="13">
        <v>0</v>
      </c>
      <c r="E13" s="13">
        <f t="shared" si="0"/>
        <v>0</v>
      </c>
      <c r="F13" s="13">
        <v>0</v>
      </c>
      <c r="G13" s="13">
        <v>0</v>
      </c>
      <c r="H13" s="13">
        <f t="shared" si="1"/>
        <v>0</v>
      </c>
      <c r="I13" s="85"/>
    </row>
    <row r="14" spans="1:10" x14ac:dyDescent="0.25">
      <c r="A14" s="11"/>
      <c r="B14" s="82" t="s">
        <v>534</v>
      </c>
      <c r="C14" s="13">
        <v>0</v>
      </c>
      <c r="D14" s="13">
        <v>0</v>
      </c>
      <c r="E14" s="13">
        <f t="shared" si="0"/>
        <v>0</v>
      </c>
      <c r="F14" s="13">
        <v>0</v>
      </c>
      <c r="G14" s="13">
        <v>0</v>
      </c>
      <c r="H14" s="13">
        <f t="shared" si="1"/>
        <v>0</v>
      </c>
      <c r="I14" s="13"/>
    </row>
    <row r="15" spans="1:10" x14ac:dyDescent="0.25">
      <c r="A15" s="11"/>
      <c r="B15" s="82" t="s">
        <v>535</v>
      </c>
      <c r="C15" s="13">
        <v>7500000</v>
      </c>
      <c r="D15" s="13">
        <v>0</v>
      </c>
      <c r="E15" s="13">
        <f t="shared" si="0"/>
        <v>7500000</v>
      </c>
      <c r="F15" s="13">
        <f>7500000</f>
        <v>7500000</v>
      </c>
      <c r="G15" s="13">
        <v>0</v>
      </c>
      <c r="H15" s="13">
        <f t="shared" si="1"/>
        <v>7500000</v>
      </c>
      <c r="I15" s="13">
        <v>3152106</v>
      </c>
    </row>
    <row r="16" spans="1:10" x14ac:dyDescent="0.25">
      <c r="A16" s="11"/>
      <c r="B16" s="82" t="s">
        <v>536</v>
      </c>
      <c r="C16" s="13">
        <v>1700000</v>
      </c>
      <c r="D16" s="13">
        <v>0</v>
      </c>
      <c r="E16" s="13">
        <f t="shared" si="0"/>
        <v>1700000</v>
      </c>
      <c r="F16" s="13">
        <f>1700000</f>
        <v>1700000</v>
      </c>
      <c r="G16" s="13">
        <v>0</v>
      </c>
      <c r="H16" s="13">
        <f t="shared" si="1"/>
        <v>1700000</v>
      </c>
      <c r="I16" s="13">
        <v>799031</v>
      </c>
    </row>
    <row r="17" spans="1:10" x14ac:dyDescent="0.25">
      <c r="A17" s="11"/>
      <c r="B17" s="82" t="s">
        <v>537</v>
      </c>
      <c r="C17" s="13">
        <v>0</v>
      </c>
      <c r="D17" s="13">
        <v>0</v>
      </c>
      <c r="E17" s="13">
        <f t="shared" si="0"/>
        <v>0</v>
      </c>
      <c r="F17" s="13">
        <v>0</v>
      </c>
      <c r="G17" s="13">
        <v>0</v>
      </c>
      <c r="H17" s="13">
        <f t="shared" si="1"/>
        <v>0</v>
      </c>
      <c r="I17" s="13"/>
    </row>
    <row r="18" spans="1:10" x14ac:dyDescent="0.25">
      <c r="A18" s="11"/>
      <c r="B18" s="82" t="s">
        <v>538</v>
      </c>
      <c r="C18" s="13">
        <v>0</v>
      </c>
      <c r="D18" s="13">
        <v>0</v>
      </c>
      <c r="E18" s="13">
        <f t="shared" si="0"/>
        <v>0</v>
      </c>
      <c r="F18" s="13">
        <v>0</v>
      </c>
      <c r="G18" s="13">
        <v>0</v>
      </c>
      <c r="H18" s="13">
        <f t="shared" si="1"/>
        <v>0</v>
      </c>
      <c r="I18" s="13"/>
    </row>
    <row r="19" spans="1:10" x14ac:dyDescent="0.25">
      <c r="A19" s="11"/>
      <c r="B19" s="82" t="s">
        <v>539</v>
      </c>
      <c r="C19" s="13">
        <v>0</v>
      </c>
      <c r="D19" s="13">
        <v>0</v>
      </c>
      <c r="E19" s="13">
        <f t="shared" si="0"/>
        <v>0</v>
      </c>
      <c r="F19" s="13">
        <v>0</v>
      </c>
      <c r="G19" s="13">
        <v>0</v>
      </c>
      <c r="H19" s="13">
        <f t="shared" si="1"/>
        <v>0</v>
      </c>
      <c r="I19" s="13">
        <v>258036</v>
      </c>
    </row>
    <row r="20" spans="1:10" x14ac:dyDescent="0.25">
      <c r="A20" s="156" t="s">
        <v>17</v>
      </c>
      <c r="B20" s="157" t="s">
        <v>21</v>
      </c>
      <c r="C20" s="158">
        <f>SUM(C21:C21)</f>
        <v>0</v>
      </c>
      <c r="D20" s="158">
        <f>SUM(D21:D21)</f>
        <v>0</v>
      </c>
      <c r="E20" s="158">
        <f t="shared" si="0"/>
        <v>0</v>
      </c>
      <c r="F20" s="158">
        <f>SUM(F21:F21)</f>
        <v>0</v>
      </c>
      <c r="G20" s="158">
        <f>SUM(G21:G21)</f>
        <v>0</v>
      </c>
      <c r="H20" s="158">
        <f t="shared" si="1"/>
        <v>0</v>
      </c>
      <c r="I20" s="158">
        <f>SUM(G20:H20)</f>
        <v>0</v>
      </c>
    </row>
    <row r="21" spans="1:10" hidden="1" x14ac:dyDescent="0.25">
      <c r="A21" s="11"/>
      <c r="B21" s="82" t="s">
        <v>540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  <c r="I21" s="13">
        <f>SUM(G21:H21)</f>
        <v>0</v>
      </c>
    </row>
    <row r="22" spans="1:10" x14ac:dyDescent="0.25">
      <c r="A22" s="5" t="s">
        <v>27</v>
      </c>
      <c r="B22" s="6" t="s">
        <v>28</v>
      </c>
      <c r="C22" s="7">
        <f>C23+C25+C28</f>
        <v>0</v>
      </c>
      <c r="D22" s="7">
        <f>D23+D25+D28</f>
        <v>0</v>
      </c>
      <c r="E22" s="7">
        <f t="shared" si="0"/>
        <v>0</v>
      </c>
      <c r="F22" s="7">
        <f>F23+F25+F28</f>
        <v>0</v>
      </c>
      <c r="G22" s="7">
        <f>G23+G25+G28</f>
        <v>0</v>
      </c>
      <c r="H22" s="7">
        <f t="shared" si="1"/>
        <v>0</v>
      </c>
      <c r="I22" s="7">
        <v>0</v>
      </c>
    </row>
    <row r="23" spans="1:10" hidden="1" x14ac:dyDescent="0.25">
      <c r="A23" s="156" t="s">
        <v>11</v>
      </c>
      <c r="B23" s="157" t="s">
        <v>30</v>
      </c>
      <c r="C23" s="158">
        <f>SUM(C24:C24)</f>
        <v>0</v>
      </c>
      <c r="D23" s="158">
        <f>SUM(D24:D24)</f>
        <v>0</v>
      </c>
      <c r="E23" s="158">
        <f t="shared" si="0"/>
        <v>0</v>
      </c>
      <c r="F23" s="158">
        <f>SUM(F24:F24)</f>
        <v>0</v>
      </c>
      <c r="G23" s="158">
        <f>SUM(G24:G24)</f>
        <v>0</v>
      </c>
      <c r="H23" s="158">
        <f t="shared" si="1"/>
        <v>0</v>
      </c>
      <c r="I23" s="158">
        <f t="shared" ref="I23:I29" si="2">SUM(G23:H23)</f>
        <v>0</v>
      </c>
    </row>
    <row r="24" spans="1:10" ht="30" hidden="1" x14ac:dyDescent="0.25">
      <c r="A24" s="11"/>
      <c r="B24" s="12" t="s">
        <v>541</v>
      </c>
      <c r="C24" s="13">
        <v>0</v>
      </c>
      <c r="D24" s="13">
        <v>0</v>
      </c>
      <c r="E24" s="13">
        <f t="shared" si="0"/>
        <v>0</v>
      </c>
      <c r="F24" s="13">
        <v>0</v>
      </c>
      <c r="G24" s="13">
        <v>0</v>
      </c>
      <c r="H24" s="13">
        <f t="shared" si="1"/>
        <v>0</v>
      </c>
      <c r="I24" s="13">
        <f t="shared" si="2"/>
        <v>0</v>
      </c>
    </row>
    <row r="25" spans="1:10" hidden="1" x14ac:dyDescent="0.25">
      <c r="A25" s="156" t="s">
        <v>14</v>
      </c>
      <c r="B25" s="157" t="s">
        <v>32</v>
      </c>
      <c r="C25" s="158">
        <f>SUM(C26:C27)</f>
        <v>0</v>
      </c>
      <c r="D25" s="158">
        <f>SUM(D26:D27)</f>
        <v>0</v>
      </c>
      <c r="E25" s="158">
        <f t="shared" si="0"/>
        <v>0</v>
      </c>
      <c r="F25" s="158">
        <f>SUM(F26:F27)</f>
        <v>0</v>
      </c>
      <c r="G25" s="158">
        <f>SUM(G26:G27)</f>
        <v>0</v>
      </c>
      <c r="H25" s="158">
        <f t="shared" si="1"/>
        <v>0</v>
      </c>
      <c r="I25" s="158">
        <f t="shared" si="2"/>
        <v>0</v>
      </c>
    </row>
    <row r="26" spans="1:10" hidden="1" x14ac:dyDescent="0.25">
      <c r="A26" s="11"/>
      <c r="B26" s="17" t="s">
        <v>89</v>
      </c>
      <c r="C26" s="13">
        <v>0</v>
      </c>
      <c r="D26" s="13">
        <v>0</v>
      </c>
      <c r="E26" s="13">
        <f t="shared" si="0"/>
        <v>0</v>
      </c>
      <c r="F26" s="13">
        <v>0</v>
      </c>
      <c r="G26" s="13">
        <v>0</v>
      </c>
      <c r="H26" s="13">
        <f t="shared" si="1"/>
        <v>0</v>
      </c>
      <c r="I26" s="13">
        <f t="shared" si="2"/>
        <v>0</v>
      </c>
    </row>
    <row r="27" spans="1:10" hidden="1" x14ac:dyDescent="0.25">
      <c r="A27" s="11"/>
      <c r="B27" s="17" t="s">
        <v>542</v>
      </c>
      <c r="C27" s="13">
        <v>0</v>
      </c>
      <c r="D27" s="13">
        <v>0</v>
      </c>
      <c r="E27" s="13">
        <f t="shared" si="0"/>
        <v>0</v>
      </c>
      <c r="F27" s="13">
        <v>0</v>
      </c>
      <c r="G27" s="13">
        <v>0</v>
      </c>
      <c r="H27" s="13">
        <f t="shared" si="1"/>
        <v>0</v>
      </c>
      <c r="I27" s="13">
        <f t="shared" si="2"/>
        <v>0</v>
      </c>
    </row>
    <row r="28" spans="1:10" hidden="1" x14ac:dyDescent="0.25">
      <c r="A28" s="156" t="s">
        <v>17</v>
      </c>
      <c r="B28" s="157" t="s">
        <v>34</v>
      </c>
      <c r="C28" s="158">
        <f>SUM(C29:C29)</f>
        <v>0</v>
      </c>
      <c r="D28" s="158">
        <f>SUM(D29:D29)</f>
        <v>0</v>
      </c>
      <c r="E28" s="158">
        <f t="shared" si="0"/>
        <v>0</v>
      </c>
      <c r="F28" s="158">
        <f>SUM(F29:F29)</f>
        <v>0</v>
      </c>
      <c r="G28" s="158">
        <f>SUM(G29:G29)</f>
        <v>0</v>
      </c>
      <c r="H28" s="158">
        <f t="shared" si="1"/>
        <v>0</v>
      </c>
      <c r="I28" s="158">
        <f t="shared" si="2"/>
        <v>0</v>
      </c>
    </row>
    <row r="29" spans="1:10" hidden="1" x14ac:dyDescent="0.25">
      <c r="A29" s="11"/>
      <c r="B29" s="17" t="s">
        <v>543</v>
      </c>
      <c r="C29" s="13">
        <v>0</v>
      </c>
      <c r="D29" s="13">
        <v>0</v>
      </c>
      <c r="E29" s="13">
        <f t="shared" si="0"/>
        <v>0</v>
      </c>
      <c r="F29" s="13">
        <v>0</v>
      </c>
      <c r="G29" s="13">
        <v>0</v>
      </c>
      <c r="H29" s="13">
        <f t="shared" si="1"/>
        <v>0</v>
      </c>
      <c r="I29" s="13">
        <f t="shared" si="2"/>
        <v>0</v>
      </c>
    </row>
    <row r="30" spans="1:10" x14ac:dyDescent="0.25">
      <c r="A30" s="3"/>
      <c r="B30" s="24" t="s">
        <v>38</v>
      </c>
      <c r="C30" s="26">
        <f>C22+C8</f>
        <v>9200000</v>
      </c>
      <c r="D30" s="26">
        <f>D22+D8</f>
        <v>0</v>
      </c>
      <c r="E30" s="26">
        <f t="shared" si="0"/>
        <v>9200000</v>
      </c>
      <c r="F30" s="26">
        <f>F22+F8</f>
        <v>9200000</v>
      </c>
      <c r="G30" s="26">
        <f>G22+G8</f>
        <v>0</v>
      </c>
      <c r="H30" s="26">
        <f t="shared" si="1"/>
        <v>9200000</v>
      </c>
      <c r="I30" s="26">
        <f>+I22+I8</f>
        <v>4209173</v>
      </c>
      <c r="J30" s="60"/>
    </row>
    <row r="31" spans="1:10" x14ac:dyDescent="0.25">
      <c r="A31" s="5" t="s">
        <v>42</v>
      </c>
      <c r="B31" s="6" t="s">
        <v>43</v>
      </c>
      <c r="C31" s="7">
        <f>C32</f>
        <v>162085590</v>
      </c>
      <c r="D31" s="7">
        <f>D32</f>
        <v>0</v>
      </c>
      <c r="E31" s="7">
        <f t="shared" si="0"/>
        <v>162085590</v>
      </c>
      <c r="F31" s="7">
        <f>F32</f>
        <v>171545107</v>
      </c>
      <c r="G31" s="7">
        <f>G32</f>
        <v>0</v>
      </c>
      <c r="H31" s="7">
        <f t="shared" si="1"/>
        <v>171545107</v>
      </c>
      <c r="I31" s="7">
        <f>+I32</f>
        <v>49591613</v>
      </c>
      <c r="J31" s="60"/>
    </row>
    <row r="32" spans="1:10" x14ac:dyDescent="0.25">
      <c r="A32" s="156" t="s">
        <v>11</v>
      </c>
      <c r="B32" s="157" t="s">
        <v>53</v>
      </c>
      <c r="C32" s="158">
        <f>SUM(C33:C34)</f>
        <v>162085590</v>
      </c>
      <c r="D32" s="158">
        <f>SUM(D33:D34)</f>
        <v>0</v>
      </c>
      <c r="E32" s="158">
        <f t="shared" si="0"/>
        <v>162085590</v>
      </c>
      <c r="F32" s="158">
        <f>SUM(F33:F34)</f>
        <v>171545107</v>
      </c>
      <c r="G32" s="158">
        <f>SUM(G33:G34)</f>
        <v>0</v>
      </c>
      <c r="H32" s="158">
        <f t="shared" si="1"/>
        <v>171545107</v>
      </c>
      <c r="I32" s="158">
        <f>+I33+I34</f>
        <v>49591613</v>
      </c>
    </row>
    <row r="33" spans="1:10" x14ac:dyDescent="0.25">
      <c r="A33" s="11"/>
      <c r="B33" s="17" t="s">
        <v>514</v>
      </c>
      <c r="C33" s="13">
        <v>0</v>
      </c>
      <c r="D33" s="13">
        <v>0</v>
      </c>
      <c r="E33" s="13">
        <f t="shared" si="0"/>
        <v>0</v>
      </c>
      <c r="F33" s="13">
        <v>9459517</v>
      </c>
      <c r="G33" s="13">
        <v>0</v>
      </c>
      <c r="H33" s="13">
        <f t="shared" si="1"/>
        <v>9459517</v>
      </c>
      <c r="I33" s="13">
        <v>0</v>
      </c>
    </row>
    <row r="34" spans="1:10" x14ac:dyDescent="0.25">
      <c r="A34" s="11"/>
      <c r="B34" s="17" t="s">
        <v>544</v>
      </c>
      <c r="C34" s="13">
        <f>C36+C42-C30-C33</f>
        <v>162085590</v>
      </c>
      <c r="D34" s="13">
        <f>D36+D42-D30-D33</f>
        <v>0</v>
      </c>
      <c r="E34" s="13">
        <f t="shared" si="0"/>
        <v>162085590</v>
      </c>
      <c r="F34" s="13">
        <f>F36+F42-F30-F33</f>
        <v>162085590</v>
      </c>
      <c r="G34" s="13">
        <f>G36+G42-G30-G33</f>
        <v>0</v>
      </c>
      <c r="H34" s="13">
        <f t="shared" si="1"/>
        <v>162085590</v>
      </c>
      <c r="I34" s="13">
        <v>49591613</v>
      </c>
    </row>
    <row r="35" spans="1:10" x14ac:dyDescent="0.25">
      <c r="A35" s="33"/>
      <c r="B35" s="34" t="s">
        <v>57</v>
      </c>
      <c r="C35" s="35">
        <f>C31+C22+C8</f>
        <v>171285590</v>
      </c>
      <c r="D35" s="35">
        <f>D31+D22+D8</f>
        <v>0</v>
      </c>
      <c r="E35" s="35">
        <f t="shared" si="0"/>
        <v>171285590</v>
      </c>
      <c r="F35" s="35">
        <f>F31+F22+F8</f>
        <v>180745107</v>
      </c>
      <c r="G35" s="35">
        <f>G31+G22+G8</f>
        <v>0</v>
      </c>
      <c r="H35" s="35">
        <f t="shared" si="1"/>
        <v>180745107</v>
      </c>
      <c r="I35" s="35">
        <f>+I8+I22+I31</f>
        <v>53800786</v>
      </c>
      <c r="J35" s="60"/>
    </row>
    <row r="36" spans="1:10" x14ac:dyDescent="0.25">
      <c r="A36" s="5" t="s">
        <v>8</v>
      </c>
      <c r="B36" s="6" t="s">
        <v>109</v>
      </c>
      <c r="C36" s="7">
        <f>SUM(C37:C41)</f>
        <v>170015590</v>
      </c>
      <c r="D36" s="7">
        <f>SUM(D37:D41)</f>
        <v>0</v>
      </c>
      <c r="E36" s="7">
        <f t="shared" si="0"/>
        <v>170015590</v>
      </c>
      <c r="F36" s="7">
        <f>SUM(F37:F41)</f>
        <v>179475107</v>
      </c>
      <c r="G36" s="7">
        <f>SUM(G37:G41)</f>
        <v>0</v>
      </c>
      <c r="H36" s="7">
        <f t="shared" si="1"/>
        <v>179475107</v>
      </c>
      <c r="I36" s="7">
        <f>+I37+I38+I39+I40+I41</f>
        <v>56147862</v>
      </c>
      <c r="J36" s="60"/>
    </row>
    <row r="37" spans="1:10" x14ac:dyDescent="0.25">
      <c r="A37" s="156" t="s">
        <v>11</v>
      </c>
      <c r="B37" s="157" t="s">
        <v>13</v>
      </c>
      <c r="C37" s="158">
        <f>'[6]5 GSZNR fel'!E97+'[6]5 GSZNR fel'!E103+'[6]5 GSZNR fel'!E108</f>
        <v>91480000</v>
      </c>
      <c r="D37" s="158">
        <f>'[6]5 GSZNR fel'!D97+'[6]5 GSZNR fel'!D103+'[6]5 GSZNR fel'!D108</f>
        <v>0</v>
      </c>
      <c r="E37" s="164">
        <f t="shared" si="0"/>
        <v>91480000</v>
      </c>
      <c r="F37" s="158">
        <f>'[6]5 GSZNR fel'!H97+'[6]5 GSZNR fel'!H103+'[6]5 GSZNR fel'!H108</f>
        <v>91480000</v>
      </c>
      <c r="G37" s="158">
        <f>'[6]5 GSZNR fel'!G97+'[6]5 GSZNR fel'!G103+'[6]5 GSZNR fel'!G108</f>
        <v>0</v>
      </c>
      <c r="H37" s="164">
        <f t="shared" si="1"/>
        <v>91480000</v>
      </c>
      <c r="I37" s="158">
        <f>'[6]5 GSZNR fel'!I97+'[6]5 GSZNR fel'!I103+'[6]5 GSZNR fel'!I108</f>
        <v>31819833</v>
      </c>
    </row>
    <row r="38" spans="1:10" x14ac:dyDescent="0.25">
      <c r="A38" s="156" t="s">
        <v>14</v>
      </c>
      <c r="B38" s="157" t="s">
        <v>16</v>
      </c>
      <c r="C38" s="158">
        <f>'[6]5 GSZNR fel'!E98+'[6]5 GSZNR fel'!E104+'[6]5 GSZNR fel'!E109</f>
        <v>17491590</v>
      </c>
      <c r="D38" s="158">
        <f>'[6]5 GSZNR fel'!D98+'[6]5 GSZNR fel'!D104+'[6]5 GSZNR fel'!D109</f>
        <v>0</v>
      </c>
      <c r="E38" s="164">
        <f t="shared" si="0"/>
        <v>17491590</v>
      </c>
      <c r="F38" s="158">
        <f>'[6]5 GSZNR fel'!H98+'[6]5 GSZNR fel'!H104+'[6]5 GSZNR fel'!H109</f>
        <v>17491590</v>
      </c>
      <c r="G38" s="158">
        <f>'[6]5 GSZNR fel'!G98+'[6]5 GSZNR fel'!G104+'[6]5 GSZNR fel'!G109</f>
        <v>0</v>
      </c>
      <c r="H38" s="164">
        <f t="shared" si="1"/>
        <v>17491590</v>
      </c>
      <c r="I38" s="158">
        <f>'[6]5 GSZNR fel'!I98+'[6]5 GSZNR fel'!I104+'[6]5 GSZNR fel'!I109</f>
        <v>6024774</v>
      </c>
    </row>
    <row r="39" spans="1:10" x14ac:dyDescent="0.25">
      <c r="A39" s="156" t="s">
        <v>17</v>
      </c>
      <c r="B39" s="157" t="s">
        <v>19</v>
      </c>
      <c r="C39" s="158">
        <f>'[6]5 GSZNR fel'!E99+'[6]5 GSZNR fel'!E105+'[6]5 GSZNR fel'!E110</f>
        <v>61044000</v>
      </c>
      <c r="D39" s="158">
        <f>'[6]5 GSZNR fel'!D99+'[6]5 GSZNR fel'!D105+'[6]5 GSZNR fel'!D110</f>
        <v>0</v>
      </c>
      <c r="E39" s="164">
        <f t="shared" si="0"/>
        <v>61044000</v>
      </c>
      <c r="F39" s="158">
        <f>'[6]5 GSZNR fel'!H99+'[6]5 GSZNR fel'!H105+'[6]5 GSZNR fel'!H110</f>
        <v>61474790</v>
      </c>
      <c r="G39" s="158">
        <f>'[6]5 GSZNR fel'!G99+'[6]5 GSZNR fel'!G105+'[6]5 GSZNR fel'!G110</f>
        <v>0</v>
      </c>
      <c r="H39" s="164">
        <f t="shared" si="1"/>
        <v>61474790</v>
      </c>
      <c r="I39" s="158">
        <f>'[6]5 GSZNR fel'!I99+'[6]5 GSZNR fel'!I105+'[6]5 GSZNR fel'!I110</f>
        <v>18303255</v>
      </c>
      <c r="J39" s="60"/>
    </row>
    <row r="40" spans="1:10" x14ac:dyDescent="0.25">
      <c r="A40" s="156" t="s">
        <v>20</v>
      </c>
      <c r="B40" s="157" t="s">
        <v>22</v>
      </c>
      <c r="C40" s="158">
        <v>0</v>
      </c>
      <c r="D40" s="158">
        <v>0</v>
      </c>
      <c r="E40" s="158">
        <f t="shared" si="0"/>
        <v>0</v>
      </c>
      <c r="F40" s="158">
        <v>0</v>
      </c>
      <c r="G40" s="158">
        <v>0</v>
      </c>
      <c r="H40" s="158">
        <f t="shared" si="1"/>
        <v>0</v>
      </c>
      <c r="I40" s="158">
        <v>0</v>
      </c>
    </row>
    <row r="41" spans="1:10" x14ac:dyDescent="0.25">
      <c r="A41" s="156" t="s">
        <v>23</v>
      </c>
      <c r="B41" s="157" t="s">
        <v>24</v>
      </c>
      <c r="C41" s="158">
        <f>+'[6]5 GSZNR fel'!E100</f>
        <v>0</v>
      </c>
      <c r="D41" s="158">
        <v>0</v>
      </c>
      <c r="E41" s="158">
        <f t="shared" si="0"/>
        <v>0</v>
      </c>
      <c r="F41" s="158">
        <f>+'[6]5 GSZNR fel'!H100</f>
        <v>9028727</v>
      </c>
      <c r="G41" s="158">
        <v>0</v>
      </c>
      <c r="H41" s="158">
        <f t="shared" si="1"/>
        <v>9028727</v>
      </c>
      <c r="I41" s="158">
        <f>+'[6]5 GSZNR fel'!I100</f>
        <v>0</v>
      </c>
    </row>
    <row r="42" spans="1:10" x14ac:dyDescent="0.25">
      <c r="A42" s="5" t="s">
        <v>27</v>
      </c>
      <c r="B42" s="6" t="s">
        <v>115</v>
      </c>
      <c r="C42" s="7">
        <f>SUM(C43:C45)</f>
        <v>1270000</v>
      </c>
      <c r="D42" s="7">
        <f>SUM(D43:D45)</f>
        <v>0</v>
      </c>
      <c r="E42" s="7">
        <f t="shared" si="0"/>
        <v>1270000</v>
      </c>
      <c r="F42" s="7">
        <f>SUM(F43:F45)</f>
        <v>1270000</v>
      </c>
      <c r="G42" s="7">
        <f>SUM(G43:G45)</f>
        <v>0</v>
      </c>
      <c r="H42" s="7">
        <f t="shared" si="1"/>
        <v>1270000</v>
      </c>
      <c r="I42" s="7">
        <f>SUM(I43:I45)</f>
        <v>325723</v>
      </c>
      <c r="J42" s="60"/>
    </row>
    <row r="43" spans="1:10" x14ac:dyDescent="0.25">
      <c r="A43" s="156" t="s">
        <v>11</v>
      </c>
      <c r="B43" s="157" t="s">
        <v>545</v>
      </c>
      <c r="C43" s="158">
        <f>'[6]5 GSZNR fel'!E101+'[6]5 GSZNR fel'!E106+'[6]5 GSZNR fel'!E111</f>
        <v>1270000</v>
      </c>
      <c r="D43" s="158">
        <f>'[6]5 GSZNR fel'!D101+'[6]5 GSZNR fel'!D106+'[6]5 GSZNR fel'!D111</f>
        <v>0</v>
      </c>
      <c r="E43" s="158">
        <f t="shared" si="0"/>
        <v>1270000</v>
      </c>
      <c r="F43" s="158">
        <f>'[6]5 GSZNR fel'!H101+'[6]5 GSZNR fel'!H106+'[6]5 GSZNR fel'!H111</f>
        <v>1270000</v>
      </c>
      <c r="G43" s="158">
        <f>'[6]5 GSZNR fel'!G101+'[6]5 GSZNR fel'!G106+'[6]5 GSZNR fel'!G111</f>
        <v>0</v>
      </c>
      <c r="H43" s="158">
        <f t="shared" si="1"/>
        <v>1270000</v>
      </c>
      <c r="I43" s="158">
        <f>'[6]5 GSZNR fel'!I101+'[6]5 GSZNR fel'!I106+'[6]5 GSZNR fel'!I111</f>
        <v>325723</v>
      </c>
    </row>
    <row r="44" spans="1:10" x14ac:dyDescent="0.25">
      <c r="A44" s="156" t="s">
        <v>14</v>
      </c>
      <c r="B44" s="157" t="s">
        <v>33</v>
      </c>
      <c r="C44" s="158">
        <v>0</v>
      </c>
      <c r="D44" s="158">
        <v>0</v>
      </c>
      <c r="E44" s="158">
        <f t="shared" si="0"/>
        <v>0</v>
      </c>
      <c r="F44" s="158">
        <v>0</v>
      </c>
      <c r="G44" s="158">
        <v>0</v>
      </c>
      <c r="H44" s="158">
        <f t="shared" si="1"/>
        <v>0</v>
      </c>
      <c r="I44" s="158">
        <v>0</v>
      </c>
    </row>
    <row r="45" spans="1:10" x14ac:dyDescent="0.25">
      <c r="A45" s="156" t="s">
        <v>17</v>
      </c>
      <c r="B45" s="157" t="s">
        <v>35</v>
      </c>
      <c r="C45" s="158">
        <v>0</v>
      </c>
      <c r="D45" s="158">
        <v>0</v>
      </c>
      <c r="E45" s="158">
        <f t="shared" si="0"/>
        <v>0</v>
      </c>
      <c r="F45" s="158">
        <v>0</v>
      </c>
      <c r="G45" s="158">
        <v>0</v>
      </c>
      <c r="H45" s="158">
        <f t="shared" si="1"/>
        <v>0</v>
      </c>
      <c r="I45" s="158">
        <v>0</v>
      </c>
    </row>
    <row r="46" spans="1:10" x14ac:dyDescent="0.25">
      <c r="A46" s="33"/>
      <c r="B46" s="34" t="s">
        <v>58</v>
      </c>
      <c r="C46" s="35">
        <f>C36+C42</f>
        <v>171285590</v>
      </c>
      <c r="D46" s="35">
        <f>D36+D42</f>
        <v>0</v>
      </c>
      <c r="E46" s="35">
        <f t="shared" si="0"/>
        <v>171285590</v>
      </c>
      <c r="F46" s="35">
        <f>F36+F42</f>
        <v>180745107</v>
      </c>
      <c r="G46" s="35">
        <f>G36+G42</f>
        <v>0</v>
      </c>
      <c r="H46" s="35">
        <f t="shared" si="1"/>
        <v>180745107</v>
      </c>
      <c r="I46" s="35">
        <f>+I42+I36</f>
        <v>56473585</v>
      </c>
      <c r="J46" s="60"/>
    </row>
    <row r="47" spans="1:10" x14ac:dyDescent="0.25">
      <c r="H47" s="60">
        <f>+H46-E46</f>
        <v>9459517</v>
      </c>
    </row>
  </sheetData>
  <mergeCells count="5">
    <mergeCell ref="A4:A5"/>
    <mergeCell ref="B4:B5"/>
    <mergeCell ref="C4:E4"/>
    <mergeCell ref="F4:H4"/>
    <mergeCell ref="I4:I5"/>
  </mergeCells>
  <printOptions horizontalCentered="1"/>
  <pageMargins left="0.19685039370078741" right="0.19685039370078741" top="0.82677165354330717" bottom="0.19685039370078741" header="0.31496062992125984" footer="0.31496062992125984"/>
  <pageSetup paperSize="9" scale="80" fitToWidth="0" fitToHeight="0" orientation="landscape" copies="2" r:id="rId1"/>
  <headerFooter>
    <oddHeader>&amp;L4/F.  melléklet a ......./2020. (.................) önkormányzati rendelethez&amp;C&amp;"-,Félkövér"&amp;16
A Segítő Kéz Szolgálat 2020. évi bevételei és kiadásai jogcímenként és feladatonként</oddHeader>
    <oddFooter>&amp;C&amp;P&amp;R&amp;D,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3F5C-BE76-4E97-A357-101FBB626906}">
  <dimension ref="A1:J47"/>
  <sheetViews>
    <sheetView view="pageBreakPreview" zoomScale="95" zoomScaleNormal="100" zoomScaleSheetLayoutView="95" workbookViewId="0">
      <selection activeCell="J1" sqref="J1:J1048576"/>
    </sheetView>
  </sheetViews>
  <sheetFormatPr defaultRowHeight="15" x14ac:dyDescent="0.25"/>
  <cols>
    <col min="1" max="1" width="7.140625" style="122" customWidth="1"/>
    <col min="2" max="2" width="51" customWidth="1"/>
    <col min="3" max="8" width="14.7109375" customWidth="1"/>
    <col min="9" max="9" width="18.28515625" hidden="1" customWidth="1"/>
    <col min="10" max="11" width="14.7109375" customWidth="1"/>
  </cols>
  <sheetData>
    <row r="1" spans="1:10" x14ac:dyDescent="0.25">
      <c r="E1" s="265"/>
      <c r="H1" s="265" t="s">
        <v>0</v>
      </c>
    </row>
    <row r="2" spans="1:10" ht="20.45" customHeight="1" x14ac:dyDescent="0.25">
      <c r="A2" s="154" t="s">
        <v>556</v>
      </c>
      <c r="B2" s="154" t="s">
        <v>557</v>
      </c>
      <c r="C2" s="283"/>
      <c r="D2" s="283"/>
      <c r="E2" s="283"/>
      <c r="F2" s="283"/>
      <c r="G2" s="283"/>
      <c r="H2" s="283"/>
      <c r="I2" s="283"/>
    </row>
    <row r="3" spans="1:10" ht="19.149999999999999" customHeight="1" x14ac:dyDescent="0.25">
      <c r="A3" s="154" t="s">
        <v>558</v>
      </c>
      <c r="B3" s="154" t="s">
        <v>566</v>
      </c>
      <c r="C3" s="283"/>
      <c r="D3" s="283"/>
      <c r="E3" s="283"/>
      <c r="F3" s="283"/>
      <c r="G3" s="283"/>
      <c r="H3" s="283"/>
      <c r="I3" s="283"/>
    </row>
    <row r="4" spans="1:10" ht="39.4" customHeight="1" x14ac:dyDescent="0.25">
      <c r="A4" s="418" t="s">
        <v>1</v>
      </c>
      <c r="B4" s="432" t="s">
        <v>128</v>
      </c>
      <c r="C4" s="419" t="s">
        <v>6</v>
      </c>
      <c r="D4" s="420"/>
      <c r="E4" s="421"/>
      <c r="F4" s="419" t="s">
        <v>59</v>
      </c>
      <c r="G4" s="420"/>
      <c r="H4" s="421"/>
      <c r="I4" s="418" t="s">
        <v>60</v>
      </c>
    </row>
    <row r="5" spans="1:10" ht="30" x14ac:dyDescent="0.25">
      <c r="A5" s="418"/>
      <c r="B5" s="432"/>
      <c r="C5" s="4" t="s">
        <v>61</v>
      </c>
      <c r="D5" s="4" t="s">
        <v>62</v>
      </c>
      <c r="E5" s="4" t="s">
        <v>64</v>
      </c>
      <c r="F5" s="4" t="s">
        <v>61</v>
      </c>
      <c r="G5" s="4" t="s">
        <v>62</v>
      </c>
      <c r="H5" s="4" t="s">
        <v>64</v>
      </c>
      <c r="I5" s="418"/>
    </row>
    <row r="6" spans="1:10" x14ac:dyDescent="0.25">
      <c r="A6" s="171"/>
      <c r="B6" s="284" t="s">
        <v>360</v>
      </c>
      <c r="C6" s="172">
        <v>24</v>
      </c>
      <c r="D6" s="172"/>
      <c r="E6" s="172">
        <f t="shared" ref="E6:E46" si="0">SUM(C6:D6)</f>
        <v>24</v>
      </c>
      <c r="F6" s="172">
        <v>24</v>
      </c>
      <c r="G6" s="172"/>
      <c r="H6" s="172">
        <f t="shared" ref="H6:H46" si="1">SUM(F6:G6)</f>
        <v>24</v>
      </c>
    </row>
    <row r="7" spans="1:10" x14ac:dyDescent="0.25">
      <c r="A7" s="171"/>
      <c r="B7" s="284" t="s">
        <v>361</v>
      </c>
      <c r="C7" s="172"/>
      <c r="D7" s="172"/>
      <c r="E7" s="172">
        <f t="shared" si="0"/>
        <v>0</v>
      </c>
      <c r="F7" s="172"/>
      <c r="G7" s="172"/>
      <c r="H7" s="172">
        <f t="shared" si="1"/>
        <v>0</v>
      </c>
    </row>
    <row r="8" spans="1:10" x14ac:dyDescent="0.25">
      <c r="A8" s="5" t="s">
        <v>8</v>
      </c>
      <c r="B8" s="6" t="s">
        <v>9</v>
      </c>
      <c r="C8" s="7">
        <f>C9+C11+C20</f>
        <v>7700000</v>
      </c>
      <c r="D8" s="7">
        <f>D9+D11+D20</f>
        <v>0</v>
      </c>
      <c r="E8" s="7">
        <f t="shared" si="0"/>
        <v>7700000</v>
      </c>
      <c r="F8" s="7">
        <f>F9+F11+F20</f>
        <v>7700000</v>
      </c>
      <c r="G8" s="7">
        <f>G9+G11+G20</f>
        <v>0</v>
      </c>
      <c r="H8" s="7">
        <f t="shared" si="1"/>
        <v>7700000</v>
      </c>
      <c r="I8" s="7">
        <f>+I9+I11+I20</f>
        <v>2171402</v>
      </c>
      <c r="J8" s="60"/>
    </row>
    <row r="9" spans="1:10" x14ac:dyDescent="0.25">
      <c r="A9" s="156" t="s">
        <v>11</v>
      </c>
      <c r="B9" s="157" t="s">
        <v>12</v>
      </c>
      <c r="C9" s="158">
        <f>C10</f>
        <v>0</v>
      </c>
      <c r="D9" s="158">
        <f>D10</f>
        <v>0</v>
      </c>
      <c r="E9" s="158">
        <f t="shared" si="0"/>
        <v>0</v>
      </c>
      <c r="F9" s="158">
        <f>F10</f>
        <v>0</v>
      </c>
      <c r="G9" s="158">
        <f>G10</f>
        <v>0</v>
      </c>
      <c r="H9" s="158">
        <f t="shared" si="1"/>
        <v>0</v>
      </c>
      <c r="I9" s="158">
        <f>SUM(G9:H9)</f>
        <v>0</v>
      </c>
    </row>
    <row r="10" spans="1:10" ht="30.2" hidden="1" customHeight="1" x14ac:dyDescent="0.25">
      <c r="A10" s="11"/>
      <c r="B10" s="82" t="s">
        <v>529</v>
      </c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13">
        <f>SUM(G10:H10)</f>
        <v>0</v>
      </c>
    </row>
    <row r="11" spans="1:10" x14ac:dyDescent="0.25">
      <c r="A11" s="156" t="s">
        <v>14</v>
      </c>
      <c r="B11" s="157" t="s">
        <v>18</v>
      </c>
      <c r="C11" s="158">
        <f>C12+C13+C14+C15+C16+C17+C18+C19</f>
        <v>7700000</v>
      </c>
      <c r="D11" s="158">
        <f>D12+D13+D14+D15+D16+D17+D18+D19</f>
        <v>0</v>
      </c>
      <c r="E11" s="158">
        <f t="shared" si="0"/>
        <v>7700000</v>
      </c>
      <c r="F11" s="158">
        <f>F12+F13+F14+F15+F16+F17+F18+F19</f>
        <v>7700000</v>
      </c>
      <c r="G11" s="158">
        <f>G12+G13+G14+G15+G16+G17+G18+G19</f>
        <v>0</v>
      </c>
      <c r="H11" s="158">
        <f t="shared" si="1"/>
        <v>7700000</v>
      </c>
      <c r="I11" s="158">
        <f>SUM(I12:I19)</f>
        <v>2171402</v>
      </c>
      <c r="J11" s="60"/>
    </row>
    <row r="12" spans="1:10" x14ac:dyDescent="0.25">
      <c r="A12" s="11"/>
      <c r="B12" s="82" t="s">
        <v>532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  <c r="I12" s="13"/>
    </row>
    <row r="13" spans="1:10" x14ac:dyDescent="0.25">
      <c r="A13" s="11"/>
      <c r="B13" s="82" t="s">
        <v>533</v>
      </c>
      <c r="C13" s="13">
        <v>0</v>
      </c>
      <c r="D13" s="13">
        <v>0</v>
      </c>
      <c r="E13" s="13">
        <f t="shared" si="0"/>
        <v>0</v>
      </c>
      <c r="F13" s="13">
        <v>0</v>
      </c>
      <c r="G13" s="13">
        <v>0</v>
      </c>
      <c r="H13" s="13">
        <f t="shared" si="1"/>
        <v>0</v>
      </c>
      <c r="I13" s="85"/>
    </row>
    <row r="14" spans="1:10" x14ac:dyDescent="0.25">
      <c r="A14" s="11"/>
      <c r="B14" s="82" t="s">
        <v>534</v>
      </c>
      <c r="C14" s="13">
        <v>0</v>
      </c>
      <c r="D14" s="13">
        <v>0</v>
      </c>
      <c r="E14" s="13">
        <f t="shared" si="0"/>
        <v>0</v>
      </c>
      <c r="F14" s="13">
        <v>0</v>
      </c>
      <c r="G14" s="13">
        <v>0</v>
      </c>
      <c r="H14" s="13">
        <f t="shared" si="1"/>
        <v>0</v>
      </c>
      <c r="I14" s="13"/>
    </row>
    <row r="15" spans="1:10" x14ac:dyDescent="0.25">
      <c r="A15" s="11"/>
      <c r="B15" s="82" t="s">
        <v>535</v>
      </c>
      <c r="C15" s="13">
        <v>7000000</v>
      </c>
      <c r="D15" s="13">
        <v>0</v>
      </c>
      <c r="E15" s="13">
        <f t="shared" si="0"/>
        <v>7000000</v>
      </c>
      <c r="F15" s="13">
        <v>7000000</v>
      </c>
      <c r="G15" s="13">
        <v>0</v>
      </c>
      <c r="H15" s="13">
        <f t="shared" si="1"/>
        <v>7000000</v>
      </c>
      <c r="I15" s="13">
        <v>1981833</v>
      </c>
    </row>
    <row r="16" spans="1:10" x14ac:dyDescent="0.25">
      <c r="A16" s="11"/>
      <c r="B16" s="82" t="s">
        <v>536</v>
      </c>
      <c r="C16" s="13">
        <v>700000</v>
      </c>
      <c r="D16" s="13">
        <v>0</v>
      </c>
      <c r="E16" s="13">
        <f t="shared" si="0"/>
        <v>700000</v>
      </c>
      <c r="F16" s="13">
        <v>700000</v>
      </c>
      <c r="G16" s="13">
        <v>0</v>
      </c>
      <c r="H16" s="13">
        <f t="shared" si="1"/>
        <v>700000</v>
      </c>
      <c r="I16" s="13">
        <v>188389</v>
      </c>
    </row>
    <row r="17" spans="1:10" x14ac:dyDescent="0.25">
      <c r="A17" s="11"/>
      <c r="B17" s="82" t="s">
        <v>537</v>
      </c>
      <c r="C17" s="13">
        <v>0</v>
      </c>
      <c r="D17" s="13">
        <v>0</v>
      </c>
      <c r="E17" s="13">
        <f t="shared" si="0"/>
        <v>0</v>
      </c>
      <c r="F17" s="13">
        <v>0</v>
      </c>
      <c r="G17" s="13">
        <v>0</v>
      </c>
      <c r="H17" s="13">
        <f t="shared" si="1"/>
        <v>0</v>
      </c>
      <c r="I17" s="13"/>
    </row>
    <row r="18" spans="1:10" x14ac:dyDescent="0.25">
      <c r="A18" s="11"/>
      <c r="B18" s="82" t="s">
        <v>538</v>
      </c>
      <c r="C18" s="13">
        <v>0</v>
      </c>
      <c r="D18" s="13">
        <v>0</v>
      </c>
      <c r="E18" s="13">
        <f t="shared" si="0"/>
        <v>0</v>
      </c>
      <c r="F18" s="13">
        <v>0</v>
      </c>
      <c r="G18" s="13">
        <v>0</v>
      </c>
      <c r="H18" s="13">
        <f t="shared" si="1"/>
        <v>0</v>
      </c>
      <c r="I18" s="13">
        <v>2</v>
      </c>
    </row>
    <row r="19" spans="1:10" x14ac:dyDescent="0.25">
      <c r="A19" s="11"/>
      <c r="B19" s="82" t="s">
        <v>539</v>
      </c>
      <c r="C19" s="13">
        <v>0</v>
      </c>
      <c r="D19" s="13">
        <v>0</v>
      </c>
      <c r="E19" s="13">
        <f t="shared" si="0"/>
        <v>0</v>
      </c>
      <c r="F19" s="13">
        <v>0</v>
      </c>
      <c r="G19" s="13">
        <v>0</v>
      </c>
      <c r="H19" s="13">
        <f t="shared" si="1"/>
        <v>0</v>
      </c>
      <c r="I19" s="13">
        <v>1178</v>
      </c>
    </row>
    <row r="20" spans="1:10" x14ac:dyDescent="0.25">
      <c r="A20" s="156" t="s">
        <v>17</v>
      </c>
      <c r="B20" s="157" t="s">
        <v>21</v>
      </c>
      <c r="C20" s="158">
        <f>SUM(C21:C21)</f>
        <v>0</v>
      </c>
      <c r="D20" s="158">
        <f>SUM(D21:D21)</f>
        <v>0</v>
      </c>
      <c r="E20" s="158">
        <f t="shared" si="0"/>
        <v>0</v>
      </c>
      <c r="F20" s="158">
        <f>SUM(F21:F21)</f>
        <v>0</v>
      </c>
      <c r="G20" s="158">
        <f>SUM(G21:G21)</f>
        <v>0</v>
      </c>
      <c r="H20" s="158">
        <f t="shared" si="1"/>
        <v>0</v>
      </c>
      <c r="I20" s="158">
        <f>SUM(G20:H20)</f>
        <v>0</v>
      </c>
    </row>
    <row r="21" spans="1:10" hidden="1" x14ac:dyDescent="0.25">
      <c r="A21" s="11"/>
      <c r="B21" s="82" t="s">
        <v>540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  <c r="I21" s="13">
        <f>SUM(G21:H21)</f>
        <v>0</v>
      </c>
    </row>
    <row r="22" spans="1:10" x14ac:dyDescent="0.25">
      <c r="A22" s="5" t="s">
        <v>27</v>
      </c>
      <c r="B22" s="6" t="s">
        <v>28</v>
      </c>
      <c r="C22" s="7">
        <f>C23+C25+C28</f>
        <v>0</v>
      </c>
      <c r="D22" s="7">
        <f>D23+D25+D28</f>
        <v>0</v>
      </c>
      <c r="E22" s="7">
        <f t="shared" si="0"/>
        <v>0</v>
      </c>
      <c r="F22" s="7">
        <f>F23+F25+F28</f>
        <v>0</v>
      </c>
      <c r="G22" s="7">
        <f>G23+G25+G28</f>
        <v>0</v>
      </c>
      <c r="H22" s="7">
        <f t="shared" si="1"/>
        <v>0</v>
      </c>
      <c r="I22" s="7">
        <v>0</v>
      </c>
    </row>
    <row r="23" spans="1:10" hidden="1" x14ac:dyDescent="0.25">
      <c r="A23" s="156" t="s">
        <v>11</v>
      </c>
      <c r="B23" s="157" t="s">
        <v>30</v>
      </c>
      <c r="C23" s="158">
        <f>SUM(C24:C24)</f>
        <v>0</v>
      </c>
      <c r="D23" s="158">
        <f>SUM(D24:D24)</f>
        <v>0</v>
      </c>
      <c r="E23" s="158">
        <f t="shared" si="0"/>
        <v>0</v>
      </c>
      <c r="F23" s="158">
        <f>SUM(F24:F24)</f>
        <v>0</v>
      </c>
      <c r="G23" s="158">
        <f>SUM(G24:G24)</f>
        <v>0</v>
      </c>
      <c r="H23" s="158">
        <f t="shared" si="1"/>
        <v>0</v>
      </c>
      <c r="I23" s="158">
        <f t="shared" ref="I23:I29" si="2">SUM(G23:H23)</f>
        <v>0</v>
      </c>
    </row>
    <row r="24" spans="1:10" ht="30" hidden="1" x14ac:dyDescent="0.25">
      <c r="A24" s="11"/>
      <c r="B24" s="12" t="s">
        <v>541</v>
      </c>
      <c r="C24" s="13">
        <v>0</v>
      </c>
      <c r="D24" s="13">
        <v>0</v>
      </c>
      <c r="E24" s="13">
        <f t="shared" si="0"/>
        <v>0</v>
      </c>
      <c r="F24" s="13">
        <v>0</v>
      </c>
      <c r="G24" s="13">
        <v>0</v>
      </c>
      <c r="H24" s="13">
        <f t="shared" si="1"/>
        <v>0</v>
      </c>
      <c r="I24" s="13">
        <f t="shared" si="2"/>
        <v>0</v>
      </c>
    </row>
    <row r="25" spans="1:10" hidden="1" x14ac:dyDescent="0.25">
      <c r="A25" s="156" t="s">
        <v>14</v>
      </c>
      <c r="B25" s="157" t="s">
        <v>32</v>
      </c>
      <c r="C25" s="158">
        <f>SUM(C26:C27)</f>
        <v>0</v>
      </c>
      <c r="D25" s="158">
        <f>SUM(D26:D27)</f>
        <v>0</v>
      </c>
      <c r="E25" s="158">
        <f t="shared" si="0"/>
        <v>0</v>
      </c>
      <c r="F25" s="158">
        <f>SUM(F26:F27)</f>
        <v>0</v>
      </c>
      <c r="G25" s="158">
        <f>SUM(G26:G27)</f>
        <v>0</v>
      </c>
      <c r="H25" s="158">
        <f t="shared" si="1"/>
        <v>0</v>
      </c>
      <c r="I25" s="158">
        <f t="shared" si="2"/>
        <v>0</v>
      </c>
    </row>
    <row r="26" spans="1:10" hidden="1" x14ac:dyDescent="0.25">
      <c r="A26" s="11"/>
      <c r="B26" s="17" t="s">
        <v>89</v>
      </c>
      <c r="C26" s="13">
        <v>0</v>
      </c>
      <c r="D26" s="13">
        <v>0</v>
      </c>
      <c r="E26" s="13">
        <f t="shared" si="0"/>
        <v>0</v>
      </c>
      <c r="F26" s="13">
        <v>0</v>
      </c>
      <c r="G26" s="13">
        <v>0</v>
      </c>
      <c r="H26" s="13">
        <f t="shared" si="1"/>
        <v>0</v>
      </c>
      <c r="I26" s="13">
        <f t="shared" si="2"/>
        <v>0</v>
      </c>
    </row>
    <row r="27" spans="1:10" hidden="1" x14ac:dyDescent="0.25">
      <c r="A27" s="11"/>
      <c r="B27" s="17" t="s">
        <v>542</v>
      </c>
      <c r="C27" s="13">
        <v>0</v>
      </c>
      <c r="D27" s="13">
        <v>0</v>
      </c>
      <c r="E27" s="13">
        <f t="shared" si="0"/>
        <v>0</v>
      </c>
      <c r="F27" s="13">
        <v>0</v>
      </c>
      <c r="G27" s="13">
        <v>0</v>
      </c>
      <c r="H27" s="13">
        <f t="shared" si="1"/>
        <v>0</v>
      </c>
      <c r="I27" s="13">
        <f t="shared" si="2"/>
        <v>0</v>
      </c>
    </row>
    <row r="28" spans="1:10" hidden="1" x14ac:dyDescent="0.25">
      <c r="A28" s="156" t="s">
        <v>17</v>
      </c>
      <c r="B28" s="157" t="s">
        <v>34</v>
      </c>
      <c r="C28" s="158">
        <f>SUM(C29:C29)</f>
        <v>0</v>
      </c>
      <c r="D28" s="158">
        <f>SUM(D29:D29)</f>
        <v>0</v>
      </c>
      <c r="E28" s="158">
        <f t="shared" si="0"/>
        <v>0</v>
      </c>
      <c r="F28" s="158">
        <f>SUM(F29:F29)</f>
        <v>0</v>
      </c>
      <c r="G28" s="158">
        <f>SUM(G29:G29)</f>
        <v>0</v>
      </c>
      <c r="H28" s="158">
        <f t="shared" si="1"/>
        <v>0</v>
      </c>
      <c r="I28" s="158">
        <f t="shared" si="2"/>
        <v>0</v>
      </c>
    </row>
    <row r="29" spans="1:10" hidden="1" x14ac:dyDescent="0.25">
      <c r="A29" s="11"/>
      <c r="B29" s="17" t="s">
        <v>543</v>
      </c>
      <c r="C29" s="13">
        <v>0</v>
      </c>
      <c r="D29" s="13">
        <v>0</v>
      </c>
      <c r="E29" s="13">
        <f t="shared" si="0"/>
        <v>0</v>
      </c>
      <c r="F29" s="13">
        <v>0</v>
      </c>
      <c r="G29" s="13">
        <v>0</v>
      </c>
      <c r="H29" s="13">
        <f t="shared" si="1"/>
        <v>0</v>
      </c>
      <c r="I29" s="13">
        <f t="shared" si="2"/>
        <v>0</v>
      </c>
    </row>
    <row r="30" spans="1:10" x14ac:dyDescent="0.25">
      <c r="A30" s="3"/>
      <c r="B30" s="24" t="s">
        <v>38</v>
      </c>
      <c r="C30" s="26">
        <f>C22+C8</f>
        <v>7700000</v>
      </c>
      <c r="D30" s="26">
        <f>D22+D8</f>
        <v>0</v>
      </c>
      <c r="E30" s="26">
        <f t="shared" si="0"/>
        <v>7700000</v>
      </c>
      <c r="F30" s="26">
        <f>F22+F8</f>
        <v>7700000</v>
      </c>
      <c r="G30" s="26">
        <f>G22+G8</f>
        <v>0</v>
      </c>
      <c r="H30" s="26">
        <f t="shared" si="1"/>
        <v>7700000</v>
      </c>
      <c r="I30" s="26">
        <f>+I22+I8</f>
        <v>2171402</v>
      </c>
      <c r="J30" s="60"/>
    </row>
    <row r="31" spans="1:10" x14ac:dyDescent="0.25">
      <c r="A31" s="5" t="s">
        <v>42</v>
      </c>
      <c r="B31" s="6" t="s">
        <v>43</v>
      </c>
      <c r="C31" s="7">
        <f>C32</f>
        <v>143668720</v>
      </c>
      <c r="D31" s="7">
        <f>D32</f>
        <v>0</v>
      </c>
      <c r="E31" s="7">
        <f t="shared" si="0"/>
        <v>143668720</v>
      </c>
      <c r="F31" s="7">
        <f>F32</f>
        <v>147871090</v>
      </c>
      <c r="G31" s="7">
        <f>G32</f>
        <v>0</v>
      </c>
      <c r="H31" s="7">
        <f t="shared" si="1"/>
        <v>147871090</v>
      </c>
      <c r="I31" s="7">
        <f>+I32</f>
        <v>50183056</v>
      </c>
      <c r="J31" s="60"/>
    </row>
    <row r="32" spans="1:10" x14ac:dyDescent="0.25">
      <c r="A32" s="156" t="s">
        <v>11</v>
      </c>
      <c r="B32" s="157" t="s">
        <v>53</v>
      </c>
      <c r="C32" s="158">
        <f>SUM(C33:C34)</f>
        <v>143668720</v>
      </c>
      <c r="D32" s="158">
        <f>SUM(D33:D34)</f>
        <v>0</v>
      </c>
      <c r="E32" s="158">
        <f t="shared" si="0"/>
        <v>143668720</v>
      </c>
      <c r="F32" s="158">
        <f>SUM(F33:F34)</f>
        <v>147871090</v>
      </c>
      <c r="G32" s="158">
        <f>SUM(G33:G34)</f>
        <v>0</v>
      </c>
      <c r="H32" s="158">
        <f t="shared" si="1"/>
        <v>147871090</v>
      </c>
      <c r="I32" s="158">
        <f>+I33+I34</f>
        <v>50183056</v>
      </c>
      <c r="J32" s="60"/>
    </row>
    <row r="33" spans="1:10" x14ac:dyDescent="0.25">
      <c r="A33" s="11"/>
      <c r="B33" s="17" t="s">
        <v>514</v>
      </c>
      <c r="C33" s="13">
        <v>0</v>
      </c>
      <c r="D33" s="13">
        <v>0</v>
      </c>
      <c r="E33" s="13">
        <f t="shared" si="0"/>
        <v>0</v>
      </c>
      <c r="F33" s="13">
        <v>4202370</v>
      </c>
      <c r="G33" s="13">
        <v>0</v>
      </c>
      <c r="H33" s="13">
        <f t="shared" si="1"/>
        <v>4202370</v>
      </c>
      <c r="I33" s="13">
        <v>0</v>
      </c>
    </row>
    <row r="34" spans="1:10" x14ac:dyDescent="0.25">
      <c r="A34" s="11"/>
      <c r="B34" s="17" t="s">
        <v>544</v>
      </c>
      <c r="C34" s="13">
        <f>C36+C42-C30-C33</f>
        <v>143668720</v>
      </c>
      <c r="D34" s="13">
        <f>D36+D42-D30-D33</f>
        <v>0</v>
      </c>
      <c r="E34" s="13">
        <f t="shared" si="0"/>
        <v>143668720</v>
      </c>
      <c r="F34" s="13">
        <f>F36+F42-F30-F33</f>
        <v>143668720</v>
      </c>
      <c r="G34" s="13">
        <f>G36+G42-G30-G33</f>
        <v>0</v>
      </c>
      <c r="H34" s="13">
        <f t="shared" si="1"/>
        <v>143668720</v>
      </c>
      <c r="I34" s="13">
        <v>50183056</v>
      </c>
    </row>
    <row r="35" spans="1:10" x14ac:dyDescent="0.25">
      <c r="A35" s="33"/>
      <c r="B35" s="34" t="s">
        <v>57</v>
      </c>
      <c r="C35" s="35">
        <f>C31+C22+C8</f>
        <v>151368720</v>
      </c>
      <c r="D35" s="35">
        <f>D31+D22+D8</f>
        <v>0</v>
      </c>
      <c r="E35" s="35">
        <f t="shared" si="0"/>
        <v>151368720</v>
      </c>
      <c r="F35" s="35">
        <f>F31+F22+F8</f>
        <v>155571090</v>
      </c>
      <c r="G35" s="35">
        <f>G31+G22+G8</f>
        <v>0</v>
      </c>
      <c r="H35" s="35">
        <f t="shared" si="1"/>
        <v>155571090</v>
      </c>
      <c r="I35" s="35">
        <f>+I8+I22+I31</f>
        <v>52354458</v>
      </c>
      <c r="J35" s="60"/>
    </row>
    <row r="36" spans="1:10" x14ac:dyDescent="0.25">
      <c r="A36" s="5" t="s">
        <v>8</v>
      </c>
      <c r="B36" s="6" t="s">
        <v>109</v>
      </c>
      <c r="C36" s="7">
        <f>SUM(C37:C41)</f>
        <v>150098720</v>
      </c>
      <c r="D36" s="7">
        <f>SUM(D37:D41)</f>
        <v>0</v>
      </c>
      <c r="E36" s="7">
        <f t="shared" si="0"/>
        <v>150098720</v>
      </c>
      <c r="F36" s="7">
        <f>SUM(F37:F41)</f>
        <v>154301090</v>
      </c>
      <c r="G36" s="7">
        <f>SUM(G37:G41)</f>
        <v>0</v>
      </c>
      <c r="H36" s="7">
        <f t="shared" si="1"/>
        <v>154301090</v>
      </c>
      <c r="I36" s="7">
        <f>+I37+I38+I39+I40+I41</f>
        <v>47768391</v>
      </c>
      <c r="J36" s="60"/>
    </row>
    <row r="37" spans="1:10" x14ac:dyDescent="0.25">
      <c r="A37" s="156" t="s">
        <v>11</v>
      </c>
      <c r="B37" s="157" t="s">
        <v>13</v>
      </c>
      <c r="C37" s="158">
        <f>'[6]5 GSZNR fel'!E121+'[6]5 GSZNR fel'!E127</f>
        <v>97000000</v>
      </c>
      <c r="D37" s="158">
        <f>'[6]5 GSZNR fel'!D121+'[6]5 GSZNR fel'!D127</f>
        <v>0</v>
      </c>
      <c r="E37" s="158">
        <f t="shared" si="0"/>
        <v>97000000</v>
      </c>
      <c r="F37" s="158">
        <f>'[6]5 GSZNR fel'!H121+'[6]5 GSZNR fel'!H127</f>
        <v>97000000</v>
      </c>
      <c r="G37" s="158">
        <f>'[6]5 GSZNR fel'!G121+'[6]5 GSZNR fel'!G127</f>
        <v>0</v>
      </c>
      <c r="H37" s="158">
        <f t="shared" si="1"/>
        <v>97000000</v>
      </c>
      <c r="I37" s="158">
        <f>'[6]5 GSZNR fel'!I121+'[6]5 GSZNR fel'!I127</f>
        <v>34494584</v>
      </c>
    </row>
    <row r="38" spans="1:10" x14ac:dyDescent="0.25">
      <c r="A38" s="156" t="s">
        <v>14</v>
      </c>
      <c r="B38" s="157" t="s">
        <v>16</v>
      </c>
      <c r="C38" s="158">
        <f>'[6]5 GSZNR fel'!E122+'[6]5 GSZNR fel'!E128</f>
        <v>18593440</v>
      </c>
      <c r="D38" s="158">
        <f>'[6]5 GSZNR fel'!D122+'[6]5 GSZNR fel'!D128</f>
        <v>0</v>
      </c>
      <c r="E38" s="164">
        <f t="shared" si="0"/>
        <v>18593440</v>
      </c>
      <c r="F38" s="158">
        <f>'[6]5 GSZNR fel'!H122+'[6]5 GSZNR fel'!H128</f>
        <v>18593440</v>
      </c>
      <c r="G38" s="158">
        <f>'[6]5 GSZNR fel'!G122+'[6]5 GSZNR fel'!G128</f>
        <v>0</v>
      </c>
      <c r="H38" s="164">
        <f t="shared" si="1"/>
        <v>18593440</v>
      </c>
      <c r="I38" s="158">
        <f>'[6]5 GSZNR fel'!I122+'[6]5 GSZNR fel'!I128</f>
        <v>6331692</v>
      </c>
    </row>
    <row r="39" spans="1:10" x14ac:dyDescent="0.25">
      <c r="A39" s="156" t="s">
        <v>17</v>
      </c>
      <c r="B39" s="157" t="s">
        <v>19</v>
      </c>
      <c r="C39" s="158">
        <f>'[6]5 GSZNR fel'!E123+'[6]5 GSZNR fel'!E129</f>
        <v>34505280</v>
      </c>
      <c r="D39" s="158">
        <f>'[6]5 GSZNR fel'!D123+'[6]5 GSZNR fel'!D129</f>
        <v>0</v>
      </c>
      <c r="E39" s="164">
        <f t="shared" si="0"/>
        <v>34505280</v>
      </c>
      <c r="F39" s="158">
        <f>'[6]5 GSZNR fel'!H123+'[6]5 GSZNR fel'!H129</f>
        <v>34519785</v>
      </c>
      <c r="G39" s="158">
        <f>'[6]5 GSZNR fel'!G123+'[6]5 GSZNR fel'!G129</f>
        <v>0</v>
      </c>
      <c r="H39" s="164">
        <f t="shared" si="1"/>
        <v>34519785</v>
      </c>
      <c r="I39" s="158">
        <f>'[6]5 GSZNR fel'!I123+'[6]5 GSZNR fel'!I129</f>
        <v>6942115</v>
      </c>
      <c r="J39" s="60"/>
    </row>
    <row r="40" spans="1:10" x14ac:dyDescent="0.25">
      <c r="A40" s="156" t="s">
        <v>20</v>
      </c>
      <c r="B40" s="157" t="s">
        <v>22</v>
      </c>
      <c r="C40" s="158">
        <v>0</v>
      </c>
      <c r="D40" s="158">
        <v>0</v>
      </c>
      <c r="E40" s="158">
        <f t="shared" si="0"/>
        <v>0</v>
      </c>
      <c r="F40" s="158">
        <v>0</v>
      </c>
      <c r="G40" s="158">
        <v>0</v>
      </c>
      <c r="H40" s="158">
        <f t="shared" si="1"/>
        <v>0</v>
      </c>
      <c r="I40" s="158">
        <v>0</v>
      </c>
    </row>
    <row r="41" spans="1:10" x14ac:dyDescent="0.25">
      <c r="A41" s="156" t="s">
        <v>23</v>
      </c>
      <c r="B41" s="157" t="s">
        <v>24</v>
      </c>
      <c r="C41" s="158">
        <f>+'[6]5 GSZNR fel'!E124</f>
        <v>0</v>
      </c>
      <c r="D41" s="158">
        <v>0</v>
      </c>
      <c r="E41" s="158">
        <f t="shared" si="0"/>
        <v>0</v>
      </c>
      <c r="F41" s="158">
        <f>+'[6]5 GSZNR fel'!H124</f>
        <v>4187865</v>
      </c>
      <c r="G41" s="158">
        <v>0</v>
      </c>
      <c r="H41" s="158">
        <f t="shared" si="1"/>
        <v>4187865</v>
      </c>
      <c r="I41" s="158">
        <f>+'[6]5 GSZNR fel'!I124</f>
        <v>0</v>
      </c>
    </row>
    <row r="42" spans="1:10" x14ac:dyDescent="0.25">
      <c r="A42" s="5" t="s">
        <v>27</v>
      </c>
      <c r="B42" s="6" t="s">
        <v>115</v>
      </c>
      <c r="C42" s="7">
        <f>SUM(C43:C45)</f>
        <v>1270000</v>
      </c>
      <c r="D42" s="7">
        <f>SUM(D43:D45)</f>
        <v>0</v>
      </c>
      <c r="E42" s="7">
        <f t="shared" si="0"/>
        <v>1270000</v>
      </c>
      <c r="F42" s="7">
        <f>SUM(F43:F45)</f>
        <v>1270000</v>
      </c>
      <c r="G42" s="7">
        <f>SUM(G43:G45)</f>
        <v>0</v>
      </c>
      <c r="H42" s="7">
        <f t="shared" si="1"/>
        <v>1270000</v>
      </c>
      <c r="I42" s="7">
        <f>SUM(I43:I45)</f>
        <v>698690</v>
      </c>
      <c r="J42" s="60"/>
    </row>
    <row r="43" spans="1:10" x14ac:dyDescent="0.25">
      <c r="A43" s="156" t="s">
        <v>11</v>
      </c>
      <c r="B43" s="157" t="s">
        <v>545</v>
      </c>
      <c r="C43" s="158">
        <f>'[6]5 GSZNR fel'!E125+'[6]5 GSZNR fel'!E130</f>
        <v>1270000</v>
      </c>
      <c r="D43" s="158">
        <f>'[6]5 GSZNR fel'!D125+'[6]5 GSZNR fel'!D130</f>
        <v>0</v>
      </c>
      <c r="E43" s="158">
        <f t="shared" si="0"/>
        <v>1270000</v>
      </c>
      <c r="F43" s="158">
        <f>'[6]5 GSZNR fel'!H125+'[6]5 GSZNR fel'!H130</f>
        <v>1270000</v>
      </c>
      <c r="G43" s="158">
        <f>'[6]5 GSZNR fel'!G125+'[6]5 GSZNR fel'!G130</f>
        <v>0</v>
      </c>
      <c r="H43" s="158">
        <f t="shared" si="1"/>
        <v>1270000</v>
      </c>
      <c r="I43" s="158">
        <f>'[6]5 GSZNR fel'!I125+'[6]5 GSZNR fel'!I130</f>
        <v>698690</v>
      </c>
    </row>
    <row r="44" spans="1:10" x14ac:dyDescent="0.25">
      <c r="A44" s="156" t="s">
        <v>14</v>
      </c>
      <c r="B44" s="157" t="s">
        <v>33</v>
      </c>
      <c r="C44" s="158">
        <v>0</v>
      </c>
      <c r="D44" s="158">
        <v>0</v>
      </c>
      <c r="E44" s="158">
        <f t="shared" si="0"/>
        <v>0</v>
      </c>
      <c r="F44" s="158">
        <v>0</v>
      </c>
      <c r="G44" s="158">
        <v>0</v>
      </c>
      <c r="H44" s="158">
        <f t="shared" si="1"/>
        <v>0</v>
      </c>
      <c r="I44" s="158">
        <v>0</v>
      </c>
    </row>
    <row r="45" spans="1:10" x14ac:dyDescent="0.25">
      <c r="A45" s="156" t="s">
        <v>17</v>
      </c>
      <c r="B45" s="157" t="s">
        <v>35</v>
      </c>
      <c r="C45" s="158">
        <f>'[6]5 GSZNR fel'!C130+'[6]5 GSZNR fel'!C135</f>
        <v>0</v>
      </c>
      <c r="D45" s="158">
        <v>0</v>
      </c>
      <c r="E45" s="158">
        <f t="shared" si="0"/>
        <v>0</v>
      </c>
      <c r="F45" s="158">
        <f>'[6]5 GSZNR fel'!F130+'[6]5 GSZNR fel'!F135</f>
        <v>0</v>
      </c>
      <c r="G45" s="158">
        <v>0</v>
      </c>
      <c r="H45" s="158">
        <f t="shared" si="1"/>
        <v>0</v>
      </c>
      <c r="I45" s="158">
        <v>0</v>
      </c>
    </row>
    <row r="46" spans="1:10" x14ac:dyDescent="0.25">
      <c r="A46" s="33"/>
      <c r="B46" s="34" t="s">
        <v>58</v>
      </c>
      <c r="C46" s="35">
        <f>C36+C42</f>
        <v>151368720</v>
      </c>
      <c r="D46" s="35">
        <f>D36+D42</f>
        <v>0</v>
      </c>
      <c r="E46" s="35">
        <f t="shared" si="0"/>
        <v>151368720</v>
      </c>
      <c r="F46" s="35">
        <f>F36+F42</f>
        <v>155571090</v>
      </c>
      <c r="G46" s="35">
        <f>G36+G42</f>
        <v>0</v>
      </c>
      <c r="H46" s="35">
        <f t="shared" si="1"/>
        <v>155571090</v>
      </c>
      <c r="I46" s="35">
        <f>+I42+I36</f>
        <v>48467081</v>
      </c>
      <c r="J46" s="60"/>
    </row>
    <row r="47" spans="1:10" x14ac:dyDescent="0.25">
      <c r="H47" s="60">
        <f>+H46-E46</f>
        <v>4202370</v>
      </c>
    </row>
  </sheetData>
  <mergeCells count="5">
    <mergeCell ref="A4:A5"/>
    <mergeCell ref="B4:B5"/>
    <mergeCell ref="C4:E4"/>
    <mergeCell ref="F4:H4"/>
    <mergeCell ref="I4:I5"/>
  </mergeCells>
  <printOptions horizontalCentered="1"/>
  <pageMargins left="0.19685039370078741" right="0.19685039370078741" top="0.98425196850393704" bottom="0.19685039370078741" header="0.31496062992125984" footer="0.31496062992125984"/>
  <pageSetup paperSize="9" scale="75" fitToWidth="0" fitToHeight="0" orientation="landscape" copies="2" r:id="rId1"/>
  <headerFooter>
    <oddHeader>&amp;L4/G.  melléklet a ......./2020. (.................) önkormányzati rendelethez&amp;C&amp;"-,Félkövér"&amp;16
A Szérűskert Bölcsőde 2020. évi bevételei és kiadásai jogcímenként és feladatonként</oddHeader>
    <oddFooter>&amp;C&amp;P&amp;R&amp;D,&amp;T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CF04-8D72-4D6B-BBD0-7570CC066C66}">
  <dimension ref="A1:J49"/>
  <sheetViews>
    <sheetView view="pageBreakPreview" topLeftCell="A20" zoomScale="95" zoomScaleNormal="100" zoomScaleSheetLayoutView="95" workbookViewId="0">
      <selection activeCell="J1" sqref="J1:J1048576"/>
    </sheetView>
  </sheetViews>
  <sheetFormatPr defaultRowHeight="15" x14ac:dyDescent="0.25"/>
  <cols>
    <col min="1" max="1" width="8.7109375" style="122" customWidth="1"/>
    <col min="2" max="2" width="48" customWidth="1"/>
    <col min="3" max="3" width="13.42578125" customWidth="1"/>
    <col min="5" max="5" width="12.140625" customWidth="1"/>
    <col min="6" max="6" width="13.42578125" customWidth="1"/>
    <col min="8" max="8" width="12.140625" customWidth="1"/>
    <col min="9" max="9" width="17" hidden="1" customWidth="1"/>
    <col min="10" max="10" width="11" bestFit="1" customWidth="1"/>
  </cols>
  <sheetData>
    <row r="1" spans="1:10" x14ac:dyDescent="0.25">
      <c r="E1" s="119"/>
      <c r="H1" s="119" t="s">
        <v>0</v>
      </c>
    </row>
    <row r="2" spans="1:10" ht="27.75" customHeight="1" x14ac:dyDescent="0.25">
      <c r="A2" s="154" t="s">
        <v>556</v>
      </c>
      <c r="B2" s="154" t="s">
        <v>557</v>
      </c>
      <c r="C2" s="283"/>
      <c r="D2" s="283"/>
      <c r="E2" s="283"/>
      <c r="F2" s="283"/>
      <c r="G2" s="283"/>
      <c r="H2" s="283"/>
      <c r="I2" s="283"/>
    </row>
    <row r="3" spans="1:10" x14ac:dyDescent="0.25">
      <c r="A3" s="154" t="s">
        <v>558</v>
      </c>
      <c r="B3" s="154" t="s">
        <v>567</v>
      </c>
      <c r="C3" s="155"/>
      <c r="D3" s="155"/>
      <c r="E3" s="155"/>
      <c r="F3" s="155"/>
      <c r="G3" s="155"/>
      <c r="H3" s="155"/>
      <c r="I3" s="155"/>
    </row>
    <row r="4" spans="1:10" ht="62.65" customHeight="1" x14ac:dyDescent="0.25">
      <c r="A4" s="418" t="s">
        <v>1</v>
      </c>
      <c r="B4" s="432" t="s">
        <v>128</v>
      </c>
      <c r="C4" s="419" t="s">
        <v>6</v>
      </c>
      <c r="D4" s="420"/>
      <c r="E4" s="421"/>
      <c r="F4" s="419" t="s">
        <v>59</v>
      </c>
      <c r="G4" s="420"/>
      <c r="H4" s="421"/>
      <c r="I4" s="418" t="s">
        <v>60</v>
      </c>
    </row>
    <row r="5" spans="1:10" ht="45" customHeight="1" x14ac:dyDescent="0.25">
      <c r="A5" s="418"/>
      <c r="B5" s="432"/>
      <c r="C5" s="4" t="s">
        <v>61</v>
      </c>
      <c r="D5" s="4" t="s">
        <v>62</v>
      </c>
      <c r="E5" s="4" t="s">
        <v>64</v>
      </c>
      <c r="F5" s="4" t="s">
        <v>61</v>
      </c>
      <c r="G5" s="4" t="s">
        <v>62</v>
      </c>
      <c r="H5" s="4" t="s">
        <v>64</v>
      </c>
      <c r="I5" s="418"/>
    </row>
    <row r="6" spans="1:10" x14ac:dyDescent="0.25">
      <c r="A6" s="171"/>
      <c r="B6" s="284" t="s">
        <v>360</v>
      </c>
      <c r="C6" s="288">
        <f>+'[6]5 GSZNR fel'!C132</f>
        <v>68.75</v>
      </c>
      <c r="D6" s="173">
        <v>0</v>
      </c>
      <c r="E6" s="289">
        <f t="shared" ref="E6:E46" si="0">SUM(C6:D6)</f>
        <v>68.75</v>
      </c>
      <c r="F6" s="288">
        <f>+'[6]5 GSZNR fel'!F132</f>
        <v>68.75</v>
      </c>
      <c r="G6" s="173">
        <v>0</v>
      </c>
      <c r="H6" s="289">
        <f t="shared" ref="H6:I46" si="1">SUM(F6:G6)</f>
        <v>68.75</v>
      </c>
    </row>
    <row r="7" spans="1:10" x14ac:dyDescent="0.25">
      <c r="A7" s="171"/>
      <c r="B7" s="284" t="s">
        <v>361</v>
      </c>
      <c r="C7" s="172">
        <v>0</v>
      </c>
      <c r="D7" s="172">
        <v>0</v>
      </c>
      <c r="E7" s="172">
        <f t="shared" si="0"/>
        <v>0</v>
      </c>
      <c r="F7" s="172">
        <v>0</v>
      </c>
      <c r="G7" s="172">
        <v>0</v>
      </c>
      <c r="H7" s="172">
        <f t="shared" si="1"/>
        <v>0</v>
      </c>
    </row>
    <row r="8" spans="1:10" x14ac:dyDescent="0.25">
      <c r="A8" s="5" t="s">
        <v>8</v>
      </c>
      <c r="B8" s="6" t="s">
        <v>9</v>
      </c>
      <c r="C8" s="7">
        <f>C9+C11+C20</f>
        <v>108000000</v>
      </c>
      <c r="D8" s="7">
        <f>D9+D11+D20</f>
        <v>0</v>
      </c>
      <c r="E8" s="7">
        <f t="shared" si="0"/>
        <v>108000000</v>
      </c>
      <c r="F8" s="7">
        <f>F9+F11+F20</f>
        <v>108000000</v>
      </c>
      <c r="G8" s="7">
        <f>G9+G11+G20</f>
        <v>0</v>
      </c>
      <c r="H8" s="7">
        <f t="shared" si="1"/>
        <v>108000000</v>
      </c>
      <c r="I8" s="7">
        <f>+I9+I11+I20</f>
        <v>43648108</v>
      </c>
      <c r="J8" s="60"/>
    </row>
    <row r="9" spans="1:10" x14ac:dyDescent="0.25">
      <c r="A9" s="156" t="s">
        <v>11</v>
      </c>
      <c r="B9" s="157" t="s">
        <v>12</v>
      </c>
      <c r="C9" s="158">
        <f>C10</f>
        <v>0</v>
      </c>
      <c r="D9" s="158">
        <f>D10</f>
        <v>0</v>
      </c>
      <c r="E9" s="158">
        <f t="shared" si="0"/>
        <v>0</v>
      </c>
      <c r="F9" s="158">
        <f>F10</f>
        <v>0</v>
      </c>
      <c r="G9" s="158">
        <f>G10</f>
        <v>0</v>
      </c>
      <c r="H9" s="158">
        <f t="shared" si="1"/>
        <v>0</v>
      </c>
      <c r="I9" s="158">
        <f t="shared" si="1"/>
        <v>0</v>
      </c>
      <c r="J9" s="60"/>
    </row>
    <row r="10" spans="1:10" ht="30" hidden="1" x14ac:dyDescent="0.25">
      <c r="A10" s="11"/>
      <c r="B10" s="82" t="s">
        <v>529</v>
      </c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13">
        <f t="shared" si="1"/>
        <v>0</v>
      </c>
    </row>
    <row r="11" spans="1:10" x14ac:dyDescent="0.25">
      <c r="A11" s="156" t="s">
        <v>14</v>
      </c>
      <c r="B11" s="157" t="s">
        <v>18</v>
      </c>
      <c r="C11" s="158">
        <f>C12+C13+C14+C15+C16+C17+C18+C19</f>
        <v>108000000</v>
      </c>
      <c r="D11" s="158">
        <f>D12+D13+D14+D15+D16+D17+D18+D19</f>
        <v>0</v>
      </c>
      <c r="E11" s="158">
        <f t="shared" si="0"/>
        <v>108000000</v>
      </c>
      <c r="F11" s="158">
        <f>F12+F13+F14+F15+F16+F17+F18+F19</f>
        <v>108000000</v>
      </c>
      <c r="G11" s="158">
        <f>G12+G13+G14+G15+G16+G17+G18+G19</f>
        <v>0</v>
      </c>
      <c r="H11" s="158">
        <f t="shared" si="1"/>
        <v>108000000</v>
      </c>
      <c r="I11" s="158">
        <f>SUM(I12:I19)</f>
        <v>43648108</v>
      </c>
      <c r="J11" s="60"/>
    </row>
    <row r="12" spans="1:10" x14ac:dyDescent="0.25">
      <c r="A12" s="11"/>
      <c r="B12" s="82" t="s">
        <v>532</v>
      </c>
      <c r="C12" s="13"/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  <c r="I12" s="13">
        <v>551180</v>
      </c>
    </row>
    <row r="13" spans="1:10" x14ac:dyDescent="0.25">
      <c r="A13" s="11"/>
      <c r="B13" s="82" t="s">
        <v>533</v>
      </c>
      <c r="C13" s="85">
        <v>19000000</v>
      </c>
      <c r="D13" s="85">
        <v>0</v>
      </c>
      <c r="E13" s="85">
        <f t="shared" si="0"/>
        <v>19000000</v>
      </c>
      <c r="F13" s="85">
        <v>19000000</v>
      </c>
      <c r="G13" s="85">
        <v>0</v>
      </c>
      <c r="H13" s="85">
        <f t="shared" si="1"/>
        <v>19000000</v>
      </c>
      <c r="I13" s="85">
        <f>6856638+120318</f>
        <v>6976956</v>
      </c>
    </row>
    <row r="14" spans="1:10" x14ac:dyDescent="0.25">
      <c r="A14" s="11"/>
      <c r="B14" s="82" t="s">
        <v>534</v>
      </c>
      <c r="C14" s="13"/>
      <c r="D14" s="13">
        <v>0</v>
      </c>
      <c r="E14" s="13">
        <f t="shared" si="0"/>
        <v>0</v>
      </c>
      <c r="F14" s="13"/>
      <c r="G14" s="13">
        <v>0</v>
      </c>
      <c r="H14" s="13">
        <f t="shared" si="1"/>
        <v>0</v>
      </c>
      <c r="I14" s="13"/>
    </row>
    <row r="15" spans="1:10" x14ac:dyDescent="0.25">
      <c r="A15" s="11"/>
      <c r="B15" s="82" t="s">
        <v>535</v>
      </c>
      <c r="C15" s="13">
        <v>61000000</v>
      </c>
      <c r="D15" s="13">
        <v>0</v>
      </c>
      <c r="E15" s="13">
        <f t="shared" si="0"/>
        <v>61000000</v>
      </c>
      <c r="F15" s="13">
        <v>61000000</v>
      </c>
      <c r="G15" s="13">
        <v>0</v>
      </c>
      <c r="H15" s="13">
        <f t="shared" si="1"/>
        <v>61000000</v>
      </c>
      <c r="I15" s="13">
        <v>21066619</v>
      </c>
    </row>
    <row r="16" spans="1:10" x14ac:dyDescent="0.25">
      <c r="A16" s="11"/>
      <c r="B16" s="82" t="s">
        <v>536</v>
      </c>
      <c r="C16" s="13">
        <v>18000000</v>
      </c>
      <c r="D16" s="13">
        <v>0</v>
      </c>
      <c r="E16" s="13">
        <f t="shared" si="0"/>
        <v>18000000</v>
      </c>
      <c r="F16" s="13">
        <v>18000000</v>
      </c>
      <c r="G16" s="13">
        <v>0</v>
      </c>
      <c r="H16" s="13">
        <f t="shared" si="1"/>
        <v>18000000</v>
      </c>
      <c r="I16" s="13">
        <v>5758902</v>
      </c>
    </row>
    <row r="17" spans="1:10" x14ac:dyDescent="0.25">
      <c r="A17" s="11"/>
      <c r="B17" s="82" t="s">
        <v>537</v>
      </c>
      <c r="C17" s="13">
        <v>10000000</v>
      </c>
      <c r="D17" s="13">
        <v>0</v>
      </c>
      <c r="E17" s="13">
        <f t="shared" si="0"/>
        <v>10000000</v>
      </c>
      <c r="F17" s="13">
        <v>10000000</v>
      </c>
      <c r="G17" s="13">
        <v>0</v>
      </c>
      <c r="H17" s="13">
        <f t="shared" si="1"/>
        <v>10000000</v>
      </c>
      <c r="I17" s="13">
        <v>8323000</v>
      </c>
    </row>
    <row r="18" spans="1:10" x14ac:dyDescent="0.25">
      <c r="A18" s="11"/>
      <c r="B18" s="82" t="s">
        <v>538</v>
      </c>
      <c r="C18" s="13"/>
      <c r="D18" s="13">
        <v>0</v>
      </c>
      <c r="E18" s="13">
        <f t="shared" si="0"/>
        <v>0</v>
      </c>
      <c r="F18" s="13"/>
      <c r="G18" s="13">
        <v>0</v>
      </c>
      <c r="H18" s="13">
        <f t="shared" si="1"/>
        <v>0</v>
      </c>
      <c r="I18" s="13"/>
    </row>
    <row r="19" spans="1:10" x14ac:dyDescent="0.25">
      <c r="A19" s="11"/>
      <c r="B19" s="82" t="s">
        <v>539</v>
      </c>
      <c r="C19" s="13"/>
      <c r="D19" s="13">
        <v>0</v>
      </c>
      <c r="E19" s="13">
        <f t="shared" si="0"/>
        <v>0</v>
      </c>
      <c r="F19" s="13">
        <v>0</v>
      </c>
      <c r="G19" s="13">
        <v>0</v>
      </c>
      <c r="H19" s="13">
        <f t="shared" si="1"/>
        <v>0</v>
      </c>
      <c r="I19" s="13">
        <f>56801+914650</f>
        <v>971451</v>
      </c>
    </row>
    <row r="20" spans="1:10" x14ac:dyDescent="0.25">
      <c r="A20" s="156" t="s">
        <v>17</v>
      </c>
      <c r="B20" s="157" t="s">
        <v>21</v>
      </c>
      <c r="C20" s="158">
        <f>SUM(C21:C21)</f>
        <v>0</v>
      </c>
      <c r="D20" s="158">
        <f>SUM(D21:D21)</f>
        <v>0</v>
      </c>
      <c r="E20" s="158">
        <f t="shared" si="0"/>
        <v>0</v>
      </c>
      <c r="F20" s="158">
        <f>SUM(F21:F21)</f>
        <v>0</v>
      </c>
      <c r="G20" s="158">
        <f>SUM(G21:G21)</f>
        <v>0</v>
      </c>
      <c r="H20" s="158">
        <f t="shared" si="1"/>
        <v>0</v>
      </c>
      <c r="I20" s="158">
        <f t="shared" si="1"/>
        <v>0</v>
      </c>
    </row>
    <row r="21" spans="1:10" hidden="1" x14ac:dyDescent="0.25">
      <c r="A21" s="11"/>
      <c r="B21" s="82" t="s">
        <v>540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  <c r="I21" s="13">
        <f t="shared" si="1"/>
        <v>0</v>
      </c>
    </row>
    <row r="22" spans="1:10" x14ac:dyDescent="0.25">
      <c r="A22" s="5" t="s">
        <v>27</v>
      </c>
      <c r="B22" s="6" t="s">
        <v>28</v>
      </c>
      <c r="C22" s="7">
        <f>C23+C25+C28</f>
        <v>0</v>
      </c>
      <c r="D22" s="7">
        <f>D23+D25+D28</f>
        <v>0</v>
      </c>
      <c r="E22" s="7">
        <f t="shared" si="0"/>
        <v>0</v>
      </c>
      <c r="F22" s="7">
        <f>F23+F25+F28</f>
        <v>0</v>
      </c>
      <c r="G22" s="7">
        <f>G23+G25+G28</f>
        <v>0</v>
      </c>
      <c r="H22" s="7">
        <f t="shared" si="1"/>
        <v>0</v>
      </c>
      <c r="I22" s="7">
        <v>0</v>
      </c>
      <c r="J22" s="60"/>
    </row>
    <row r="23" spans="1:10" hidden="1" x14ac:dyDescent="0.25">
      <c r="A23" s="156" t="s">
        <v>11</v>
      </c>
      <c r="B23" s="157" t="s">
        <v>30</v>
      </c>
      <c r="C23" s="158">
        <f>SUM(C24:C24)</f>
        <v>0</v>
      </c>
      <c r="D23" s="158">
        <f>SUM(D24:D24)</f>
        <v>0</v>
      </c>
      <c r="E23" s="158">
        <f t="shared" si="0"/>
        <v>0</v>
      </c>
      <c r="F23" s="158">
        <f>SUM(F24:F24)</f>
        <v>0</v>
      </c>
      <c r="G23" s="158">
        <f>SUM(G24:G24)</f>
        <v>0</v>
      </c>
      <c r="H23" s="158">
        <f t="shared" si="1"/>
        <v>0</v>
      </c>
      <c r="I23" s="158">
        <f t="shared" si="1"/>
        <v>0</v>
      </c>
    </row>
    <row r="24" spans="1:10" ht="30" hidden="1" x14ac:dyDescent="0.25">
      <c r="A24" s="11"/>
      <c r="B24" s="12" t="s">
        <v>541</v>
      </c>
      <c r="C24" s="13">
        <v>0</v>
      </c>
      <c r="D24" s="13">
        <v>0</v>
      </c>
      <c r="E24" s="13">
        <f t="shared" si="0"/>
        <v>0</v>
      </c>
      <c r="F24" s="13">
        <v>0</v>
      </c>
      <c r="G24" s="13">
        <v>0</v>
      </c>
      <c r="H24" s="13">
        <f t="shared" si="1"/>
        <v>0</v>
      </c>
      <c r="I24" s="13">
        <f t="shared" si="1"/>
        <v>0</v>
      </c>
    </row>
    <row r="25" spans="1:10" hidden="1" x14ac:dyDescent="0.25">
      <c r="A25" s="156" t="s">
        <v>14</v>
      </c>
      <c r="B25" s="157" t="s">
        <v>32</v>
      </c>
      <c r="C25" s="158">
        <f>SUM(C26:C27)</f>
        <v>0</v>
      </c>
      <c r="D25" s="158">
        <f>SUM(D26:D27)</f>
        <v>0</v>
      </c>
      <c r="E25" s="158">
        <f t="shared" si="0"/>
        <v>0</v>
      </c>
      <c r="F25" s="158">
        <f>SUM(F26:F27)</f>
        <v>0</v>
      </c>
      <c r="G25" s="158">
        <f>SUM(G26:G27)</f>
        <v>0</v>
      </c>
      <c r="H25" s="158">
        <f t="shared" si="1"/>
        <v>0</v>
      </c>
      <c r="I25" s="158">
        <f t="shared" si="1"/>
        <v>0</v>
      </c>
    </row>
    <row r="26" spans="1:10" hidden="1" x14ac:dyDescent="0.25">
      <c r="A26" s="11"/>
      <c r="B26" s="17" t="s">
        <v>89</v>
      </c>
      <c r="C26" s="13">
        <v>0</v>
      </c>
      <c r="D26" s="13">
        <v>0</v>
      </c>
      <c r="E26" s="13">
        <f t="shared" si="0"/>
        <v>0</v>
      </c>
      <c r="F26" s="13">
        <v>0</v>
      </c>
      <c r="G26" s="13">
        <v>0</v>
      </c>
      <c r="H26" s="13">
        <f t="shared" si="1"/>
        <v>0</v>
      </c>
      <c r="I26" s="13">
        <f t="shared" si="1"/>
        <v>0</v>
      </c>
    </row>
    <row r="27" spans="1:10" hidden="1" x14ac:dyDescent="0.25">
      <c r="A27" s="11"/>
      <c r="B27" s="17" t="s">
        <v>542</v>
      </c>
      <c r="C27" s="13">
        <v>0</v>
      </c>
      <c r="D27" s="13">
        <v>0</v>
      </c>
      <c r="E27" s="13">
        <f t="shared" si="0"/>
        <v>0</v>
      </c>
      <c r="F27" s="13">
        <v>0</v>
      </c>
      <c r="G27" s="13">
        <v>0</v>
      </c>
      <c r="H27" s="13">
        <f t="shared" si="1"/>
        <v>0</v>
      </c>
      <c r="I27" s="13">
        <f t="shared" si="1"/>
        <v>0</v>
      </c>
    </row>
    <row r="28" spans="1:10" hidden="1" x14ac:dyDescent="0.25">
      <c r="A28" s="156" t="s">
        <v>17</v>
      </c>
      <c r="B28" s="157" t="s">
        <v>34</v>
      </c>
      <c r="C28" s="158">
        <f>SUM(C29:C29)</f>
        <v>0</v>
      </c>
      <c r="D28" s="158">
        <f>SUM(D29:D29)</f>
        <v>0</v>
      </c>
      <c r="E28" s="158">
        <f t="shared" si="0"/>
        <v>0</v>
      </c>
      <c r="F28" s="158">
        <f>SUM(F29:F29)</f>
        <v>0</v>
      </c>
      <c r="G28" s="158">
        <f>SUM(G29:G29)</f>
        <v>0</v>
      </c>
      <c r="H28" s="158">
        <f t="shared" si="1"/>
        <v>0</v>
      </c>
      <c r="I28" s="158">
        <f t="shared" si="1"/>
        <v>0</v>
      </c>
    </row>
    <row r="29" spans="1:10" hidden="1" x14ac:dyDescent="0.25">
      <c r="A29" s="11"/>
      <c r="B29" s="17" t="s">
        <v>543</v>
      </c>
      <c r="C29" s="13">
        <v>0</v>
      </c>
      <c r="D29" s="13">
        <v>0</v>
      </c>
      <c r="E29" s="13">
        <f t="shared" si="0"/>
        <v>0</v>
      </c>
      <c r="F29" s="13">
        <v>0</v>
      </c>
      <c r="G29" s="13">
        <v>0</v>
      </c>
      <c r="H29" s="13">
        <f t="shared" si="1"/>
        <v>0</v>
      </c>
      <c r="I29" s="13">
        <f t="shared" si="1"/>
        <v>0</v>
      </c>
    </row>
    <row r="30" spans="1:10" x14ac:dyDescent="0.25">
      <c r="A30" s="3"/>
      <c r="B30" s="24" t="s">
        <v>38</v>
      </c>
      <c r="C30" s="26">
        <f>C22+C8</f>
        <v>108000000</v>
      </c>
      <c r="D30" s="26">
        <f>D22+D8</f>
        <v>0</v>
      </c>
      <c r="E30" s="26">
        <f t="shared" si="0"/>
        <v>108000000</v>
      </c>
      <c r="F30" s="26">
        <f>F22+F8</f>
        <v>108000000</v>
      </c>
      <c r="G30" s="26">
        <f>G22+G8</f>
        <v>0</v>
      </c>
      <c r="H30" s="26">
        <f t="shared" si="1"/>
        <v>108000000</v>
      </c>
      <c r="I30" s="26">
        <f>+I22+I8</f>
        <v>43648108</v>
      </c>
      <c r="J30" s="60"/>
    </row>
    <row r="31" spans="1:10" x14ac:dyDescent="0.25">
      <c r="A31" s="5" t="s">
        <v>42</v>
      </c>
      <c r="B31" s="6" t="s">
        <v>43</v>
      </c>
      <c r="C31" s="7">
        <f>C32</f>
        <v>695390775</v>
      </c>
      <c r="D31" s="7">
        <f>D32</f>
        <v>0</v>
      </c>
      <c r="E31" s="7">
        <f t="shared" si="0"/>
        <v>695390775</v>
      </c>
      <c r="F31" s="7">
        <f>F32</f>
        <v>734646737</v>
      </c>
      <c r="G31" s="7">
        <f>G32</f>
        <v>0</v>
      </c>
      <c r="H31" s="7">
        <f t="shared" si="1"/>
        <v>734646737</v>
      </c>
      <c r="I31" s="7">
        <f>+I32</f>
        <v>256407093</v>
      </c>
      <c r="J31" s="60"/>
    </row>
    <row r="32" spans="1:10" x14ac:dyDescent="0.25">
      <c r="A32" s="156" t="s">
        <v>11</v>
      </c>
      <c r="B32" s="157" t="s">
        <v>53</v>
      </c>
      <c r="C32" s="158">
        <f>SUM(C33:C34)</f>
        <v>695390775</v>
      </c>
      <c r="D32" s="158">
        <f>SUM(D33:D34)</f>
        <v>0</v>
      </c>
      <c r="E32" s="158">
        <f t="shared" si="0"/>
        <v>695390775</v>
      </c>
      <c r="F32" s="158">
        <f>SUM(F33:F34)</f>
        <v>734646737</v>
      </c>
      <c r="G32" s="158">
        <f>SUM(G33:G34)</f>
        <v>0</v>
      </c>
      <c r="H32" s="158">
        <f t="shared" si="1"/>
        <v>734646737</v>
      </c>
      <c r="I32" s="158">
        <f>+I33+I34</f>
        <v>256407093</v>
      </c>
      <c r="J32" s="60"/>
    </row>
    <row r="33" spans="1:10" x14ac:dyDescent="0.25">
      <c r="A33" s="11"/>
      <c r="B33" s="17" t="s">
        <v>514</v>
      </c>
      <c r="C33" s="13"/>
      <c r="D33" s="13">
        <v>0</v>
      </c>
      <c r="E33" s="13">
        <f t="shared" si="0"/>
        <v>0</v>
      </c>
      <c r="F33" s="13">
        <v>39255962</v>
      </c>
      <c r="G33" s="13">
        <v>0</v>
      </c>
      <c r="H33" s="13">
        <f t="shared" si="1"/>
        <v>39255962</v>
      </c>
      <c r="I33" s="13">
        <v>0</v>
      </c>
    </row>
    <row r="34" spans="1:10" x14ac:dyDescent="0.25">
      <c r="A34" s="11"/>
      <c r="B34" s="17" t="s">
        <v>544</v>
      </c>
      <c r="C34" s="13">
        <f>C46-C30-C33</f>
        <v>695390775</v>
      </c>
      <c r="D34" s="13">
        <f>D46-D30</f>
        <v>0</v>
      </c>
      <c r="E34" s="13">
        <f t="shared" si="0"/>
        <v>695390775</v>
      </c>
      <c r="F34" s="13">
        <f>F46-F30-F33</f>
        <v>695390775</v>
      </c>
      <c r="G34" s="13">
        <f>G46-G30</f>
        <v>0</v>
      </c>
      <c r="H34" s="13">
        <f t="shared" si="1"/>
        <v>695390775</v>
      </c>
      <c r="I34" s="13">
        <v>256407093</v>
      </c>
    </row>
    <row r="35" spans="1:10" x14ac:dyDescent="0.25">
      <c r="A35" s="33"/>
      <c r="B35" s="34" t="s">
        <v>57</v>
      </c>
      <c r="C35" s="35">
        <f>C31+C22+C8</f>
        <v>803390775</v>
      </c>
      <c r="D35" s="35">
        <f>D31+D22+D8</f>
        <v>0</v>
      </c>
      <c r="E35" s="35">
        <f t="shared" si="0"/>
        <v>803390775</v>
      </c>
      <c r="F35" s="35">
        <f>F31+F22+F8</f>
        <v>842646737</v>
      </c>
      <c r="G35" s="35">
        <f>G31+G22+G8</f>
        <v>0</v>
      </c>
      <c r="H35" s="35">
        <f t="shared" si="1"/>
        <v>842646737</v>
      </c>
      <c r="I35" s="35">
        <f>+I8+I22+I31</f>
        <v>300055201</v>
      </c>
      <c r="J35" s="60"/>
    </row>
    <row r="36" spans="1:10" x14ac:dyDescent="0.25">
      <c r="A36" s="5" t="s">
        <v>8</v>
      </c>
      <c r="B36" s="6" t="s">
        <v>109</v>
      </c>
      <c r="C36" s="7">
        <f>SUM(C37:C41)</f>
        <v>802120775</v>
      </c>
      <c r="D36" s="7">
        <f>SUM(D37:D41)</f>
        <v>0</v>
      </c>
      <c r="E36" s="7">
        <f t="shared" si="0"/>
        <v>802120775</v>
      </c>
      <c r="F36" s="7">
        <f>SUM(F37:F41)</f>
        <v>838142281</v>
      </c>
      <c r="G36" s="7">
        <f>SUM(G37:G41)</f>
        <v>0</v>
      </c>
      <c r="H36" s="7">
        <f t="shared" si="1"/>
        <v>838142281</v>
      </c>
      <c r="I36" s="7">
        <f>+I37+I38+I39+I40+I41</f>
        <v>270417208</v>
      </c>
      <c r="J36" s="60"/>
    </row>
    <row r="37" spans="1:10" x14ac:dyDescent="0.25">
      <c r="A37" s="156" t="s">
        <v>11</v>
      </c>
      <c r="B37" s="157" t="s">
        <v>13</v>
      </c>
      <c r="C37" s="158">
        <f>'[6]5 GSZNR fel'!E192</f>
        <v>264191250</v>
      </c>
      <c r="D37" s="158">
        <v>0</v>
      </c>
      <c r="E37" s="158">
        <f t="shared" si="0"/>
        <v>264191250</v>
      </c>
      <c r="F37" s="158">
        <f>'[6]5 GSZNR fel'!H192</f>
        <v>264191250</v>
      </c>
      <c r="G37" s="158">
        <v>0</v>
      </c>
      <c r="H37" s="158">
        <f t="shared" si="1"/>
        <v>264191250</v>
      </c>
      <c r="I37" s="158">
        <f>'[6]5 GSZNR fel'!I192</f>
        <v>89749715</v>
      </c>
    </row>
    <row r="38" spans="1:10" x14ac:dyDescent="0.25">
      <c r="A38" s="156" t="s">
        <v>14</v>
      </c>
      <c r="B38" s="157" t="s">
        <v>16</v>
      </c>
      <c r="C38" s="158">
        <f>'[6]5 GSZNR fel'!E193</f>
        <v>53749525</v>
      </c>
      <c r="D38" s="158">
        <v>0</v>
      </c>
      <c r="E38" s="158">
        <f t="shared" si="0"/>
        <v>53749525</v>
      </c>
      <c r="F38" s="158">
        <f>'[6]5 GSZNR fel'!H193</f>
        <v>53749525</v>
      </c>
      <c r="G38" s="158">
        <v>0</v>
      </c>
      <c r="H38" s="158">
        <f t="shared" si="1"/>
        <v>53749525</v>
      </c>
      <c r="I38" s="158">
        <f>'[6]5 GSZNR fel'!I193</f>
        <v>18295854</v>
      </c>
    </row>
    <row r="39" spans="1:10" x14ac:dyDescent="0.25">
      <c r="A39" s="156" t="s">
        <v>17</v>
      </c>
      <c r="B39" s="157" t="s">
        <v>19</v>
      </c>
      <c r="C39" s="158">
        <f>'[6]5 GSZNR fel'!E194</f>
        <v>484180000</v>
      </c>
      <c r="D39" s="158">
        <v>0</v>
      </c>
      <c r="E39" s="158">
        <f t="shared" si="0"/>
        <v>484180000</v>
      </c>
      <c r="F39" s="158">
        <f>'[6]5 GSZNR fel'!H194</f>
        <v>488013052</v>
      </c>
      <c r="G39" s="158">
        <v>0</v>
      </c>
      <c r="H39" s="158">
        <f t="shared" si="1"/>
        <v>488013052</v>
      </c>
      <c r="I39" s="158">
        <f>'[6]5 GSZNR fel'!I194</f>
        <v>162371639</v>
      </c>
      <c r="J39" s="60"/>
    </row>
    <row r="40" spans="1:10" x14ac:dyDescent="0.25">
      <c r="A40" s="156" t="s">
        <v>20</v>
      </c>
      <c r="B40" s="157" t="s">
        <v>22</v>
      </c>
      <c r="C40" s="158">
        <v>0</v>
      </c>
      <c r="D40" s="158">
        <v>0</v>
      </c>
      <c r="E40" s="158">
        <f t="shared" si="0"/>
        <v>0</v>
      </c>
      <c r="F40" s="158">
        <v>0</v>
      </c>
      <c r="G40" s="158">
        <v>0</v>
      </c>
      <c r="H40" s="158">
        <f t="shared" si="1"/>
        <v>0</v>
      </c>
      <c r="I40" s="158">
        <v>0</v>
      </c>
    </row>
    <row r="41" spans="1:10" x14ac:dyDescent="0.25">
      <c r="A41" s="156" t="s">
        <v>23</v>
      </c>
      <c r="B41" s="157" t="s">
        <v>24</v>
      </c>
      <c r="C41" s="158">
        <f>'[6]5 GSZNR fel'!E195</f>
        <v>0</v>
      </c>
      <c r="D41" s="158">
        <v>0</v>
      </c>
      <c r="E41" s="158">
        <f t="shared" si="0"/>
        <v>0</v>
      </c>
      <c r="F41" s="158">
        <f>'[6]5 GSZNR fel'!H195</f>
        <v>32188454</v>
      </c>
      <c r="G41" s="158">
        <v>0</v>
      </c>
      <c r="H41" s="158">
        <f t="shared" si="1"/>
        <v>32188454</v>
      </c>
      <c r="I41" s="158">
        <f>'[6]5 GSZNR fel'!I195</f>
        <v>0</v>
      </c>
      <c r="J41" s="60"/>
    </row>
    <row r="42" spans="1:10" x14ac:dyDescent="0.25">
      <c r="A42" s="5" t="s">
        <v>27</v>
      </c>
      <c r="B42" s="6" t="s">
        <v>115</v>
      </c>
      <c r="C42" s="7">
        <f>SUM(C43:C45)</f>
        <v>1270000</v>
      </c>
      <c r="D42" s="7">
        <f>SUM(D43:D45)</f>
        <v>0</v>
      </c>
      <c r="E42" s="7">
        <f t="shared" si="0"/>
        <v>1270000</v>
      </c>
      <c r="F42" s="7">
        <f>SUM(F43:F45)</f>
        <v>4504456</v>
      </c>
      <c r="G42" s="7">
        <f>SUM(G43:G45)</f>
        <v>0</v>
      </c>
      <c r="H42" s="7">
        <f t="shared" si="1"/>
        <v>4504456</v>
      </c>
      <c r="I42" s="7">
        <f>SUM(I43:I45)</f>
        <v>3471356</v>
      </c>
      <c r="J42" s="60"/>
    </row>
    <row r="43" spans="1:10" x14ac:dyDescent="0.25">
      <c r="A43" s="156" t="s">
        <v>11</v>
      </c>
      <c r="B43" s="157" t="s">
        <v>545</v>
      </c>
      <c r="C43" s="158">
        <f>'[6]5 GSZNR fel'!E196</f>
        <v>1270000</v>
      </c>
      <c r="D43" s="158"/>
      <c r="E43" s="158">
        <f t="shared" si="0"/>
        <v>1270000</v>
      </c>
      <c r="F43" s="158">
        <f>'[6]5 GSZNR fel'!H196</f>
        <v>2690610</v>
      </c>
      <c r="G43" s="158"/>
      <c r="H43" s="158">
        <f t="shared" si="1"/>
        <v>2690610</v>
      </c>
      <c r="I43" s="158">
        <f>'[6]5 GSZNR fel'!I196</f>
        <v>2746948</v>
      </c>
      <c r="J43" s="60"/>
    </row>
    <row r="44" spans="1:10" x14ac:dyDescent="0.25">
      <c r="A44" s="156" t="s">
        <v>14</v>
      </c>
      <c r="B44" s="157" t="s">
        <v>33</v>
      </c>
      <c r="C44" s="158"/>
      <c r="D44" s="158"/>
      <c r="E44" s="158">
        <f t="shared" si="0"/>
        <v>0</v>
      </c>
      <c r="F44" s="158">
        <f>+'[6]5 GSZNR fel'!H197</f>
        <v>1813846</v>
      </c>
      <c r="G44" s="158"/>
      <c r="H44" s="158">
        <f t="shared" si="1"/>
        <v>1813846</v>
      </c>
      <c r="I44" s="158">
        <f>+'[6]5 GSZNR fel'!I197</f>
        <v>724408</v>
      </c>
      <c r="J44" s="60"/>
    </row>
    <row r="45" spans="1:10" x14ac:dyDescent="0.25">
      <c r="A45" s="156" t="s">
        <v>17</v>
      </c>
      <c r="B45" s="157" t="s">
        <v>35</v>
      </c>
      <c r="C45" s="158">
        <v>0</v>
      </c>
      <c r="D45" s="158">
        <v>0</v>
      </c>
      <c r="E45" s="158">
        <f t="shared" si="0"/>
        <v>0</v>
      </c>
      <c r="F45" s="158">
        <v>0</v>
      </c>
      <c r="G45" s="158">
        <v>0</v>
      </c>
      <c r="H45" s="158">
        <f t="shared" si="1"/>
        <v>0</v>
      </c>
      <c r="I45" s="158">
        <v>0</v>
      </c>
    </row>
    <row r="46" spans="1:10" x14ac:dyDescent="0.25">
      <c r="A46" s="33"/>
      <c r="B46" s="34" t="s">
        <v>58</v>
      </c>
      <c r="C46" s="35">
        <f>C36+C42</f>
        <v>803390775</v>
      </c>
      <c r="D46" s="35">
        <f>D36+D42</f>
        <v>0</v>
      </c>
      <c r="E46" s="35">
        <f t="shared" si="0"/>
        <v>803390775</v>
      </c>
      <c r="F46" s="35">
        <f>F36+F42</f>
        <v>842646737</v>
      </c>
      <c r="G46" s="35">
        <f>G36+G42</f>
        <v>0</v>
      </c>
      <c r="H46" s="35">
        <f t="shared" si="1"/>
        <v>842646737</v>
      </c>
      <c r="I46" s="35">
        <f>+I42+I36</f>
        <v>273888564</v>
      </c>
      <c r="J46" s="60"/>
    </row>
    <row r="47" spans="1:10" x14ac:dyDescent="0.25">
      <c r="H47" s="60">
        <f>+H46-E46</f>
        <v>39255962</v>
      </c>
    </row>
    <row r="48" spans="1:10" x14ac:dyDescent="0.25">
      <c r="H48" s="60"/>
    </row>
    <row r="49" spans="8:8" x14ac:dyDescent="0.25">
      <c r="H49" s="60"/>
    </row>
  </sheetData>
  <mergeCells count="5">
    <mergeCell ref="A4:A5"/>
    <mergeCell ref="B4:B5"/>
    <mergeCell ref="C4:E4"/>
    <mergeCell ref="F4:H4"/>
    <mergeCell ref="I4:I5"/>
  </mergeCells>
  <printOptions horizontalCentered="1"/>
  <pageMargins left="0.19685039370078741" right="0.19685039370078741" top="0.76" bottom="0.19685039370078741" header="0.31496062992125984" footer="0.31496062992125984"/>
  <pageSetup paperSize="9" scale="80" fitToWidth="0" fitToHeight="0" orientation="landscape" copies="4" r:id="rId1"/>
  <headerFooter>
    <oddHeader>&amp;L4/H.  melléklet a ......./2020. (.................) önkormányzati rendelethez&amp;C&amp;"-,Félkövér"&amp;16
A Törökbálinti Városgondnokság 2020. évi bevételei és kiadásai jogcímenként és feladatonként</oddHeader>
    <oddFooter>&amp;C&amp;P&amp;R&amp;D,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B88B8-8B6A-4D4F-BB3C-FC9F9B8A586F}">
  <dimension ref="A1:L67"/>
  <sheetViews>
    <sheetView view="pageBreakPreview" topLeftCell="A34" zoomScaleNormal="100" zoomScaleSheetLayoutView="100" workbookViewId="0">
      <selection activeCell="M50" sqref="M50"/>
    </sheetView>
  </sheetViews>
  <sheetFormatPr defaultRowHeight="15" x14ac:dyDescent="0.25"/>
  <cols>
    <col min="1" max="1" width="5.7109375" style="67" customWidth="1"/>
    <col min="2" max="2" width="42.28515625" style="68" customWidth="1"/>
    <col min="3" max="3" width="12.42578125" style="68" customWidth="1"/>
    <col min="4" max="4" width="10.28515625" style="68" customWidth="1"/>
    <col min="5" max="5" width="9.7109375" style="68" customWidth="1"/>
    <col min="6" max="6" width="14.42578125" style="68" customWidth="1"/>
    <col min="7" max="7" width="12.42578125" style="68" customWidth="1"/>
    <col min="8" max="8" width="12.85546875" style="68" customWidth="1"/>
    <col min="9" max="9" width="9.7109375" style="68" customWidth="1"/>
    <col min="10" max="10" width="14.42578125" style="68" customWidth="1"/>
    <col min="11" max="11" width="19.42578125" style="68" hidden="1" customWidth="1"/>
    <col min="12" max="12" width="11.5703125" style="68" bestFit="1" customWidth="1"/>
    <col min="13" max="16384" width="9.140625" style="68"/>
  </cols>
  <sheetData>
    <row r="1" spans="1:12" x14ac:dyDescent="0.25">
      <c r="F1" s="69"/>
      <c r="J1" s="70" t="s">
        <v>0</v>
      </c>
    </row>
    <row r="2" spans="1:12" ht="30.4" customHeight="1" x14ac:dyDescent="0.25">
      <c r="A2" s="418" t="s">
        <v>1</v>
      </c>
      <c r="B2" s="418" t="s">
        <v>2</v>
      </c>
      <c r="C2" s="419" t="s">
        <v>6</v>
      </c>
      <c r="D2" s="420"/>
      <c r="E2" s="420"/>
      <c r="F2" s="421"/>
      <c r="G2" s="419" t="s">
        <v>59</v>
      </c>
      <c r="H2" s="420"/>
      <c r="I2" s="420"/>
      <c r="J2" s="421"/>
      <c r="K2" s="422" t="s">
        <v>60</v>
      </c>
    </row>
    <row r="3" spans="1:12" ht="45" x14ac:dyDescent="0.25">
      <c r="A3" s="418"/>
      <c r="B3" s="418"/>
      <c r="C3" s="4" t="s">
        <v>61</v>
      </c>
      <c r="D3" s="71" t="s">
        <v>62</v>
      </c>
      <c r="E3" s="71" t="s">
        <v>63</v>
      </c>
      <c r="F3" s="71" t="s">
        <v>64</v>
      </c>
      <c r="G3" s="4" t="s">
        <v>61</v>
      </c>
      <c r="H3" s="71" t="s">
        <v>62</v>
      </c>
      <c r="I3" s="71" t="s">
        <v>63</v>
      </c>
      <c r="J3" s="71" t="s">
        <v>64</v>
      </c>
      <c r="K3" s="423"/>
    </row>
    <row r="4" spans="1:12" x14ac:dyDescent="0.25">
      <c r="A4" s="72" t="s">
        <v>8</v>
      </c>
      <c r="B4" s="73" t="s">
        <v>9</v>
      </c>
      <c r="C4" s="74">
        <f>C5+C10+C18+C27</f>
        <v>4530056291</v>
      </c>
      <c r="D4" s="75">
        <f>D5+D10+D18+D27</f>
        <v>49236960</v>
      </c>
      <c r="E4" s="75">
        <f>E5+E10+E18+E27</f>
        <v>0</v>
      </c>
      <c r="F4" s="75">
        <f>SUM(C4:E4)</f>
        <v>4579293251</v>
      </c>
      <c r="G4" s="74">
        <f>G5+G10+G18+G27</f>
        <v>4386487064</v>
      </c>
      <c r="H4" s="75">
        <f>H5+H10+H18+H27</f>
        <v>227886960</v>
      </c>
      <c r="I4" s="75">
        <f>I5+I10+I18+I27</f>
        <v>0</v>
      </c>
      <c r="J4" s="75">
        <f>SUM(G4:I4)</f>
        <v>4614374024</v>
      </c>
      <c r="K4" s="75">
        <f>+K5+K10+K18+K27</f>
        <v>2078448576</v>
      </c>
      <c r="L4" s="76">
        <f>+J4-F4</f>
        <v>35080773</v>
      </c>
    </row>
    <row r="5" spans="1:12" ht="30" x14ac:dyDescent="0.25">
      <c r="A5" s="77" t="s">
        <v>11</v>
      </c>
      <c r="B5" s="78" t="s">
        <v>12</v>
      </c>
      <c r="C5" s="79">
        <f>SUM(C6:C9)</f>
        <v>662169291</v>
      </c>
      <c r="D5" s="80">
        <f>SUM(D6:D9)</f>
        <v>12600000</v>
      </c>
      <c r="E5" s="80">
        <f>SUM(E6:E9)</f>
        <v>0</v>
      </c>
      <c r="F5" s="80">
        <f t="shared" ref="F5:F61" si="0">SUM(C5:E5)</f>
        <v>674769291</v>
      </c>
      <c r="G5" s="79">
        <f>SUM(G6:G9)</f>
        <v>774800064</v>
      </c>
      <c r="H5" s="80">
        <f>SUM(H6:H9)</f>
        <v>12600000</v>
      </c>
      <c r="I5" s="80">
        <f>SUM(I6:I9)</f>
        <v>0</v>
      </c>
      <c r="J5" s="80">
        <f t="shared" ref="J5:K44" si="1">SUM(G5:I5)</f>
        <v>787400064</v>
      </c>
      <c r="K5" s="80">
        <f>SUM(K6:K9)</f>
        <v>328389438</v>
      </c>
      <c r="L5" s="76">
        <f>+J5-F5</f>
        <v>112630773</v>
      </c>
    </row>
    <row r="6" spans="1:12" s="84" customFormat="1" x14ac:dyDescent="0.25">
      <c r="A6" s="81"/>
      <c r="B6" s="82" t="s">
        <v>65</v>
      </c>
      <c r="C6" s="83">
        <f>'[6]2A Önk bev'!C7</f>
        <v>622169291</v>
      </c>
      <c r="D6" s="83">
        <f>'[6]2A Önk bev'!D7</f>
        <v>12600000</v>
      </c>
      <c r="E6" s="83">
        <f>'[6]2A Önk bev'!E7</f>
        <v>0</v>
      </c>
      <c r="F6" s="83">
        <f t="shared" si="0"/>
        <v>634769291</v>
      </c>
      <c r="G6" s="83">
        <f>'[6]2A Önk bev'!G7</f>
        <v>633894289</v>
      </c>
      <c r="H6" s="83">
        <f>'[6]2A Önk bev'!H7</f>
        <v>12600000</v>
      </c>
      <c r="I6" s="83">
        <f>'[6]2A Önk bev'!I7</f>
        <v>0</v>
      </c>
      <c r="J6" s="83">
        <f t="shared" si="1"/>
        <v>646494289</v>
      </c>
      <c r="K6" s="83">
        <f>+'[6]2A Önk bev'!K7</f>
        <v>306010885</v>
      </c>
      <c r="L6" s="76">
        <f>+J6-F6</f>
        <v>11724998</v>
      </c>
    </row>
    <row r="7" spans="1:12" x14ac:dyDescent="0.25">
      <c r="A7" s="81"/>
      <c r="B7" s="82" t="s">
        <v>66</v>
      </c>
      <c r="C7" s="85">
        <f>'[6]2A Önk bev'!C16</f>
        <v>0</v>
      </c>
      <c r="D7" s="83">
        <f>'[6]2A Önk bev'!D16</f>
        <v>0</v>
      </c>
      <c r="E7" s="83">
        <f>'[6]2A Önk bev'!E16</f>
        <v>0</v>
      </c>
      <c r="F7" s="83">
        <f t="shared" si="0"/>
        <v>0</v>
      </c>
      <c r="G7" s="85">
        <f>'[6]2A Önk bev'!G16</f>
        <v>100905775</v>
      </c>
      <c r="H7" s="83">
        <f>'[6]2A Önk bev'!H16</f>
        <v>0</v>
      </c>
      <c r="I7" s="83">
        <f>'[6]2A Önk bev'!I16</f>
        <v>0</v>
      </c>
      <c r="J7" s="83">
        <f t="shared" si="1"/>
        <v>100905775</v>
      </c>
      <c r="K7" s="83">
        <f>+'[6]2A Önk bev'!K16</f>
        <v>0</v>
      </c>
      <c r="L7" s="76">
        <f>+J7-F7</f>
        <v>100905775</v>
      </c>
    </row>
    <row r="8" spans="1:12" ht="30" x14ac:dyDescent="0.25">
      <c r="A8" s="81"/>
      <c r="B8" s="82" t="s">
        <v>67</v>
      </c>
      <c r="C8" s="85">
        <f>'[6]2A Önk bev'!C17</f>
        <v>0</v>
      </c>
      <c r="D8" s="83">
        <f>'[6]2A Önk bev'!D17</f>
        <v>0</v>
      </c>
      <c r="E8" s="83">
        <f>'[6]2A Önk bev'!E17</f>
        <v>0</v>
      </c>
      <c r="F8" s="83">
        <f t="shared" si="0"/>
        <v>0</v>
      </c>
      <c r="G8" s="85">
        <f>'[6]2A Önk bev'!G17</f>
        <v>0</v>
      </c>
      <c r="H8" s="83">
        <f>'[6]2A Önk bev'!H17</f>
        <v>0</v>
      </c>
      <c r="I8" s="83">
        <f>'[6]2A Önk bev'!I17</f>
        <v>0</v>
      </c>
      <c r="J8" s="83">
        <f t="shared" si="1"/>
        <v>0</v>
      </c>
      <c r="K8" s="83">
        <f>+'[6]2A Önk bev'!K17</f>
        <v>0</v>
      </c>
    </row>
    <row r="9" spans="1:12" ht="30" x14ac:dyDescent="0.25">
      <c r="A9" s="81"/>
      <c r="B9" s="82" t="s">
        <v>68</v>
      </c>
      <c r="C9" s="85">
        <f>'[6]2A Önk bev'!C18</f>
        <v>40000000</v>
      </c>
      <c r="D9" s="83">
        <f>'[6]2A Önk bev'!D18</f>
        <v>0</v>
      </c>
      <c r="E9" s="83">
        <f>'[6]2A Önk bev'!E18</f>
        <v>0</v>
      </c>
      <c r="F9" s="83">
        <f t="shared" si="0"/>
        <v>40000000</v>
      </c>
      <c r="G9" s="85">
        <f>'[6]2A Önk bev'!G18</f>
        <v>40000000</v>
      </c>
      <c r="H9" s="83">
        <f>'[6]2A Önk bev'!H18</f>
        <v>0</v>
      </c>
      <c r="I9" s="83">
        <f>'[6]2A Önk bev'!I18</f>
        <v>0</v>
      </c>
      <c r="J9" s="83">
        <f t="shared" si="1"/>
        <v>40000000</v>
      </c>
      <c r="K9" s="83">
        <f>+'[6]2A Önk bev'!K18</f>
        <v>22378553</v>
      </c>
    </row>
    <row r="10" spans="1:12" x14ac:dyDescent="0.25">
      <c r="A10" s="77" t="s">
        <v>14</v>
      </c>
      <c r="B10" s="78" t="s">
        <v>15</v>
      </c>
      <c r="C10" s="79">
        <f>SUM(C12:C15)</f>
        <v>3647000000</v>
      </c>
      <c r="D10" s="80">
        <f>SUM(D12:D15)</f>
        <v>0</v>
      </c>
      <c r="E10" s="80">
        <f>SUM(E12:E15)</f>
        <v>0</v>
      </c>
      <c r="F10" s="80">
        <f t="shared" si="0"/>
        <v>3647000000</v>
      </c>
      <c r="G10" s="79">
        <f>SUM(G12:G15)</f>
        <v>3569450000</v>
      </c>
      <c r="H10" s="80">
        <f>SUM(H12:H15)</f>
        <v>0</v>
      </c>
      <c r="I10" s="80">
        <f>SUM(I12:I15)</f>
        <v>0</v>
      </c>
      <c r="J10" s="80">
        <f t="shared" si="1"/>
        <v>3569450000</v>
      </c>
      <c r="K10" s="80">
        <f>+SUM(K11:K15)</f>
        <v>1638944853</v>
      </c>
      <c r="L10" s="76">
        <f>+J10-F10</f>
        <v>-77550000</v>
      </c>
    </row>
    <row r="11" spans="1:12" x14ac:dyDescent="0.25">
      <c r="A11" s="81"/>
      <c r="B11" s="82" t="s">
        <v>69</v>
      </c>
      <c r="C11" s="86"/>
      <c r="D11" s="86"/>
      <c r="E11" s="86"/>
      <c r="F11" s="86"/>
      <c r="G11" s="86"/>
      <c r="H11" s="86"/>
      <c r="I11" s="86"/>
      <c r="J11" s="86"/>
      <c r="K11" s="13">
        <v>82368</v>
      </c>
    </row>
    <row r="12" spans="1:12" x14ac:dyDescent="0.25">
      <c r="A12" s="81"/>
      <c r="B12" s="82" t="s">
        <v>70</v>
      </c>
      <c r="C12" s="85">
        <f>'[6]2A Önk bev'!C27</f>
        <v>1157000000</v>
      </c>
      <c r="D12" s="83">
        <f>'[6]2A Önk bev'!D27</f>
        <v>0</v>
      </c>
      <c r="E12" s="83">
        <f>'[6]2A Önk bev'!E27</f>
        <v>0</v>
      </c>
      <c r="F12" s="83">
        <f t="shared" si="0"/>
        <v>1157000000</v>
      </c>
      <c r="G12" s="85">
        <f>'[6]2A Önk bev'!G27</f>
        <v>1157000000</v>
      </c>
      <c r="H12" s="83">
        <f>'[6]2A Önk bev'!H27</f>
        <v>0</v>
      </c>
      <c r="I12" s="83">
        <f>'[6]2A Önk bev'!I27</f>
        <v>0</v>
      </c>
      <c r="J12" s="83">
        <f t="shared" si="1"/>
        <v>1157000000</v>
      </c>
      <c r="K12" s="83">
        <f>+'[6]2A Önk bev'!K27</f>
        <v>571948189</v>
      </c>
    </row>
    <row r="13" spans="1:12" x14ac:dyDescent="0.25">
      <c r="A13" s="81"/>
      <c r="B13" s="82" t="s">
        <v>71</v>
      </c>
      <c r="C13" s="85">
        <f>'[6]2A Önk bev'!C30</f>
        <v>2480000000</v>
      </c>
      <c r="D13" s="83">
        <f>'[6]2A Önk bev'!D30</f>
        <v>0</v>
      </c>
      <c r="E13" s="83">
        <f>'[6]2A Önk bev'!E30</f>
        <v>0</v>
      </c>
      <c r="F13" s="83">
        <f t="shared" si="0"/>
        <v>2480000000</v>
      </c>
      <c r="G13" s="85">
        <f>'[6]2A Önk bev'!G30</f>
        <v>2410000000</v>
      </c>
      <c r="H13" s="83">
        <f>'[6]2A Önk bev'!H30</f>
        <v>0</v>
      </c>
      <c r="I13" s="83">
        <f>'[6]2A Önk bev'!I30</f>
        <v>0</v>
      </c>
      <c r="J13" s="83">
        <f t="shared" si="1"/>
        <v>2410000000</v>
      </c>
      <c r="K13" s="83">
        <f>+'[6]2A Önk bev'!K30</f>
        <v>1060106110</v>
      </c>
    </row>
    <row r="14" spans="1:12" x14ac:dyDescent="0.25">
      <c r="A14" s="81"/>
      <c r="B14" s="82" t="s">
        <v>72</v>
      </c>
      <c r="C14" s="85">
        <f>'[6]2A Önk bev'!C33</f>
        <v>9000000</v>
      </c>
      <c r="D14" s="83">
        <f>'[6]2A Önk bev'!D33</f>
        <v>0</v>
      </c>
      <c r="E14" s="83">
        <f>'[6]2A Önk bev'!E33</f>
        <v>0</v>
      </c>
      <c r="F14" s="83">
        <f t="shared" si="0"/>
        <v>9000000</v>
      </c>
      <c r="G14" s="85">
        <f>'[6]2A Önk bev'!G33</f>
        <v>1450000</v>
      </c>
      <c r="H14" s="83">
        <f>'[6]2A Önk bev'!H33</f>
        <v>0</v>
      </c>
      <c r="I14" s="83">
        <f>'[6]2A Önk bev'!I33</f>
        <v>0</v>
      </c>
      <c r="J14" s="83">
        <f t="shared" si="1"/>
        <v>1450000</v>
      </c>
      <c r="K14" s="83">
        <f>+'[6]2A Önk bev'!K33</f>
        <v>1961400</v>
      </c>
    </row>
    <row r="15" spans="1:12" x14ac:dyDescent="0.25">
      <c r="A15" s="81"/>
      <c r="B15" s="82" t="s">
        <v>73</v>
      </c>
      <c r="C15" s="85">
        <f>C16+C17</f>
        <v>1000000</v>
      </c>
      <c r="D15" s="83">
        <f>D16+D17</f>
        <v>0</v>
      </c>
      <c r="E15" s="83">
        <f>E16+E17</f>
        <v>0</v>
      </c>
      <c r="F15" s="83">
        <f t="shared" si="0"/>
        <v>1000000</v>
      </c>
      <c r="G15" s="85">
        <f>G16+G17</f>
        <v>1000000</v>
      </c>
      <c r="H15" s="83">
        <f>H16+H17</f>
        <v>0</v>
      </c>
      <c r="I15" s="83">
        <f>I16+I17</f>
        <v>0</v>
      </c>
      <c r="J15" s="83">
        <f t="shared" si="1"/>
        <v>1000000</v>
      </c>
      <c r="K15" s="83">
        <f>+K16+K17</f>
        <v>4846786</v>
      </c>
    </row>
    <row r="16" spans="1:12" x14ac:dyDescent="0.25">
      <c r="A16" s="81"/>
      <c r="B16" s="82" t="s">
        <v>74</v>
      </c>
      <c r="C16" s="85">
        <f>'[6]2A Önk bev'!C38+'[6]3A PH'!C12</f>
        <v>1000000</v>
      </c>
      <c r="D16" s="83">
        <f>'[6]2A Önk bev'!D38+'[6]3A PH'!D12</f>
        <v>0</v>
      </c>
      <c r="E16" s="83">
        <f>'[6]2A Önk bev'!E38+'[6]3A PH'!E12</f>
        <v>0</v>
      </c>
      <c r="F16" s="83">
        <f t="shared" si="0"/>
        <v>1000000</v>
      </c>
      <c r="G16" s="85">
        <f>'[6]2A Önk bev'!G38+'[6]3A PH'!G12</f>
        <v>1000000</v>
      </c>
      <c r="H16" s="83">
        <f>'[6]2A Önk bev'!H38+'[6]3A PH'!H12</f>
        <v>0</v>
      </c>
      <c r="I16" s="83">
        <f>'[6]2A Önk bev'!I38+'[6]3A PH'!I12</f>
        <v>0</v>
      </c>
      <c r="J16" s="83">
        <f t="shared" si="1"/>
        <v>1000000</v>
      </c>
      <c r="K16" s="85">
        <f>'[6]2A Önk bev'!K38+'[6]3A PH'!K12</f>
        <v>4846786</v>
      </c>
    </row>
    <row r="17" spans="1:12" x14ac:dyDescent="0.25">
      <c r="A17" s="81"/>
      <c r="B17" s="82" t="s">
        <v>75</v>
      </c>
      <c r="C17" s="85">
        <f>'[6]2A Önk bev'!C39+'[6]2A Önk bev'!C40+'[6]2A Önk bev'!C41</f>
        <v>0</v>
      </c>
      <c r="D17" s="83">
        <f>'[6]2A Önk bev'!D39+'[6]2A Önk bev'!D40+'[6]2A Önk bev'!D41</f>
        <v>0</v>
      </c>
      <c r="E17" s="83">
        <f>'[6]2A Önk bev'!E39+'[6]2A Önk bev'!E40+'[6]2A Önk bev'!E41</f>
        <v>0</v>
      </c>
      <c r="F17" s="83">
        <f t="shared" si="0"/>
        <v>0</v>
      </c>
      <c r="G17" s="85">
        <f>'[6]2A Önk bev'!G39+'[6]2A Önk bev'!G40+'[6]2A Önk bev'!G41</f>
        <v>0</v>
      </c>
      <c r="H17" s="83">
        <f>'[6]2A Önk bev'!H39+'[6]2A Önk bev'!H40+'[6]2A Önk bev'!H41</f>
        <v>0</v>
      </c>
      <c r="I17" s="83">
        <f>'[6]2A Önk bev'!I39+'[6]2A Önk bev'!I40+'[6]2A Önk bev'!I41</f>
        <v>0</v>
      </c>
      <c r="J17" s="83">
        <f t="shared" si="1"/>
        <v>0</v>
      </c>
      <c r="K17" s="85">
        <f>'[6]2A Önk bev'!K39+'[6]2A Önk bev'!K40+'[6]2A Önk bev'!K41</f>
        <v>0</v>
      </c>
    </row>
    <row r="18" spans="1:12" x14ac:dyDescent="0.25">
      <c r="A18" s="77" t="s">
        <v>17</v>
      </c>
      <c r="B18" s="78" t="s">
        <v>18</v>
      </c>
      <c r="C18" s="79">
        <f>SUM(C19:C26)</f>
        <v>220887000</v>
      </c>
      <c r="D18" s="80">
        <f>SUM(D19:D26)</f>
        <v>36636960</v>
      </c>
      <c r="E18" s="80">
        <f>SUM(E19:E26)</f>
        <v>0</v>
      </c>
      <c r="F18" s="80">
        <f t="shared" si="0"/>
        <v>257523960</v>
      </c>
      <c r="G18" s="79">
        <f>SUM(G19:G26)</f>
        <v>42237000</v>
      </c>
      <c r="H18" s="80">
        <f>SUM(H19:H26)</f>
        <v>215286960</v>
      </c>
      <c r="I18" s="80">
        <f>SUM(I19:I26)</f>
        <v>0</v>
      </c>
      <c r="J18" s="80">
        <f t="shared" si="1"/>
        <v>257523960</v>
      </c>
      <c r="K18" s="80">
        <f>SUM(K19:K26)</f>
        <v>110137518</v>
      </c>
      <c r="L18" s="76">
        <f>+J18-F18</f>
        <v>0</v>
      </c>
    </row>
    <row r="19" spans="1:12" x14ac:dyDescent="0.25">
      <c r="A19" s="81"/>
      <c r="B19" s="82" t="s">
        <v>76</v>
      </c>
      <c r="C19" s="85">
        <f>'[6]2A Önk bev'!C43+'[6]3A PH'!C15+'[6]4H VG bev kiad'!C12+'[6]4A Walla'!C12+'[6]4B Nyitnikék'!C12+'[6]4C Bóbita'!C12+'[6]4D MMMH'!C12+'[6]4E Könyvtár'!C12+'[6]4F Segítő Kéz'!C12</f>
        <v>0</v>
      </c>
      <c r="D19" s="83">
        <f>'[6]2A Önk bev'!D43+'[6]3A PH'!D15+'[6]4H VG bev kiad'!D12+'[6]4A Walla'!D12+'[6]4B Nyitnikék'!D12+'[6]4C Bóbita'!D12+'[6]4D MMMH'!D12+'[6]4E Könyvtár'!D12+'[6]4F Segítő Kéz'!D12</f>
        <v>0</v>
      </c>
      <c r="E19" s="83">
        <f>'[6]2A Önk bev'!E43+'[6]3A PH'!E15</f>
        <v>0</v>
      </c>
      <c r="F19" s="83">
        <f t="shared" si="0"/>
        <v>0</v>
      </c>
      <c r="G19" s="85">
        <f>'[6]2A Önk bev'!G43+'[6]3A PH'!G15+'[6]4H VG bev kiad'!G12+'[6]4A Walla'!G12+'[6]4B Nyitnikék'!G12+'[6]4C Bóbita'!G12+'[6]4D MMMH'!G12+'[6]4E Könyvtár'!G12+'[6]4F Segítő Kéz'!G12</f>
        <v>0</v>
      </c>
      <c r="H19" s="83">
        <f>'[6]2A Önk bev'!H43+'[6]3A PH'!H15+'[6]4H VG bev kiad'!H12+'[6]4A Walla'!H12+'[6]4B Nyitnikék'!H12+'[6]4C Bóbita'!H12+'[6]4D MMMH'!H12+'[6]4E Könyvtár'!H12+'[6]4F Segítő Kéz'!H12</f>
        <v>0</v>
      </c>
      <c r="I19" s="83">
        <f>'[6]2A Önk bev'!I43+'[6]3A PH'!I15</f>
        <v>0</v>
      </c>
      <c r="J19" s="83">
        <f t="shared" si="1"/>
        <v>0</v>
      </c>
      <c r="K19" s="85">
        <f>'[6]2A Önk bev'!K43+'[6]3A PH'!K15+'[6]4H VG bev kiad'!I12+'[6]4A Walla'!I12+'[6]4B Nyitnikék'!I12+'[6]4C Bóbita'!I12+'[6]4D MMMH'!I12+'[6]4E Könyvtár'!I12+'[6]4F Segítő Kéz'!I12</f>
        <v>551180</v>
      </c>
    </row>
    <row r="20" spans="1:12" x14ac:dyDescent="0.25">
      <c r="A20" s="81"/>
      <c r="B20" s="82" t="s">
        <v>77</v>
      </c>
      <c r="C20" s="85">
        <f>'[6]2A Önk bev'!C44+'[6]3A PH'!C16+'[6]4H VG bev kiad'!C13+'[6]4A Walla'!C13+'[6]4B Nyitnikék'!C13+'[6]4C Bóbita'!C13+'[6]4D MMMH'!C13+'[6]4E Könyvtár'!C13+'[6]4F Segítő Kéz'!C13</f>
        <v>72490000</v>
      </c>
      <c r="D20" s="83">
        <f>'[6]2A Önk bev'!D44+'[6]3A PH'!D16+'[6]4H VG bev kiad'!D13+'[6]4A Walla'!D13+'[6]4B Nyitnikék'!D13+'[6]4C Bóbita'!D13+'[6]4D MMMH'!D13+'[6]4E Könyvtár'!D13+'[6]4F Segítő Kéz'!D13</f>
        <v>0</v>
      </c>
      <c r="E20" s="83">
        <f>'[6]2A Önk bev'!E44+'[6]3A PH'!E16</f>
        <v>0</v>
      </c>
      <c r="F20" s="83">
        <f t="shared" si="0"/>
        <v>72490000</v>
      </c>
      <c r="G20" s="85">
        <f>'[6]2A Önk bev'!G44+'[6]3A PH'!G16+'[6]4H VG bev kiad'!G13+'[6]4A Walla'!G13+'[6]4B Nyitnikék'!G13+'[6]4C Bóbita'!G13+'[6]4D MMMH'!G13+'[6]4E Könyvtár'!G13+'[6]4F Segítő Kéz'!G13</f>
        <v>26490000</v>
      </c>
      <c r="H20" s="83">
        <f>'[6]2A Önk bev'!H44+'[6]3A PH'!H16+'[6]4H VG bev kiad'!H13+'[6]4A Walla'!H13+'[6]4B Nyitnikék'!H13+'[6]4C Bóbita'!H13+'[6]4D MMMH'!H13+'[6]4E Könyvtár'!H13+'[6]4F Segítő Kéz'!H13</f>
        <v>46000000</v>
      </c>
      <c r="I20" s="83">
        <f>'[6]2A Önk bev'!I44+'[6]3A PH'!I16</f>
        <v>0</v>
      </c>
      <c r="J20" s="83">
        <f t="shared" si="1"/>
        <v>72490000</v>
      </c>
      <c r="K20" s="85">
        <f>'[6]2A Önk bev'!K44+'[6]3A PH'!K16+'[6]4H VG bev kiad'!I13+'[6]4A Walla'!I13+'[6]4B Nyitnikék'!I13+'[6]4C Bóbita'!I13+'[6]4D MMMH'!I13+'[6]4E Könyvtár'!I13+'[6]4F Segítő Kéz'!I13</f>
        <v>23107996</v>
      </c>
    </row>
    <row r="21" spans="1:12" x14ac:dyDescent="0.25">
      <c r="A21" s="81"/>
      <c r="B21" s="82" t="s">
        <v>78</v>
      </c>
      <c r="C21" s="85">
        <f>'[6]2A Önk bev'!C47+'[6]3A PH'!C17+'[6]4H VG bev kiad'!C14+'[6]4A Walla'!C14+'[6]4B Nyitnikék'!C14+'[6]4C Bóbita'!C14+'[6]4D MMMH'!C14+'[6]4E Könyvtár'!C14+'[6]4F Segítő Kéz'!C14</f>
        <v>5397000</v>
      </c>
      <c r="D21" s="83">
        <f>'[6]2A Önk bev'!D47+'[6]3A PH'!D17+'[6]4H VG bev kiad'!D14+'[6]4A Walla'!D14+'[6]4B Nyitnikék'!D14+'[6]4C Bóbita'!D14+'[6]4D MMMH'!D14+'[6]4E Könyvtár'!D14+'[6]4F Segítő Kéz'!D14</f>
        <v>28848000</v>
      </c>
      <c r="E21" s="83">
        <f>'[6]2A Önk bev'!E47+'[6]3A PH'!E17</f>
        <v>0</v>
      </c>
      <c r="F21" s="83">
        <f t="shared" si="0"/>
        <v>34245000</v>
      </c>
      <c r="G21" s="85">
        <f>'[6]2A Önk bev'!G47+'[6]3A PH'!G17+'[6]4H VG bev kiad'!G14+'[6]4A Walla'!G14+'[6]4B Nyitnikék'!G14+'[6]4C Bóbita'!G14+'[6]4D MMMH'!G14+'[6]4E Könyvtár'!G14+'[6]4F Segítő Kéz'!G14</f>
        <v>5397000</v>
      </c>
      <c r="H21" s="83">
        <f>'[6]2A Önk bev'!H47+'[6]3A PH'!H17+'[6]4H VG bev kiad'!H14+'[6]4A Walla'!H14+'[6]4B Nyitnikék'!H14+'[6]4C Bóbita'!H14+'[6]4D MMMH'!H14+'[6]4E Könyvtár'!H14+'[6]4F Segítő Kéz'!H14</f>
        <v>28848000</v>
      </c>
      <c r="I21" s="83">
        <f>'[6]2A Önk bev'!I47+'[6]3A PH'!I17</f>
        <v>0</v>
      </c>
      <c r="J21" s="83">
        <f t="shared" si="1"/>
        <v>34245000</v>
      </c>
      <c r="K21" s="85">
        <f>'[6]2A Önk bev'!K47+'[6]3A PH'!K17+'[6]4H VG bev kiad'!K14+'[6]4A Walla'!K14+'[6]4B Nyitnikék'!K14+'[6]4C Bóbita'!K14+'[6]4D MMMH'!K14+'[6]4E Könyvtár'!K14+'[6]4F Segítő Kéz'!K14</f>
        <v>14543974</v>
      </c>
    </row>
    <row r="22" spans="1:12" x14ac:dyDescent="0.25">
      <c r="A22" s="81"/>
      <c r="B22" s="82" t="s">
        <v>79</v>
      </c>
      <c r="C22" s="85">
        <f>'[6]2A Önk bev'!C51+'[6]3A PH'!C18+'[6]4H VG bev kiad'!C15+'[6]4A Walla'!C15+'[6]4B Nyitnikék'!C15+'[6]4C Bóbita'!C15+'[6]4D MMMH'!C15+'[6]4E Könyvtár'!C15+'[6]4F Segítő Kéz'!C15+'[6]4G Szérüskert'!C15</f>
        <v>88900000</v>
      </c>
      <c r="D22" s="83">
        <f>'[6]2A Önk bev'!D51+'[6]3A PH'!D18+'[6]4H VG bev kiad'!D15+'[6]4A Walla'!D15+'[6]4B Nyitnikék'!D15+'[6]4C Bóbita'!D15+'[6]4D MMMH'!D15+'[6]4E Könyvtár'!D15+'[6]4F Segítő Kéz'!D15+'[6]4G Szérüskert'!D15</f>
        <v>0</v>
      </c>
      <c r="E22" s="83">
        <f>'[6]2A Önk bev'!E51+'[6]3A PH'!E18</f>
        <v>0</v>
      </c>
      <c r="F22" s="83">
        <f t="shared" si="0"/>
        <v>88900000</v>
      </c>
      <c r="G22" s="85">
        <f>'[6]2A Önk bev'!G51+'[6]3A PH'!G18+'[6]4H VG bev kiad'!G15+'[6]4A Walla'!G15+'[6]4B Nyitnikék'!G15+'[6]4C Bóbita'!G15+'[6]4D MMMH'!G15+'[6]4E Könyvtár'!G15+'[6]4F Segítő Kéz'!G15+'[6]4G Szérüskert'!G15</f>
        <v>0</v>
      </c>
      <c r="H22" s="83">
        <f>'[6]2A Önk bev'!H51+'[6]3A PH'!H18+'[6]4H VG bev kiad'!H15+'[6]4A Walla'!H15+'[6]4B Nyitnikék'!H15+'[6]4C Bóbita'!H15+'[6]4D MMMH'!H15+'[6]4E Könyvtár'!H15+'[6]4F Segítő Kéz'!H15+'[6]4G Szérüskert'!H15</f>
        <v>88900000</v>
      </c>
      <c r="I22" s="83">
        <f>'[6]2A Önk bev'!I51+'[6]3A PH'!I18</f>
        <v>0</v>
      </c>
      <c r="J22" s="83">
        <f t="shared" si="1"/>
        <v>88900000</v>
      </c>
      <c r="K22" s="85">
        <f>'[6]2A Önk bev'!K51+'[6]3A PH'!K18+'[6]4H VG bev kiad'!I15+'[6]4A Walla'!I15+'[6]4B Nyitnikék'!I15+'[6]4C Bóbita'!I15+'[6]4D MMMH'!I15+'[6]4E Könyvtár'!I15+'[6]4F Segítő Kéz'!I15+'[6]4G Szérüskert'!I15</f>
        <v>30541896</v>
      </c>
    </row>
    <row r="23" spans="1:12" x14ac:dyDescent="0.25">
      <c r="A23" s="81"/>
      <c r="B23" s="82" t="s">
        <v>80</v>
      </c>
      <c r="C23" s="85">
        <f>'[6]2A Önk bev'!C52+'[6]3A PH'!C19+'[6]4H VG bev kiad'!C16+'[6]4A Walla'!C16+'[6]4B Nyitnikék'!C16+'[6]4C Bóbita'!C16+'[6]4D MMMH'!C16+'[6]4E Könyvtár'!C16+'[6]4F Segítő Kéz'!C16+'[6]4G Szérüskert'!C16</f>
        <v>31300000</v>
      </c>
      <c r="D23" s="83">
        <f>'[6]2A Önk bev'!D52+'[6]3A PH'!D19+'[6]4H VG bev kiad'!D16+'[6]4A Walla'!D16+'[6]4B Nyitnikék'!D16+'[6]4C Bóbita'!D16+'[6]4D MMMH'!D16+'[6]4E Könyvtár'!D16+'[6]4F Segítő Kéz'!D16+'[6]4G Szérüskert'!D16</f>
        <v>7788960</v>
      </c>
      <c r="E23" s="83">
        <f>'[6]2A Önk bev'!E52+'[6]3A PH'!E19</f>
        <v>0</v>
      </c>
      <c r="F23" s="83">
        <f t="shared" si="0"/>
        <v>39088960</v>
      </c>
      <c r="G23" s="85">
        <f>'[6]2A Önk bev'!G52+'[6]3A PH'!G19+'[6]4H VG bev kiad'!G16+'[6]4A Walla'!G16+'[6]4B Nyitnikék'!G16+'[6]4C Bóbita'!G16+'[6]4D MMMH'!G16+'[6]4E Könyvtár'!G16+'[6]4F Segítő Kéz'!G16+'[6]4G Szérüskert'!G16</f>
        <v>350000</v>
      </c>
      <c r="H23" s="83">
        <f>'[6]2A Önk bev'!H52+'[6]3A PH'!H19+'[6]4H VG bev kiad'!H16+'[6]4A Walla'!H16+'[6]4B Nyitnikék'!H16+'[6]4C Bóbita'!H16+'[6]4D MMMH'!H16+'[6]4E Könyvtár'!H16+'[6]4F Segítő Kéz'!H16+'[6]4G Szérüskert'!H16</f>
        <v>38738960</v>
      </c>
      <c r="I23" s="83">
        <f>'[6]2A Önk bev'!I52+'[6]3A PH'!I19</f>
        <v>0</v>
      </c>
      <c r="J23" s="83">
        <f t="shared" si="1"/>
        <v>39088960</v>
      </c>
      <c r="K23" s="85">
        <f>'[6]2A Önk bev'!K52+'[6]3A PH'!K19+'[6]4H VG bev kiad'!I16+'[6]4A Walla'!I16+'[6]4B Nyitnikék'!I16+'[6]4C Bóbita'!I16+'[6]4D MMMH'!I16+'[6]4E Könyvtár'!I16+'[6]4F Segítő Kéz'!I16+'[6]4G Szérüskert'!I16</f>
        <v>15465801</v>
      </c>
    </row>
    <row r="24" spans="1:12" x14ac:dyDescent="0.25">
      <c r="A24" s="81"/>
      <c r="B24" s="82" t="s">
        <v>81</v>
      </c>
      <c r="C24" s="85">
        <f>'[6]2A Önk bev'!C53+'[6]3A PH'!C20+'[6]4H VG bev kiad'!C17+'[6]4A Walla'!C17+'[6]4B Nyitnikék'!C17+'[6]4C Bóbita'!C17+'[6]4D MMMH'!C17+'[6]4E Könyvtár'!C17+'[6]4F Segítő Kéz'!C17</f>
        <v>11800000</v>
      </c>
      <c r="D24" s="83">
        <f>'[6]2A Önk bev'!D53+'[6]3A PH'!D20+'[6]4H VG bev kiad'!D17+'[6]4A Walla'!D17+'[6]4B Nyitnikék'!D17+'[6]4C Bóbita'!D17+'[6]4D MMMH'!D17+'[6]4E Könyvtár'!D17+'[6]4F Segítő Kéz'!D17</f>
        <v>0</v>
      </c>
      <c r="E24" s="83">
        <f>'[6]2A Önk bev'!E53+'[6]3A PH'!E20</f>
        <v>0</v>
      </c>
      <c r="F24" s="83">
        <f t="shared" si="0"/>
        <v>11800000</v>
      </c>
      <c r="G24" s="85">
        <f>'[6]2A Önk bev'!G53+'[6]3A PH'!G20+'[6]4H VG bev kiad'!G17+'[6]4A Walla'!G17+'[6]4B Nyitnikék'!G17+'[6]4C Bóbita'!G17+'[6]4D MMMH'!G17+'[6]4E Könyvtár'!G17+'[6]4F Segítő Kéz'!G17</f>
        <v>0</v>
      </c>
      <c r="H24" s="83">
        <f>'[6]2A Önk bev'!H53+'[6]3A PH'!H20+'[6]4H VG bev kiad'!H17+'[6]4A Walla'!H17+'[6]4B Nyitnikék'!H17+'[6]4C Bóbita'!H17+'[6]4D MMMH'!H17+'[6]4E Könyvtár'!H17+'[6]4F Segítő Kéz'!H17</f>
        <v>11800000</v>
      </c>
      <c r="I24" s="83">
        <f>'[6]2A Önk bev'!I53+'[6]3A PH'!I20</f>
        <v>0</v>
      </c>
      <c r="J24" s="83">
        <f t="shared" si="1"/>
        <v>11800000</v>
      </c>
      <c r="K24" s="85">
        <f>'[6]2A Önk bev'!K53+'[6]3A PH'!K20+'[6]4H VG bev kiad'!I17+'[6]4A Walla'!I17+'[6]4B Nyitnikék'!I17+'[6]4C Bóbita'!I17+'[6]4D MMMH'!I17+'[6]4E Könyvtár'!I17+'[6]4F Segítő Kéz'!I17+'[6]4G Szérüskert'!I17</f>
        <v>9785000</v>
      </c>
      <c r="L24" s="76">
        <f>+J24-F24</f>
        <v>0</v>
      </c>
    </row>
    <row r="25" spans="1:12" x14ac:dyDescent="0.25">
      <c r="A25" s="81"/>
      <c r="B25" s="82" t="s">
        <v>82</v>
      </c>
      <c r="C25" s="85">
        <f>'[6]2A Önk bev'!C54+'[6]3A PH'!C21+'[6]4H VG bev kiad'!C18+'[6]4A Walla'!C18+'[6]4B Nyitnikék'!C18+'[6]4C Bóbita'!C18+'[6]4D MMMH'!C18+'[6]4E Könyvtár'!C18+'[6]4F Segítő Kéz'!C18</f>
        <v>0</v>
      </c>
      <c r="D25" s="83">
        <f>'[6]2A Önk bev'!D54+'[6]3A PH'!D21+'[6]4H VG bev kiad'!D18+'[6]4A Walla'!D18+'[6]4B Nyitnikék'!D18+'[6]4C Bóbita'!D18+'[6]4D MMMH'!D18+'[6]4E Könyvtár'!D18+'[6]4F Segítő Kéz'!D18</f>
        <v>0</v>
      </c>
      <c r="E25" s="83">
        <f>'[6]2A Önk bev'!E54+'[6]3A PH'!E21</f>
        <v>0</v>
      </c>
      <c r="F25" s="83">
        <f t="shared" si="0"/>
        <v>0</v>
      </c>
      <c r="G25" s="85">
        <f>'[6]2A Önk bev'!G54+'[6]3A PH'!G21+'[6]4H VG bev kiad'!G18+'[6]4A Walla'!G18+'[6]4B Nyitnikék'!G18+'[6]4C Bóbita'!G18+'[6]4D MMMH'!G18+'[6]4E Könyvtár'!G18+'[6]4F Segítő Kéz'!G18</f>
        <v>0</v>
      </c>
      <c r="H25" s="83">
        <f>'[6]2A Önk bev'!H54+'[6]3A PH'!H21+'[6]4H VG bev kiad'!H18+'[6]4A Walla'!H18+'[6]4B Nyitnikék'!H18+'[6]4C Bóbita'!H18+'[6]4D MMMH'!H18+'[6]4E Könyvtár'!H18+'[6]4F Segítő Kéz'!H18</f>
        <v>0</v>
      </c>
      <c r="I25" s="83">
        <f>'[6]2A Önk bev'!I54+'[6]3A PH'!I21</f>
        <v>0</v>
      </c>
      <c r="J25" s="83">
        <f t="shared" si="1"/>
        <v>0</v>
      </c>
      <c r="K25" s="85">
        <f>'[6]2A Önk bev'!K54+'[6]3A PH'!K21+'[6]4H VG bev kiad'!I18+'[6]4A Walla'!I18+'[6]4B Nyitnikék'!I18+'[6]4C Bóbita'!I18+'[6]4D MMMH'!I18+'[6]4E Könyvtár'!I18+'[6]4F Segítő Kéz'!I18+'[6]4G Szérüskert'!I18</f>
        <v>2</v>
      </c>
    </row>
    <row r="26" spans="1:12" x14ac:dyDescent="0.25">
      <c r="A26" s="81"/>
      <c r="B26" s="82" t="s">
        <v>83</v>
      </c>
      <c r="C26" s="85">
        <f>'[6]2A Önk bev'!C55+'[6]3A PH'!C22+'[6]4H VG bev kiad'!C19+'[6]4A Walla'!C19+'[6]4B Nyitnikék'!C19+'[6]4C Bóbita'!C19+'[6]4D MMMH'!C19+'[6]4E Könyvtár'!C19+'[6]4F Segítő Kéz'!C19</f>
        <v>11000000</v>
      </c>
      <c r="D26" s="83">
        <f>'[6]2A Önk bev'!D55+'[6]3A PH'!D22+'[6]4H VG bev kiad'!D19+'[6]4A Walla'!D19+'[6]4B Nyitnikék'!D19+'[6]4C Bóbita'!D19+'[6]4D MMMH'!D19+'[6]4E Könyvtár'!D19+'[6]4F Segítő Kéz'!D19</f>
        <v>0</v>
      </c>
      <c r="E26" s="83">
        <f>'[6]2A Önk bev'!E55+'[6]3A PH'!E22</f>
        <v>0</v>
      </c>
      <c r="F26" s="83">
        <f t="shared" si="0"/>
        <v>11000000</v>
      </c>
      <c r="G26" s="85">
        <f>'[6]2A Önk bev'!G55+'[6]3A PH'!G22+'[6]4H VG bev kiad'!G19+'[6]4A Walla'!G19+'[6]4B Nyitnikék'!G19+'[6]4C Bóbita'!G19+'[6]4D MMMH'!G19+'[6]4E Könyvtár'!G19+'[6]4F Segítő Kéz'!G19</f>
        <v>10000000</v>
      </c>
      <c r="H26" s="83">
        <f>'[6]2A Önk bev'!H55+'[6]3A PH'!H22+'[6]4H VG bev kiad'!H19+'[6]4A Walla'!H19+'[6]4B Nyitnikék'!H19+'[6]4C Bóbita'!H19+'[6]4D MMMH'!H19+'[6]4E Könyvtár'!H19+'[6]4F Segítő Kéz'!H19</f>
        <v>1000000</v>
      </c>
      <c r="I26" s="83">
        <f>'[6]2A Önk bev'!I55+'[6]3A PH'!I22</f>
        <v>0</v>
      </c>
      <c r="J26" s="83">
        <f t="shared" si="1"/>
        <v>11000000</v>
      </c>
      <c r="K26" s="85">
        <f>'[6]2A Önk bev'!K55+'[6]3A PH'!K22+'[6]4H VG bev kiad'!I19+'[6]4A Walla'!I19+'[6]4B Nyitnikék'!I19+'[6]4C Bóbita'!I19+'[6]4D MMMH'!I19+'[6]4E Könyvtár'!I19+'[6]4F Segítő Kéz'!I19+'[6]4G Szérüskert'!I19</f>
        <v>16141669</v>
      </c>
    </row>
    <row r="27" spans="1:12" x14ac:dyDescent="0.25">
      <c r="A27" s="77" t="s">
        <v>20</v>
      </c>
      <c r="B27" s="78" t="s">
        <v>21</v>
      </c>
      <c r="C27" s="79">
        <f>SUM(C28:C29)</f>
        <v>0</v>
      </c>
      <c r="D27" s="80">
        <f>SUM(D28:D29)</f>
        <v>0</v>
      </c>
      <c r="E27" s="80">
        <f>SUM(E28:E29)</f>
        <v>0</v>
      </c>
      <c r="F27" s="80">
        <f t="shared" si="0"/>
        <v>0</v>
      </c>
      <c r="G27" s="79">
        <f>SUM(G28:G29)</f>
        <v>0</v>
      </c>
      <c r="H27" s="80">
        <f>SUM(H28:H29)</f>
        <v>0</v>
      </c>
      <c r="I27" s="80">
        <f>SUM(I28:I29)</f>
        <v>0</v>
      </c>
      <c r="J27" s="80">
        <f t="shared" si="1"/>
        <v>0</v>
      </c>
      <c r="K27" s="80">
        <f>+'[6]2A Önk bev'!K58</f>
        <v>976767</v>
      </c>
      <c r="L27" s="76">
        <f>+J27-F27</f>
        <v>0</v>
      </c>
    </row>
    <row r="28" spans="1:12" ht="30" hidden="1" x14ac:dyDescent="0.25">
      <c r="A28" s="81"/>
      <c r="B28" s="82" t="s">
        <v>84</v>
      </c>
      <c r="C28" s="85">
        <f>'[6]2A Önk bev'!C57</f>
        <v>0</v>
      </c>
      <c r="D28" s="83">
        <f>'[6]2A Önk bev'!D57</f>
        <v>0</v>
      </c>
      <c r="E28" s="83">
        <f>'[6]2A Önk bev'!E57</f>
        <v>0</v>
      </c>
      <c r="F28" s="83">
        <f t="shared" si="0"/>
        <v>0</v>
      </c>
      <c r="G28" s="85">
        <f>'[6]2A Önk bev'!G57</f>
        <v>0</v>
      </c>
      <c r="H28" s="83">
        <f>'[6]2A Önk bev'!H57</f>
        <v>0</v>
      </c>
      <c r="I28" s="83">
        <f>'[6]2A Önk bev'!I57</f>
        <v>0</v>
      </c>
      <c r="J28" s="83">
        <f t="shared" si="1"/>
        <v>0</v>
      </c>
      <c r="K28" s="83">
        <f t="shared" si="1"/>
        <v>0</v>
      </c>
    </row>
    <row r="29" spans="1:12" ht="30" hidden="1" x14ac:dyDescent="0.25">
      <c r="A29" s="81"/>
      <c r="B29" s="82" t="s">
        <v>85</v>
      </c>
      <c r="C29" s="85">
        <f>'[6]2A Önk bev'!C58+'[6]3A PH'!C24+'[6]4H VG bev kiad'!C21+'[6]4A Walla'!C21+'[6]4B Nyitnikék'!C21+'[6]4C Bóbita'!C21+'[6]4D MMMH'!C21+'[6]4E Könyvtár'!C21+'[6]4F Segítő Kéz'!C21</f>
        <v>0</v>
      </c>
      <c r="D29" s="83">
        <f>'[6]2A Önk bev'!D58+'[6]3A PH'!D24+'[6]4H VG bev kiad'!D21+'[6]4A Walla'!D21+'[6]4B Nyitnikék'!D21+'[6]4C Bóbita'!D21+'[6]4D MMMH'!D21+'[6]4E Könyvtár'!D21+'[6]4F Segítő Kéz'!D21</f>
        <v>0</v>
      </c>
      <c r="E29" s="83">
        <f>'[6]2A Önk bev'!E58+'[6]3A PH'!E24</f>
        <v>0</v>
      </c>
      <c r="F29" s="83">
        <f t="shared" si="0"/>
        <v>0</v>
      </c>
      <c r="G29" s="85">
        <f>'[6]2A Önk bev'!G58+'[6]3A PH'!G24+'[6]4H VG bev kiad'!G21+'[6]4A Walla'!G21+'[6]4B Nyitnikék'!G21+'[6]4C Bóbita'!G21+'[6]4D MMMH'!G21+'[6]4E Könyvtár'!G21+'[6]4F Segítő Kéz'!G21</f>
        <v>0</v>
      </c>
      <c r="H29" s="83">
        <f>'[6]2A Önk bev'!H58+'[6]3A PH'!H24+'[6]4H VG bev kiad'!H21+'[6]4A Walla'!H21+'[6]4B Nyitnikék'!H21+'[6]4C Bóbita'!H21+'[6]4D MMMH'!H21+'[6]4E Könyvtár'!H21+'[6]4F Segítő Kéz'!H21</f>
        <v>0</v>
      </c>
      <c r="I29" s="83">
        <f>'[6]2A Önk bev'!I58+'[6]3A PH'!I24</f>
        <v>0</v>
      </c>
      <c r="J29" s="83">
        <f t="shared" si="1"/>
        <v>0</v>
      </c>
      <c r="K29" s="83">
        <f t="shared" si="1"/>
        <v>0</v>
      </c>
    </row>
    <row r="30" spans="1:12" x14ac:dyDescent="0.25">
      <c r="A30" s="72" t="s">
        <v>27</v>
      </c>
      <c r="B30" s="73" t="s">
        <v>28</v>
      </c>
      <c r="C30" s="74">
        <f>C31+C35+C40</f>
        <v>549116000</v>
      </c>
      <c r="D30" s="75">
        <f>D31+D35+D40</f>
        <v>901655</v>
      </c>
      <c r="E30" s="75">
        <f>E31+E35+E40</f>
        <v>0</v>
      </c>
      <c r="F30" s="75">
        <f t="shared" si="0"/>
        <v>550017655</v>
      </c>
      <c r="G30" s="74">
        <f>G31+G35+G40</f>
        <v>557524022</v>
      </c>
      <c r="H30" s="75">
        <f>H31+H35+H40</f>
        <v>901655</v>
      </c>
      <c r="I30" s="75">
        <f>I31+I35+I40</f>
        <v>0</v>
      </c>
      <c r="J30" s="75">
        <f t="shared" si="1"/>
        <v>558425677</v>
      </c>
      <c r="K30" s="75">
        <f>+K31+K35+K40</f>
        <v>11747532</v>
      </c>
      <c r="L30" s="76">
        <f>+J30-F30</f>
        <v>8408022</v>
      </c>
    </row>
    <row r="31" spans="1:12" ht="30" x14ac:dyDescent="0.25">
      <c r="A31" s="77" t="s">
        <v>11</v>
      </c>
      <c r="B31" s="78" t="s">
        <v>30</v>
      </c>
      <c r="C31" s="79">
        <f>SUM(C32:C34)</f>
        <v>439116000</v>
      </c>
      <c r="D31" s="80">
        <f>SUM(D32:D34)</f>
        <v>0</v>
      </c>
      <c r="E31" s="80">
        <f>SUM(E32:E34)</f>
        <v>0</v>
      </c>
      <c r="F31" s="80">
        <f t="shared" si="0"/>
        <v>439116000</v>
      </c>
      <c r="G31" s="79">
        <f>SUM(G32:G34)</f>
        <v>447524022</v>
      </c>
      <c r="H31" s="80">
        <f>SUM(H32:H34)</f>
        <v>0</v>
      </c>
      <c r="I31" s="80">
        <f>SUM(I32:I34)</f>
        <v>0</v>
      </c>
      <c r="J31" s="80">
        <f t="shared" si="1"/>
        <v>447524022</v>
      </c>
      <c r="K31" s="80">
        <f>+K32+K33+K34</f>
        <v>8408022</v>
      </c>
      <c r="L31" s="76">
        <f>+J31-F31</f>
        <v>8408022</v>
      </c>
    </row>
    <row r="32" spans="1:12" ht="30" x14ac:dyDescent="0.25">
      <c r="A32" s="81"/>
      <c r="B32" s="12" t="s">
        <v>86</v>
      </c>
      <c r="C32" s="87">
        <f>'[6]2A Önk bev'!C65</f>
        <v>400000000</v>
      </c>
      <c r="D32" s="88">
        <f>'[6]2A Önk bev'!D65</f>
        <v>0</v>
      </c>
      <c r="E32" s="88">
        <f>'[6]2A Önk bev'!E65</f>
        <v>0</v>
      </c>
      <c r="F32" s="88">
        <f t="shared" si="0"/>
        <v>400000000</v>
      </c>
      <c r="G32" s="87">
        <f>'[6]2A Önk bev'!G65</f>
        <v>400000000</v>
      </c>
      <c r="H32" s="88">
        <f>'[6]2A Önk bev'!H65</f>
        <v>0</v>
      </c>
      <c r="I32" s="88">
        <f>'[6]2A Önk bev'!I65</f>
        <v>0</v>
      </c>
      <c r="J32" s="88">
        <f t="shared" si="1"/>
        <v>400000000</v>
      </c>
      <c r="K32" s="87">
        <f>'[6]2A Önk bev'!K65</f>
        <v>0</v>
      </c>
    </row>
    <row r="33" spans="1:12" ht="30" x14ac:dyDescent="0.25">
      <c r="A33" s="81"/>
      <c r="B33" s="12" t="s">
        <v>87</v>
      </c>
      <c r="C33" s="87">
        <f>'[6]2A Önk bev'!C66</f>
        <v>0</v>
      </c>
      <c r="D33" s="88">
        <f>'[6]2A Önk bev'!D66</f>
        <v>0</v>
      </c>
      <c r="E33" s="88">
        <f>'[6]2A Önk bev'!E66</f>
        <v>0</v>
      </c>
      <c r="F33" s="88">
        <f t="shared" si="0"/>
        <v>0</v>
      </c>
      <c r="G33" s="87">
        <f>'[6]2A Önk bev'!G66</f>
        <v>0</v>
      </c>
      <c r="H33" s="88">
        <f>'[6]2A Önk bev'!H66</f>
        <v>0</v>
      </c>
      <c r="I33" s="88">
        <f>'[6]2A Önk bev'!I66</f>
        <v>0</v>
      </c>
      <c r="J33" s="88">
        <f t="shared" si="1"/>
        <v>0</v>
      </c>
      <c r="K33" s="88">
        <f t="shared" si="1"/>
        <v>0</v>
      </c>
    </row>
    <row r="34" spans="1:12" ht="30" x14ac:dyDescent="0.25">
      <c r="A34" s="81"/>
      <c r="B34" s="12" t="s">
        <v>88</v>
      </c>
      <c r="C34" s="87">
        <f>'[6]2A Önk bev'!C67</f>
        <v>39116000</v>
      </c>
      <c r="D34" s="88">
        <f>'[6]2A Önk bev'!D67</f>
        <v>0</v>
      </c>
      <c r="E34" s="88">
        <f>'[6]2A Önk bev'!E67</f>
        <v>0</v>
      </c>
      <c r="F34" s="88">
        <f t="shared" si="0"/>
        <v>39116000</v>
      </c>
      <c r="G34" s="87">
        <f>'[6]2A Önk bev'!G67</f>
        <v>47524022</v>
      </c>
      <c r="H34" s="88">
        <f>'[6]2A Önk bev'!H67</f>
        <v>0</v>
      </c>
      <c r="I34" s="88">
        <f>'[6]2A Önk bev'!I67</f>
        <v>0</v>
      </c>
      <c r="J34" s="88">
        <f t="shared" si="1"/>
        <v>47524022</v>
      </c>
      <c r="K34" s="87">
        <f>'[6]2A Önk bev'!K67</f>
        <v>8408022</v>
      </c>
    </row>
    <row r="35" spans="1:12" x14ac:dyDescent="0.25">
      <c r="A35" s="77" t="s">
        <v>14</v>
      </c>
      <c r="B35" s="78" t="s">
        <v>32</v>
      </c>
      <c r="C35" s="79">
        <f>SUM(C36:C39)</f>
        <v>110000000</v>
      </c>
      <c r="D35" s="80">
        <f>SUM(D36:D39)</f>
        <v>0</v>
      </c>
      <c r="E35" s="80">
        <f>SUM(E36:E39)</f>
        <v>0</v>
      </c>
      <c r="F35" s="80">
        <f t="shared" si="0"/>
        <v>110000000</v>
      </c>
      <c r="G35" s="79">
        <f>SUM(G36:G39)</f>
        <v>110000000</v>
      </c>
      <c r="H35" s="80">
        <f>SUM(H36:H39)</f>
        <v>0</v>
      </c>
      <c r="I35" s="80">
        <f>SUM(I36:I39)</f>
        <v>0</v>
      </c>
      <c r="J35" s="80">
        <f t="shared" si="1"/>
        <v>110000000</v>
      </c>
      <c r="K35" s="80">
        <f>+K36+K37+K38+K39</f>
        <v>1025195</v>
      </c>
      <c r="L35" s="76">
        <f>+J35-F35</f>
        <v>0</v>
      </c>
    </row>
    <row r="36" spans="1:12" x14ac:dyDescent="0.25">
      <c r="A36" s="81"/>
      <c r="B36" s="12" t="s">
        <v>89</v>
      </c>
      <c r="C36" s="87">
        <f>'[6]2A Önk bev'!C69</f>
        <v>0</v>
      </c>
      <c r="D36" s="88">
        <f>'[6]2A Önk bev'!D69</f>
        <v>0</v>
      </c>
      <c r="E36" s="88">
        <f>'[6]2A Önk bev'!E69</f>
        <v>0</v>
      </c>
      <c r="F36" s="88">
        <f t="shared" si="0"/>
        <v>0</v>
      </c>
      <c r="G36" s="87">
        <f>'[6]2A Önk bev'!G69</f>
        <v>0</v>
      </c>
      <c r="H36" s="88">
        <f>'[6]2A Önk bev'!H69</f>
        <v>0</v>
      </c>
      <c r="I36" s="88">
        <f>'[6]2A Önk bev'!I69</f>
        <v>0</v>
      </c>
      <c r="J36" s="88">
        <f t="shared" si="1"/>
        <v>0</v>
      </c>
      <c r="K36" s="87">
        <f>'[6]2A Önk bev'!K69</f>
        <v>0</v>
      </c>
    </row>
    <row r="37" spans="1:12" x14ac:dyDescent="0.25">
      <c r="A37" s="81"/>
      <c r="B37" s="12" t="s">
        <v>90</v>
      </c>
      <c r="C37" s="87">
        <f>'[6]2A Önk bev'!C70</f>
        <v>110000000</v>
      </c>
      <c r="D37" s="88">
        <f>'[6]2A Önk bev'!D70</f>
        <v>0</v>
      </c>
      <c r="E37" s="88">
        <f>'[6]2A Önk bev'!E70</f>
        <v>0</v>
      </c>
      <c r="F37" s="88">
        <f t="shared" si="0"/>
        <v>110000000</v>
      </c>
      <c r="G37" s="87">
        <f>'[6]2A Önk bev'!G70</f>
        <v>110000000</v>
      </c>
      <c r="H37" s="88">
        <f>'[6]2A Önk bev'!H70</f>
        <v>0</v>
      </c>
      <c r="I37" s="88">
        <f>'[6]2A Önk bev'!I70</f>
        <v>0</v>
      </c>
      <c r="J37" s="88">
        <f t="shared" si="1"/>
        <v>110000000</v>
      </c>
      <c r="K37" s="87">
        <f>'[6]2A Önk bev'!K70</f>
        <v>1025195</v>
      </c>
    </row>
    <row r="38" spans="1:12" x14ac:dyDescent="0.25">
      <c r="A38" s="81"/>
      <c r="B38" s="12" t="s">
        <v>91</v>
      </c>
      <c r="C38" s="87">
        <f>'[6]2A Önk bev'!C74</f>
        <v>0</v>
      </c>
      <c r="D38" s="88">
        <f>'[6]2A Önk bev'!D74</f>
        <v>0</v>
      </c>
      <c r="E38" s="88">
        <f>'[6]2A Önk bev'!E74</f>
        <v>0</v>
      </c>
      <c r="F38" s="88">
        <f t="shared" si="0"/>
        <v>0</v>
      </c>
      <c r="G38" s="87">
        <f>'[6]2A Önk bev'!G74</f>
        <v>0</v>
      </c>
      <c r="H38" s="88">
        <f>'[6]2A Önk bev'!H74</f>
        <v>0</v>
      </c>
      <c r="I38" s="88">
        <f>'[6]2A Önk bev'!I74</f>
        <v>0</v>
      </c>
      <c r="J38" s="88">
        <f t="shared" si="1"/>
        <v>0</v>
      </c>
      <c r="K38" s="87">
        <f>'[6]2A Önk bev'!K74</f>
        <v>0</v>
      </c>
    </row>
    <row r="39" spans="1:12" x14ac:dyDescent="0.25">
      <c r="A39" s="81"/>
      <c r="B39" s="12" t="s">
        <v>92</v>
      </c>
      <c r="C39" s="87">
        <f>'[6]2A Önk bev'!C75</f>
        <v>0</v>
      </c>
      <c r="D39" s="88">
        <f>'[6]2A Önk bev'!D75</f>
        <v>0</v>
      </c>
      <c r="E39" s="88">
        <f>'[6]2A Önk bev'!E75</f>
        <v>0</v>
      </c>
      <c r="F39" s="88">
        <f t="shared" si="0"/>
        <v>0</v>
      </c>
      <c r="G39" s="87">
        <f>'[6]2A Önk bev'!G75</f>
        <v>0</v>
      </c>
      <c r="H39" s="88">
        <f>'[6]2A Önk bev'!H75</f>
        <v>0</v>
      </c>
      <c r="I39" s="88">
        <f>'[6]2A Önk bev'!I75</f>
        <v>0</v>
      </c>
      <c r="J39" s="88">
        <f t="shared" si="1"/>
        <v>0</v>
      </c>
      <c r="K39" s="87">
        <f>'[6]2A Önk bev'!K75</f>
        <v>0</v>
      </c>
    </row>
    <row r="40" spans="1:12" x14ac:dyDescent="0.25">
      <c r="A40" s="77" t="s">
        <v>17</v>
      </c>
      <c r="B40" s="78" t="s">
        <v>34</v>
      </c>
      <c r="C40" s="79">
        <f>SUM(C41:C44)</f>
        <v>0</v>
      </c>
      <c r="D40" s="80">
        <f>SUM(D41:D44)</f>
        <v>901655</v>
      </c>
      <c r="E40" s="80">
        <f>SUM(E41:E44)</f>
        <v>0</v>
      </c>
      <c r="F40" s="80">
        <f t="shared" si="0"/>
        <v>901655</v>
      </c>
      <c r="G40" s="79">
        <f>SUM(G41:G44)</f>
        <v>0</v>
      </c>
      <c r="H40" s="80">
        <f>SUM(H41:H44)</f>
        <v>901655</v>
      </c>
      <c r="I40" s="80">
        <f>SUM(I41:I44)</f>
        <v>0</v>
      </c>
      <c r="J40" s="80">
        <f t="shared" si="1"/>
        <v>901655</v>
      </c>
      <c r="K40" s="80">
        <f>+K41+K42+K43+K44+K45</f>
        <v>2314315</v>
      </c>
      <c r="L40" s="76">
        <f>+J40-F40</f>
        <v>0</v>
      </c>
    </row>
    <row r="41" spans="1:12" ht="30" x14ac:dyDescent="0.25">
      <c r="A41" s="81"/>
      <c r="B41" s="12" t="s">
        <v>93</v>
      </c>
      <c r="C41" s="87">
        <f>'[6]2A Önk bev'!C77</f>
        <v>0</v>
      </c>
      <c r="D41" s="88">
        <f>'[6]2A Önk bev'!D77</f>
        <v>0</v>
      </c>
      <c r="E41" s="88">
        <f>'[6]2A Önk bev'!E77</f>
        <v>0</v>
      </c>
      <c r="F41" s="88">
        <f t="shared" si="0"/>
        <v>0</v>
      </c>
      <c r="G41" s="87">
        <f>'[6]2A Önk bev'!G77</f>
        <v>0</v>
      </c>
      <c r="H41" s="88">
        <f>'[6]2A Önk bev'!H77</f>
        <v>0</v>
      </c>
      <c r="I41" s="88">
        <f>'[6]2A Önk bev'!I77</f>
        <v>0</v>
      </c>
      <c r="J41" s="88">
        <f t="shared" si="1"/>
        <v>0</v>
      </c>
      <c r="K41" s="87">
        <f>'[6]2A Önk bev'!K77</f>
        <v>0</v>
      </c>
    </row>
    <row r="42" spans="1:12" s="84" customFormat="1" ht="45" x14ac:dyDescent="0.25">
      <c r="A42" s="81"/>
      <c r="B42" s="18" t="s">
        <v>94</v>
      </c>
      <c r="C42" s="89">
        <f>'[6]2A Önk bev'!C78</f>
        <v>0</v>
      </c>
      <c r="D42" s="90">
        <f>'[6]2A Önk bev'!D78</f>
        <v>0</v>
      </c>
      <c r="E42" s="90">
        <f>'[6]2A Önk bev'!E78</f>
        <v>0</v>
      </c>
      <c r="F42" s="90">
        <f t="shared" si="0"/>
        <v>0</v>
      </c>
      <c r="G42" s="89">
        <f>'[6]2A Önk bev'!G78</f>
        <v>0</v>
      </c>
      <c r="H42" s="90">
        <f>'[6]2A Önk bev'!H78</f>
        <v>0</v>
      </c>
      <c r="I42" s="90">
        <f>'[6]2A Önk bev'!I78</f>
        <v>0</v>
      </c>
      <c r="J42" s="90">
        <f t="shared" si="1"/>
        <v>0</v>
      </c>
      <c r="K42" s="89">
        <f>'[6]2A Önk bev'!K78</f>
        <v>0</v>
      </c>
    </row>
    <row r="43" spans="1:12" ht="30" x14ac:dyDescent="0.25">
      <c r="A43" s="81"/>
      <c r="B43" s="12" t="s">
        <v>95</v>
      </c>
      <c r="C43" s="87">
        <f>'[6]2A Önk bev'!C79</f>
        <v>0</v>
      </c>
      <c r="D43" s="88">
        <f>'[6]2A Önk bev'!D79</f>
        <v>901655</v>
      </c>
      <c r="E43" s="88">
        <f>'[6]2A Önk bev'!E79</f>
        <v>0</v>
      </c>
      <c r="F43" s="88">
        <f t="shared" si="0"/>
        <v>901655</v>
      </c>
      <c r="G43" s="87">
        <f>'[6]2A Önk bev'!G79</f>
        <v>0</v>
      </c>
      <c r="H43" s="88">
        <f>'[6]2A Önk bev'!H79</f>
        <v>901655</v>
      </c>
      <c r="I43" s="88">
        <f>'[6]2A Önk bev'!I79</f>
        <v>0</v>
      </c>
      <c r="J43" s="88">
        <f t="shared" si="1"/>
        <v>901655</v>
      </c>
      <c r="K43" s="87">
        <f>'[6]2A Önk bev'!K79</f>
        <v>621385</v>
      </c>
    </row>
    <row r="44" spans="1:12" ht="30" x14ac:dyDescent="0.25">
      <c r="A44" s="81"/>
      <c r="B44" s="12" t="s">
        <v>96</v>
      </c>
      <c r="C44" s="87">
        <f>'[6]2A Önk bev'!C83</f>
        <v>0</v>
      </c>
      <c r="D44" s="88">
        <f>'[6]2A Önk bev'!D83</f>
        <v>0</v>
      </c>
      <c r="E44" s="88">
        <f>'[6]2A Önk bev'!E83</f>
        <v>0</v>
      </c>
      <c r="F44" s="88">
        <f t="shared" si="0"/>
        <v>0</v>
      </c>
      <c r="G44" s="87">
        <f>'[6]2A Önk bev'!G83</f>
        <v>0</v>
      </c>
      <c r="H44" s="88">
        <f>'[6]2A Önk bev'!H83</f>
        <v>0</v>
      </c>
      <c r="I44" s="88">
        <f>'[6]2A Önk bev'!I83</f>
        <v>0</v>
      </c>
      <c r="J44" s="88">
        <f t="shared" si="1"/>
        <v>0</v>
      </c>
      <c r="K44" s="87">
        <f>'[6]2A Önk bev'!K83</f>
        <v>1692930</v>
      </c>
    </row>
    <row r="45" spans="1:12" ht="30" x14ac:dyDescent="0.25">
      <c r="A45" s="81"/>
      <c r="B45" s="12" t="s">
        <v>97</v>
      </c>
      <c r="C45" s="87"/>
      <c r="D45" s="88"/>
      <c r="E45" s="88"/>
      <c r="F45" s="88"/>
      <c r="G45" s="87"/>
      <c r="H45" s="88"/>
      <c r="I45" s="88"/>
      <c r="J45" s="88"/>
      <c r="K45" s="87"/>
    </row>
    <row r="46" spans="1:12" x14ac:dyDescent="0.25">
      <c r="A46" s="2"/>
      <c r="B46" s="91" t="s">
        <v>38</v>
      </c>
      <c r="C46" s="26">
        <f>C4+C30</f>
        <v>5079172291</v>
      </c>
      <c r="D46" s="92">
        <f>D4+D30</f>
        <v>50138615</v>
      </c>
      <c r="E46" s="92">
        <f>E4+E30</f>
        <v>0</v>
      </c>
      <c r="F46" s="92">
        <f t="shared" si="0"/>
        <v>5129310906</v>
      </c>
      <c r="G46" s="26">
        <f>G4+G30</f>
        <v>4944011086</v>
      </c>
      <c r="H46" s="92">
        <f>H4+H30</f>
        <v>228788615</v>
      </c>
      <c r="I46" s="92">
        <f>I4+I30</f>
        <v>0</v>
      </c>
      <c r="J46" s="92">
        <f t="shared" ref="J46:K61" si="2">SUM(G46:I46)</f>
        <v>5172799701</v>
      </c>
      <c r="K46" s="92">
        <f>+K4+K30</f>
        <v>2090196108</v>
      </c>
      <c r="L46" s="76">
        <f>+J46-F46</f>
        <v>43488795</v>
      </c>
    </row>
    <row r="47" spans="1:12" x14ac:dyDescent="0.25">
      <c r="A47" s="72" t="s">
        <v>42</v>
      </c>
      <c r="B47" s="73" t="s">
        <v>43</v>
      </c>
      <c r="C47" s="74">
        <f>C48+C58</f>
        <v>1000000000</v>
      </c>
      <c r="D47" s="75">
        <f>D48+D58</f>
        <v>0</v>
      </c>
      <c r="E47" s="75">
        <f>E48+E58</f>
        <v>0</v>
      </c>
      <c r="F47" s="75">
        <f t="shared" si="0"/>
        <v>1000000000</v>
      </c>
      <c r="G47" s="74">
        <f>G48+G58</f>
        <v>1704904451</v>
      </c>
      <c r="H47" s="75">
        <f>H48+H58</f>
        <v>0</v>
      </c>
      <c r="I47" s="75">
        <f>I48+I58</f>
        <v>0</v>
      </c>
      <c r="J47" s="75">
        <f t="shared" si="2"/>
        <v>1704904451</v>
      </c>
      <c r="K47" s="75">
        <f>+K48+K58</f>
        <v>186454375</v>
      </c>
      <c r="L47" s="76">
        <f>+J47-F47</f>
        <v>704904451</v>
      </c>
    </row>
    <row r="48" spans="1:12" x14ac:dyDescent="0.25">
      <c r="A48" s="77" t="s">
        <v>11</v>
      </c>
      <c r="B48" s="78" t="s">
        <v>53</v>
      </c>
      <c r="C48" s="79">
        <f>C49+C54+C55+C56+C57</f>
        <v>1000000000</v>
      </c>
      <c r="D48" s="80">
        <f>D49+D54+D55+D56+D57</f>
        <v>0</v>
      </c>
      <c r="E48" s="80">
        <f>E49+E54+E55+E56+E57</f>
        <v>0</v>
      </c>
      <c r="F48" s="80">
        <f t="shared" si="0"/>
        <v>1000000000</v>
      </c>
      <c r="G48" s="79">
        <f>G49+G54+G55+G56+G57</f>
        <v>1704904451</v>
      </c>
      <c r="H48" s="80">
        <f>H49+H54+H55+H56+H57</f>
        <v>0</v>
      </c>
      <c r="I48" s="80">
        <f>I49+I54+I55+I56+I57</f>
        <v>0</v>
      </c>
      <c r="J48" s="80">
        <f t="shared" si="2"/>
        <v>1704904451</v>
      </c>
      <c r="K48" s="80">
        <f>+K49+K54+K55+K56+K57</f>
        <v>186454375</v>
      </c>
      <c r="L48" s="76">
        <f>+J48-F48</f>
        <v>704904451</v>
      </c>
    </row>
    <row r="49" spans="1:12" ht="30" x14ac:dyDescent="0.25">
      <c r="A49" s="81"/>
      <c r="B49" s="12" t="s">
        <v>98</v>
      </c>
      <c r="C49" s="87">
        <f>SUM(C50:C53)</f>
        <v>0</v>
      </c>
      <c r="D49" s="88">
        <f>SUM(D50:D53)</f>
        <v>0</v>
      </c>
      <c r="E49" s="88">
        <f>SUM(E50:E53)</f>
        <v>0</v>
      </c>
      <c r="F49" s="88">
        <f t="shared" si="0"/>
        <v>0</v>
      </c>
      <c r="G49" s="87">
        <f>SUM(G50:G53)</f>
        <v>0</v>
      </c>
      <c r="H49" s="88">
        <f>SUM(H50:H53)</f>
        <v>0</v>
      </c>
      <c r="I49" s="88">
        <f>SUM(I50:I53)</f>
        <v>0</v>
      </c>
      <c r="J49" s="88">
        <f t="shared" si="2"/>
        <v>0</v>
      </c>
      <c r="K49" s="88">
        <f t="shared" si="2"/>
        <v>0</v>
      </c>
    </row>
    <row r="50" spans="1:12" x14ac:dyDescent="0.25">
      <c r="A50" s="81"/>
      <c r="B50" s="93" t="s">
        <v>99</v>
      </c>
      <c r="C50" s="87">
        <f>'[6]2A Önk bev'!C96</f>
        <v>0</v>
      </c>
      <c r="D50" s="88">
        <f>'[6]2A Önk bev'!D96</f>
        <v>0</v>
      </c>
      <c r="E50" s="88">
        <f>'[6]2A Önk bev'!E96</f>
        <v>0</v>
      </c>
      <c r="F50" s="88">
        <f t="shared" si="0"/>
        <v>0</v>
      </c>
      <c r="G50" s="87">
        <f>'[6]2A Önk bev'!G96</f>
        <v>0</v>
      </c>
      <c r="H50" s="88">
        <f>'[6]2A Önk bev'!H96</f>
        <v>0</v>
      </c>
      <c r="I50" s="88">
        <f>'[6]2A Önk bev'!I96</f>
        <v>0</v>
      </c>
      <c r="J50" s="88">
        <f t="shared" si="2"/>
        <v>0</v>
      </c>
      <c r="K50" s="88">
        <f t="shared" si="2"/>
        <v>0</v>
      </c>
    </row>
    <row r="51" spans="1:12" ht="30" x14ac:dyDescent="0.25">
      <c r="A51" s="81"/>
      <c r="B51" s="94" t="s">
        <v>100</v>
      </c>
      <c r="C51" s="87"/>
      <c r="D51" s="88">
        <v>0</v>
      </c>
      <c r="E51" s="88"/>
      <c r="F51" s="88">
        <f t="shared" si="0"/>
        <v>0</v>
      </c>
      <c r="G51" s="87"/>
      <c r="H51" s="88">
        <v>0</v>
      </c>
      <c r="I51" s="88"/>
      <c r="J51" s="88">
        <f t="shared" si="2"/>
        <v>0</v>
      </c>
      <c r="K51" s="88">
        <f t="shared" si="2"/>
        <v>0</v>
      </c>
    </row>
    <row r="52" spans="1:12" x14ac:dyDescent="0.25">
      <c r="A52" s="81"/>
      <c r="B52" s="93" t="s">
        <v>101</v>
      </c>
      <c r="C52" s="87">
        <v>0</v>
      </c>
      <c r="D52" s="88">
        <v>0</v>
      </c>
      <c r="E52" s="88">
        <v>0</v>
      </c>
      <c r="F52" s="88">
        <f t="shared" si="0"/>
        <v>0</v>
      </c>
      <c r="G52" s="87">
        <v>0</v>
      </c>
      <c r="H52" s="88">
        <v>0</v>
      </c>
      <c r="I52" s="88">
        <v>0</v>
      </c>
      <c r="J52" s="88">
        <f t="shared" si="2"/>
        <v>0</v>
      </c>
      <c r="K52" s="88">
        <f t="shared" si="2"/>
        <v>0</v>
      </c>
    </row>
    <row r="53" spans="1:12" x14ac:dyDescent="0.25">
      <c r="A53" s="81"/>
      <c r="B53" s="93" t="s">
        <v>102</v>
      </c>
      <c r="C53" s="87">
        <v>0</v>
      </c>
      <c r="D53" s="88">
        <v>0</v>
      </c>
      <c r="E53" s="88">
        <v>0</v>
      </c>
      <c r="F53" s="88">
        <f t="shared" si="0"/>
        <v>0</v>
      </c>
      <c r="G53" s="87">
        <v>0</v>
      </c>
      <c r="H53" s="88">
        <v>0</v>
      </c>
      <c r="I53" s="88">
        <v>0</v>
      </c>
      <c r="J53" s="88">
        <f t="shared" si="2"/>
        <v>0</v>
      </c>
      <c r="K53" s="88">
        <f t="shared" si="2"/>
        <v>0</v>
      </c>
    </row>
    <row r="54" spans="1:12" x14ac:dyDescent="0.25">
      <c r="A54" s="81"/>
      <c r="B54" s="12" t="s">
        <v>103</v>
      </c>
      <c r="C54" s="87">
        <v>0</v>
      </c>
      <c r="D54" s="88">
        <v>0</v>
      </c>
      <c r="E54" s="88">
        <v>0</v>
      </c>
      <c r="F54" s="88">
        <f t="shared" si="0"/>
        <v>0</v>
      </c>
      <c r="G54" s="87">
        <f>+'[6]2A Önk bev'!G104</f>
        <v>186454375</v>
      </c>
      <c r="H54" s="88">
        <v>0</v>
      </c>
      <c r="I54" s="88">
        <v>0</v>
      </c>
      <c r="J54" s="88">
        <f t="shared" si="2"/>
        <v>186454375</v>
      </c>
      <c r="K54" s="87">
        <f>+'[6]2A Önk bev'!K104</f>
        <v>186454375</v>
      </c>
      <c r="L54" s="76">
        <f>+J54-F54</f>
        <v>186454375</v>
      </c>
    </row>
    <row r="55" spans="1:12" x14ac:dyDescent="0.25">
      <c r="A55" s="81"/>
      <c r="B55" s="12" t="s">
        <v>104</v>
      </c>
      <c r="C55" s="87">
        <f>'[6]2A Önk bev'!C101+'[6]3A PH'!C36+'[6]4H VG bev kiad'!C33+'[6]4A Walla'!C33+'[6]4B Nyitnikék'!C33+'[6]4C Bóbita'!C33+'[6]4D MMMH'!C33+'[6]4E Könyvtár'!C33+'[6]4F Segítő Kéz'!C33+'[6]4G Szérüskert'!C33</f>
        <v>1000000000</v>
      </c>
      <c r="D55" s="88">
        <f>'[6]2A Önk bev'!D101+'[6]3A PH'!D36+'[6]4H VG bev kiad'!D33+'[6]4A Walla'!D33+'[6]4B Nyitnikék'!D33+'[6]4C Bóbita'!D33+'[6]4D MMMH'!D33+'[6]4E Könyvtár'!D33+'[6]4F Segítő Kéz'!D33</f>
        <v>0</v>
      </c>
      <c r="E55" s="88">
        <f>'[6]2A Önk bev'!E101+'[6]3A PH'!E36</f>
        <v>0</v>
      </c>
      <c r="F55" s="88">
        <f t="shared" si="0"/>
        <v>1000000000</v>
      </c>
      <c r="G55" s="87">
        <f>'[6]2A Önk bev'!G101+'[6]3A PH'!G36+'[6]4H VG bev kiad'!F33+'[6]4A Walla'!F33+'[6]4B Nyitnikék'!F33+'[6]4C Bóbita'!F33+'[6]4D MMMH'!F33+'[6]4E Könyvtár'!F33+'[6]4F Segítő Kéz'!F33+'[6]4G Szérüskert'!F33</f>
        <v>1518450076</v>
      </c>
      <c r="H55" s="88">
        <v>0</v>
      </c>
      <c r="I55" s="88">
        <f>'[6]2A Önk bev'!I101+'[6]3A PH'!I36</f>
        <v>0</v>
      </c>
      <c r="J55" s="88">
        <f t="shared" si="2"/>
        <v>1518450076</v>
      </c>
      <c r="K55" s="87">
        <f>'[6]2A Önk bev'!K101+'[6]3A PH'!K36+'[6]4H VG bev kiad'!K33+'[6]4A Walla'!K33+'[6]4B Nyitnikék'!K33+'[6]4C Bóbita'!K33+'[6]4D MMMH'!K33+'[6]4E Könyvtár'!K33+'[6]4F Segítő Kéz'!K33+'[6]4G Szérüskert'!K33</f>
        <v>0</v>
      </c>
      <c r="L55" s="76">
        <f>+J55-F55</f>
        <v>518450076</v>
      </c>
    </row>
    <row r="56" spans="1:12" x14ac:dyDescent="0.25">
      <c r="A56" s="81"/>
      <c r="B56" s="12" t="s">
        <v>105</v>
      </c>
      <c r="C56" s="87">
        <v>0</v>
      </c>
      <c r="D56" s="88">
        <v>0</v>
      </c>
      <c r="E56" s="88">
        <v>0</v>
      </c>
      <c r="F56" s="88">
        <f t="shared" si="0"/>
        <v>0</v>
      </c>
      <c r="G56" s="87">
        <v>0</v>
      </c>
      <c r="H56" s="88">
        <v>0</v>
      </c>
      <c r="I56" s="88">
        <v>0</v>
      </c>
      <c r="J56" s="88">
        <f t="shared" si="2"/>
        <v>0</v>
      </c>
      <c r="K56" s="88">
        <f t="shared" si="2"/>
        <v>0</v>
      </c>
    </row>
    <row r="57" spans="1:12" x14ac:dyDescent="0.25">
      <c r="A57" s="81"/>
      <c r="B57" s="12" t="s">
        <v>106</v>
      </c>
      <c r="C57" s="87">
        <f>'[6]2A Önk bev'!C105</f>
        <v>0</v>
      </c>
      <c r="D57" s="88">
        <f>'[6]2A Önk bev'!D105</f>
        <v>0</v>
      </c>
      <c r="E57" s="88">
        <f>'[6]2A Önk bev'!E105</f>
        <v>0</v>
      </c>
      <c r="F57" s="88">
        <f t="shared" si="0"/>
        <v>0</v>
      </c>
      <c r="G57" s="87">
        <f>'[6]2A Önk bev'!G105</f>
        <v>0</v>
      </c>
      <c r="H57" s="88">
        <f>'[6]2A Önk bev'!H105</f>
        <v>0</v>
      </c>
      <c r="I57" s="88">
        <f>'[6]2A Önk bev'!I105</f>
        <v>0</v>
      </c>
      <c r="J57" s="88">
        <f t="shared" si="2"/>
        <v>0</v>
      </c>
      <c r="K57" s="88">
        <f t="shared" si="2"/>
        <v>0</v>
      </c>
    </row>
    <row r="58" spans="1:12" x14ac:dyDescent="0.25">
      <c r="A58" s="77" t="s">
        <v>14</v>
      </c>
      <c r="B58" s="78" t="s">
        <v>55</v>
      </c>
      <c r="C58" s="79">
        <f>SUM(C59:C60)</f>
        <v>0</v>
      </c>
      <c r="D58" s="80">
        <f>SUM(D59:D60)</f>
        <v>0</v>
      </c>
      <c r="E58" s="80">
        <f>SUM(E59:E60)</f>
        <v>0</v>
      </c>
      <c r="F58" s="80">
        <f t="shared" si="0"/>
        <v>0</v>
      </c>
      <c r="G58" s="79">
        <f>SUM(G59:G60)</f>
        <v>0</v>
      </c>
      <c r="H58" s="80">
        <f>SUM(H59:H60)</f>
        <v>0</v>
      </c>
      <c r="I58" s="80">
        <f>SUM(I59:I60)</f>
        <v>0</v>
      </c>
      <c r="J58" s="80">
        <f t="shared" si="2"/>
        <v>0</v>
      </c>
      <c r="K58" s="80">
        <f t="shared" si="2"/>
        <v>0</v>
      </c>
      <c r="L58" s="76">
        <f>+J58-F58</f>
        <v>0</v>
      </c>
    </row>
    <row r="59" spans="1:12" x14ac:dyDescent="0.25">
      <c r="A59" s="81"/>
      <c r="B59" s="12" t="s">
        <v>107</v>
      </c>
      <c r="C59" s="87">
        <v>0</v>
      </c>
      <c r="D59" s="88">
        <v>0</v>
      </c>
      <c r="E59" s="88">
        <v>0</v>
      </c>
      <c r="F59" s="88">
        <f t="shared" si="0"/>
        <v>0</v>
      </c>
      <c r="G59" s="87">
        <v>0</v>
      </c>
      <c r="H59" s="88">
        <v>0</v>
      </c>
      <c r="I59" s="88">
        <v>0</v>
      </c>
      <c r="J59" s="88">
        <f t="shared" si="2"/>
        <v>0</v>
      </c>
      <c r="K59" s="88">
        <v>0</v>
      </c>
    </row>
    <row r="60" spans="1:12" x14ac:dyDescent="0.25">
      <c r="A60" s="81"/>
      <c r="B60" s="12" t="s">
        <v>108</v>
      </c>
      <c r="C60" s="87">
        <v>0</v>
      </c>
      <c r="D60" s="88">
        <v>0</v>
      </c>
      <c r="E60" s="88">
        <v>0</v>
      </c>
      <c r="F60" s="88">
        <f t="shared" si="0"/>
        <v>0</v>
      </c>
      <c r="G60" s="87">
        <v>0</v>
      </c>
      <c r="H60" s="88">
        <v>0</v>
      </c>
      <c r="I60" s="88">
        <v>0</v>
      </c>
      <c r="J60" s="88">
        <f t="shared" si="2"/>
        <v>0</v>
      </c>
      <c r="K60" s="88">
        <v>0</v>
      </c>
    </row>
    <row r="61" spans="1:12" x14ac:dyDescent="0.25">
      <c r="A61" s="95"/>
      <c r="B61" s="96" t="s">
        <v>57</v>
      </c>
      <c r="C61" s="36">
        <f>C47+C30+C4</f>
        <v>6079172291</v>
      </c>
      <c r="D61" s="36">
        <f>D47+D30+D4</f>
        <v>50138615</v>
      </c>
      <c r="E61" s="36">
        <f>E47+E30+E4</f>
        <v>0</v>
      </c>
      <c r="F61" s="36">
        <f t="shared" si="0"/>
        <v>6129310906</v>
      </c>
      <c r="G61" s="36">
        <f>G47+G30+G4</f>
        <v>6648915537</v>
      </c>
      <c r="H61" s="36">
        <f>H47+H30+H4</f>
        <v>228788615</v>
      </c>
      <c r="I61" s="36">
        <f>I47+I30+I4</f>
        <v>0</v>
      </c>
      <c r="J61" s="36">
        <f t="shared" si="2"/>
        <v>6877704152</v>
      </c>
      <c r="K61" s="36">
        <f>+K4+K30+K47</f>
        <v>2276650483</v>
      </c>
      <c r="L61" s="76">
        <f>+J61-F61</f>
        <v>748393246</v>
      </c>
    </row>
    <row r="62" spans="1:12" x14ac:dyDescent="0.25">
      <c r="J62" s="76">
        <f>+J61-F61</f>
        <v>748393246</v>
      </c>
    </row>
    <row r="63" spans="1:12" x14ac:dyDescent="0.25">
      <c r="J63" s="76"/>
    </row>
    <row r="64" spans="1:12" x14ac:dyDescent="0.25">
      <c r="J64" s="76"/>
    </row>
    <row r="67" spans="11:11" x14ac:dyDescent="0.25">
      <c r="K67" s="76"/>
    </row>
  </sheetData>
  <mergeCells count="5">
    <mergeCell ref="A2:A3"/>
    <mergeCell ref="B2:B3"/>
    <mergeCell ref="C2:F2"/>
    <mergeCell ref="G2:J2"/>
    <mergeCell ref="K2:K3"/>
  </mergeCells>
  <printOptions horizontalCentered="1"/>
  <pageMargins left="0.19685039370078741" right="0.19685039370078741" top="0.74803149606299213" bottom="0.6692913385826772" header="0.15748031496062992" footer="0.39370078740157483"/>
  <pageSetup paperSize="8" scale="85" fitToWidth="0" fitToHeight="0" orientation="portrait" r:id="rId1"/>
  <headerFooter>
    <oddHeader>&amp;L1/A.  melléklet a ......./2020. (.................) önkormányzati rendelethez&amp;C&amp;"-,Félkövér"&amp;16
Az Önkormányzat 2020. évi összevont bevételei forrásonként és feladatonként</oddHeader>
    <oddFooter>&amp;C&amp;P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6940-A037-473A-B20E-9CE4DC5CF91F}">
  <sheetPr>
    <outlinePr summaryBelow="0"/>
  </sheetPr>
  <dimension ref="A1:O198"/>
  <sheetViews>
    <sheetView view="pageBreakPreview" topLeftCell="A139" zoomScale="106" zoomScaleNormal="100" zoomScaleSheetLayoutView="106" workbookViewId="0">
      <selection activeCell="M1" sqref="M1:P1048576"/>
    </sheetView>
  </sheetViews>
  <sheetFormatPr defaultRowHeight="15" outlineLevelRow="4" x14ac:dyDescent="0.25"/>
  <cols>
    <col min="1" max="1" width="5.7109375" style="116" customWidth="1"/>
    <col min="2" max="2" width="35.28515625" style="117" customWidth="1"/>
    <col min="3" max="4" width="10.7109375" customWidth="1"/>
    <col min="5" max="5" width="14.28515625" customWidth="1"/>
    <col min="6" max="7" width="10.7109375" customWidth="1"/>
    <col min="8" max="8" width="14.28515625" customWidth="1"/>
    <col min="9" max="9" width="14.85546875" hidden="1" customWidth="1"/>
    <col min="10" max="10" width="0" hidden="1" customWidth="1"/>
    <col min="11" max="11" width="11" bestFit="1" customWidth="1"/>
    <col min="13" max="13" width="11" bestFit="1" customWidth="1"/>
    <col min="14" max="14" width="11.85546875" customWidth="1"/>
    <col min="225" max="225" width="7.7109375" bestFit="1" customWidth="1"/>
    <col min="226" max="226" width="48.7109375" customWidth="1"/>
    <col min="227" max="228" width="9.7109375" customWidth="1"/>
    <col min="229" max="230" width="10.85546875" bestFit="1" customWidth="1"/>
    <col min="231" max="231" width="10.140625" bestFit="1" customWidth="1"/>
    <col min="232" max="232" width="10.28515625" customWidth="1"/>
    <col min="233" max="233" width="14" bestFit="1" customWidth="1"/>
  </cols>
  <sheetData>
    <row r="1" spans="1:11" x14ac:dyDescent="0.25">
      <c r="C1" s="290"/>
      <c r="E1" s="265"/>
      <c r="F1" s="290"/>
      <c r="H1" s="265" t="s">
        <v>0</v>
      </c>
    </row>
    <row r="2" spans="1:11" ht="15" customHeight="1" x14ac:dyDescent="0.25">
      <c r="A2" s="428" t="s">
        <v>371</v>
      </c>
      <c r="B2" s="430" t="s">
        <v>128</v>
      </c>
      <c r="C2" s="445" t="s">
        <v>546</v>
      </c>
      <c r="D2" s="442" t="s">
        <v>568</v>
      </c>
      <c r="E2" s="442" t="s">
        <v>373</v>
      </c>
      <c r="F2" s="445" t="s">
        <v>546</v>
      </c>
      <c r="G2" s="442" t="s">
        <v>568</v>
      </c>
      <c r="H2" s="442" t="s">
        <v>373</v>
      </c>
      <c r="I2" s="422" t="s">
        <v>60</v>
      </c>
      <c r="J2" s="422" t="s">
        <v>569</v>
      </c>
    </row>
    <row r="3" spans="1:11" ht="34.5" customHeight="1" x14ac:dyDescent="0.25">
      <c r="A3" s="428"/>
      <c r="B3" s="430"/>
      <c r="C3" s="446"/>
      <c r="D3" s="443"/>
      <c r="E3" s="443"/>
      <c r="F3" s="446"/>
      <c r="G3" s="443"/>
      <c r="H3" s="443"/>
      <c r="I3" s="423"/>
      <c r="J3" s="423"/>
    </row>
    <row r="4" spans="1:11" s="122" customFormat="1" ht="38.25" customHeight="1" x14ac:dyDescent="0.25">
      <c r="A4" s="428"/>
      <c r="B4" s="430"/>
      <c r="C4" s="444" t="s">
        <v>6</v>
      </c>
      <c r="D4" s="420"/>
      <c r="E4" s="421"/>
      <c r="F4" s="444" t="s">
        <v>59</v>
      </c>
      <c r="G4" s="420"/>
      <c r="H4" s="421"/>
      <c r="I4" s="423"/>
      <c r="J4" s="423"/>
    </row>
    <row r="5" spans="1:11" s="122" customFormat="1" ht="30" x14ac:dyDescent="0.25">
      <c r="A5" s="123" t="s">
        <v>17</v>
      </c>
      <c r="B5" s="270" t="s">
        <v>570</v>
      </c>
      <c r="C5" s="125">
        <f>+C6+C21+C35+C49+C74+C94+C118+C132</f>
        <v>234.25</v>
      </c>
      <c r="D5" s="35">
        <v>0</v>
      </c>
      <c r="E5" s="35">
        <f>+E6+E21+E35+E49+E74+E94+E118+E132</f>
        <v>2085373345</v>
      </c>
      <c r="F5" s="125">
        <f>+F6+F21+F35+F49+F74+F94+F118+F132</f>
        <v>234.25</v>
      </c>
      <c r="G5" s="35">
        <v>0</v>
      </c>
      <c r="H5" s="35">
        <f>+H6+H21+H35+H49+H74+H94+H118+H132</f>
        <v>2181098512</v>
      </c>
      <c r="I5" s="35">
        <f>+I6+I21+I35+I49+I74+I94+I118+I132</f>
        <v>675415230</v>
      </c>
      <c r="J5" s="291">
        <f t="shared" ref="J5:J11" si="0">+I5/H5</f>
        <v>0.30966745714785027</v>
      </c>
      <c r="K5" s="128">
        <f>+H5-E5</f>
        <v>95725167</v>
      </c>
    </row>
    <row r="6" spans="1:11" s="187" customFormat="1" x14ac:dyDescent="0.25">
      <c r="A6" s="142" t="s">
        <v>571</v>
      </c>
      <c r="B6" s="101" t="s">
        <v>572</v>
      </c>
      <c r="C6" s="292">
        <v>13</v>
      </c>
      <c r="D6" s="293">
        <v>0</v>
      </c>
      <c r="E6" s="293">
        <f>+E7+E20</f>
        <v>83195430</v>
      </c>
      <c r="F6" s="292">
        <v>13</v>
      </c>
      <c r="G6" s="293">
        <v>0</v>
      </c>
      <c r="H6" s="293">
        <f>+H7+H20</f>
        <v>97361614</v>
      </c>
      <c r="I6" s="293">
        <f>+I7+I20</f>
        <v>21700708</v>
      </c>
      <c r="J6" s="294">
        <f t="shared" si="0"/>
        <v>0.22288771835684645</v>
      </c>
      <c r="K6" s="192">
        <f>+H6-E6</f>
        <v>14166184</v>
      </c>
    </row>
    <row r="7" spans="1:11" outlineLevel="1" x14ac:dyDescent="0.25">
      <c r="A7" s="295" t="s">
        <v>8</v>
      </c>
      <c r="B7" s="296" t="s">
        <v>134</v>
      </c>
      <c r="C7" s="297">
        <v>13</v>
      </c>
      <c r="D7" s="160">
        <v>0</v>
      </c>
      <c r="E7" s="298">
        <f>+E8+E15</f>
        <v>83195430</v>
      </c>
      <c r="F7" s="297">
        <v>13</v>
      </c>
      <c r="G7" s="160">
        <v>0</v>
      </c>
      <c r="H7" s="298">
        <f>+H8+H15</f>
        <v>97361614</v>
      </c>
      <c r="I7" s="298">
        <f>+I8+I15</f>
        <v>21700708</v>
      </c>
      <c r="J7" s="299">
        <f t="shared" si="0"/>
        <v>0.22288771835684645</v>
      </c>
    </row>
    <row r="8" spans="1:11" outlineLevel="2" x14ac:dyDescent="0.25">
      <c r="A8" s="295" t="s">
        <v>11</v>
      </c>
      <c r="B8" s="300" t="s">
        <v>184</v>
      </c>
      <c r="C8" s="301">
        <v>13</v>
      </c>
      <c r="D8" s="86">
        <v>0</v>
      </c>
      <c r="E8" s="86">
        <f>SUM(E9:E14)</f>
        <v>72400430</v>
      </c>
      <c r="F8" s="301">
        <v>13</v>
      </c>
      <c r="G8" s="86">
        <v>0</v>
      </c>
      <c r="H8" s="86">
        <f>SUM(H9:H14)</f>
        <v>86566614</v>
      </c>
      <c r="I8" s="86">
        <f>SUM(I9:I14)</f>
        <v>19157080</v>
      </c>
      <c r="J8" s="299">
        <f t="shared" si="0"/>
        <v>0.22129870991604222</v>
      </c>
    </row>
    <row r="9" spans="1:11" outlineLevel="3" x14ac:dyDescent="0.25">
      <c r="A9" s="302"/>
      <c r="B9" s="134" t="s">
        <v>13</v>
      </c>
      <c r="C9" s="303"/>
      <c r="D9" s="13"/>
      <c r="E9" s="13">
        <f>53027000+663000</f>
        <v>53690000</v>
      </c>
      <c r="F9" s="303"/>
      <c r="G9" s="13"/>
      <c r="H9" s="13">
        <f>53027000+663000</f>
        <v>53690000</v>
      </c>
      <c r="I9" s="13">
        <v>15465446</v>
      </c>
      <c r="J9" s="304">
        <f t="shared" si="0"/>
        <v>0.28805077295585768</v>
      </c>
      <c r="K9" t="s">
        <v>573</v>
      </c>
    </row>
    <row r="10" spans="1:11" outlineLevel="3" x14ac:dyDescent="0.25">
      <c r="A10" s="302"/>
      <c r="B10" s="134" t="s">
        <v>574</v>
      </c>
      <c r="C10" s="303"/>
      <c r="D10" s="13"/>
      <c r="E10" s="13">
        <v>10289630</v>
      </c>
      <c r="F10" s="303"/>
      <c r="G10" s="13"/>
      <c r="H10" s="13">
        <f>10289630</f>
        <v>10289630</v>
      </c>
      <c r="I10" s="13">
        <v>2724706</v>
      </c>
      <c r="J10" s="304">
        <f t="shared" si="0"/>
        <v>0.26480116389024677</v>
      </c>
    </row>
    <row r="11" spans="1:11" outlineLevel="3" x14ac:dyDescent="0.25">
      <c r="A11" s="302"/>
      <c r="B11" s="134" t="s">
        <v>19</v>
      </c>
      <c r="C11" s="303"/>
      <c r="D11" s="13"/>
      <c r="E11" s="13">
        <f>190800+2362000+80000+133000+1140000+331000+118000+1160000+79000+1510000+47000</f>
        <v>7150800</v>
      </c>
      <c r="F11" s="303"/>
      <c r="G11" s="13"/>
      <c r="H11" s="13">
        <f>190800+2362000+80000+133000+1140000+331000+118000+1160000+79000+1510000+47000</f>
        <v>7150800</v>
      </c>
      <c r="I11" s="13">
        <v>966928</v>
      </c>
      <c r="J11" s="304">
        <f t="shared" si="0"/>
        <v>0.13521955585389048</v>
      </c>
    </row>
    <row r="12" spans="1:11" outlineLevel="3" x14ac:dyDescent="0.25">
      <c r="A12" s="302"/>
      <c r="B12" s="134" t="s">
        <v>24</v>
      </c>
      <c r="C12" s="303"/>
      <c r="D12" s="13"/>
      <c r="E12" s="13"/>
      <c r="F12" s="303"/>
      <c r="G12" s="13"/>
      <c r="H12" s="13">
        <v>14166184</v>
      </c>
      <c r="I12" s="13"/>
      <c r="J12" s="304"/>
    </row>
    <row r="13" spans="1:11" outlineLevel="3" x14ac:dyDescent="0.25">
      <c r="A13" s="302"/>
      <c r="B13" s="134" t="s">
        <v>31</v>
      </c>
      <c r="C13" s="303"/>
      <c r="D13" s="13"/>
      <c r="E13" s="13">
        <v>1270000</v>
      </c>
      <c r="F13" s="303"/>
      <c r="G13" s="13"/>
      <c r="H13" s="13">
        <f>1270000</f>
        <v>1270000</v>
      </c>
      <c r="I13" s="13"/>
      <c r="J13" s="304">
        <f>+I13/H13</f>
        <v>0</v>
      </c>
    </row>
    <row r="14" spans="1:11" outlineLevel="3" x14ac:dyDescent="0.25">
      <c r="A14" s="302"/>
      <c r="B14" s="134" t="s">
        <v>33</v>
      </c>
      <c r="C14" s="303"/>
      <c r="D14" s="13"/>
      <c r="E14" s="13"/>
      <c r="F14" s="303"/>
      <c r="G14" s="13"/>
      <c r="H14" s="13"/>
      <c r="I14" s="13"/>
      <c r="J14" s="304"/>
    </row>
    <row r="15" spans="1:11" outlineLevel="2" x14ac:dyDescent="0.25">
      <c r="A15" s="295" t="s">
        <v>14</v>
      </c>
      <c r="B15" s="300" t="s">
        <v>186</v>
      </c>
      <c r="C15" s="301">
        <v>0</v>
      </c>
      <c r="D15" s="86">
        <v>0</v>
      </c>
      <c r="E15" s="86">
        <f>SUM(E16:E19)</f>
        <v>10795000</v>
      </c>
      <c r="F15" s="301">
        <v>0</v>
      </c>
      <c r="G15" s="86">
        <v>0</v>
      </c>
      <c r="H15" s="86">
        <f>SUM(H16:H19)</f>
        <v>10795000</v>
      </c>
      <c r="I15" s="86">
        <f>SUM(I16:I19)</f>
        <v>2543628</v>
      </c>
      <c r="J15" s="299">
        <f>+I15/H15</f>
        <v>0.2356301991662807</v>
      </c>
    </row>
    <row r="16" spans="1:11" outlineLevel="3" x14ac:dyDescent="0.25">
      <c r="A16" s="302"/>
      <c r="B16" s="134" t="s">
        <v>13</v>
      </c>
      <c r="C16" s="303"/>
      <c r="D16" s="13"/>
      <c r="E16" s="13"/>
      <c r="F16" s="303"/>
      <c r="G16" s="13"/>
      <c r="H16" s="13"/>
      <c r="I16" s="13"/>
      <c r="J16" s="13"/>
    </row>
    <row r="17" spans="1:11" outlineLevel="3" x14ac:dyDescent="0.25">
      <c r="A17" s="302"/>
      <c r="B17" s="134" t="s">
        <v>574</v>
      </c>
      <c r="C17" s="303"/>
      <c r="D17" s="13"/>
      <c r="E17" s="13"/>
      <c r="F17" s="303"/>
      <c r="G17" s="13"/>
      <c r="H17" s="13"/>
      <c r="I17" s="13"/>
      <c r="J17" s="13"/>
    </row>
    <row r="18" spans="1:11" outlineLevel="3" x14ac:dyDescent="0.25">
      <c r="A18" s="302"/>
      <c r="B18" s="134" t="s">
        <v>19</v>
      </c>
      <c r="C18" s="303"/>
      <c r="D18" s="13"/>
      <c r="E18" s="13">
        <f>8500000+2295000</f>
        <v>10795000</v>
      </c>
      <c r="F18" s="303"/>
      <c r="G18" s="13"/>
      <c r="H18" s="13">
        <f>8500000+2295000</f>
        <v>10795000</v>
      </c>
      <c r="I18" s="13">
        <v>2543628</v>
      </c>
      <c r="J18" s="304">
        <f>+I18/H18</f>
        <v>0.2356301991662807</v>
      </c>
    </row>
    <row r="19" spans="1:11" outlineLevel="3" x14ac:dyDescent="0.25">
      <c r="A19" s="302"/>
      <c r="B19" s="134" t="s">
        <v>31</v>
      </c>
      <c r="C19" s="303"/>
      <c r="D19" s="13"/>
      <c r="E19" s="13"/>
      <c r="F19" s="303"/>
      <c r="G19" s="13"/>
      <c r="H19" s="13"/>
      <c r="I19" s="13"/>
      <c r="J19" s="13"/>
    </row>
    <row r="20" spans="1:11" outlineLevel="1" x14ac:dyDescent="0.25">
      <c r="A20" s="295" t="s">
        <v>27</v>
      </c>
      <c r="B20" s="296" t="s">
        <v>205</v>
      </c>
      <c r="C20" s="297">
        <v>0</v>
      </c>
      <c r="D20" s="160">
        <v>0</v>
      </c>
      <c r="E20" s="160">
        <v>0</v>
      </c>
      <c r="F20" s="297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1" x14ac:dyDescent="0.25">
      <c r="A21" s="142" t="s">
        <v>575</v>
      </c>
      <c r="B21" s="101" t="s">
        <v>576</v>
      </c>
      <c r="C21" s="292">
        <v>32</v>
      </c>
      <c r="D21" s="293">
        <v>0</v>
      </c>
      <c r="E21" s="293">
        <f>+E22+E34</f>
        <v>203326150</v>
      </c>
      <c r="F21" s="292">
        <v>32</v>
      </c>
      <c r="G21" s="293">
        <v>0</v>
      </c>
      <c r="H21" s="293">
        <f>+H22+H34</f>
        <v>211776274</v>
      </c>
      <c r="I21" s="293">
        <f>+I22+I34</f>
        <v>61937096</v>
      </c>
      <c r="J21" s="294">
        <f t="shared" ref="J21:J26" si="1">+I21/H21</f>
        <v>0.29246475457397081</v>
      </c>
      <c r="K21" s="192">
        <f>+H21-E21</f>
        <v>8450124</v>
      </c>
    </row>
    <row r="22" spans="1:11" outlineLevel="1" x14ac:dyDescent="0.25">
      <c r="A22" s="295" t="s">
        <v>8</v>
      </c>
      <c r="B22" s="296" t="s">
        <v>134</v>
      </c>
      <c r="C22" s="297">
        <v>32</v>
      </c>
      <c r="D22" s="160">
        <v>0</v>
      </c>
      <c r="E22" s="160">
        <f>+E23+E29</f>
        <v>203326150</v>
      </c>
      <c r="F22" s="297">
        <v>32</v>
      </c>
      <c r="G22" s="160">
        <v>0</v>
      </c>
      <c r="H22" s="160">
        <f>+H23+H29</f>
        <v>211776274</v>
      </c>
      <c r="I22" s="160">
        <f>+I23+I29</f>
        <v>61937096</v>
      </c>
      <c r="J22" s="299">
        <f t="shared" si="1"/>
        <v>0.29246475457397081</v>
      </c>
    </row>
    <row r="23" spans="1:11" outlineLevel="2" x14ac:dyDescent="0.25">
      <c r="A23" s="295" t="s">
        <v>11</v>
      </c>
      <c r="B23" s="300" t="s">
        <v>184</v>
      </c>
      <c r="C23" s="301">
        <v>32</v>
      </c>
      <c r="D23" s="86">
        <v>0</v>
      </c>
      <c r="E23" s="86">
        <f>SUM(E24:E28)</f>
        <v>171434150</v>
      </c>
      <c r="F23" s="301">
        <v>32</v>
      </c>
      <c r="G23" s="86">
        <v>0</v>
      </c>
      <c r="H23" s="86">
        <f>SUM(H24:H28)</f>
        <v>179884274</v>
      </c>
      <c r="I23" s="86">
        <f>SUM(I24:I28)</f>
        <v>53367387</v>
      </c>
      <c r="J23" s="299">
        <f t="shared" si="1"/>
        <v>0.29667622306994995</v>
      </c>
    </row>
    <row r="24" spans="1:11" outlineLevel="3" x14ac:dyDescent="0.25">
      <c r="A24" s="302"/>
      <c r="B24" s="134" t="s">
        <v>13</v>
      </c>
      <c r="C24" s="303"/>
      <c r="D24" s="13"/>
      <c r="E24" s="13">
        <f>123785000+1632000</f>
        <v>125417000</v>
      </c>
      <c r="F24" s="303"/>
      <c r="G24" s="13"/>
      <c r="H24" s="13">
        <f>123785000+1632000</f>
        <v>125417000</v>
      </c>
      <c r="I24" s="13">
        <v>40919429</v>
      </c>
      <c r="J24" s="304">
        <f t="shared" si="1"/>
        <v>0.32626700527041791</v>
      </c>
    </row>
    <row r="25" spans="1:11" outlineLevel="3" x14ac:dyDescent="0.25">
      <c r="A25" s="302"/>
      <c r="B25" s="134" t="s">
        <v>574</v>
      </c>
      <c r="C25" s="303"/>
      <c r="D25" s="13"/>
      <c r="E25" s="13">
        <v>26169150</v>
      </c>
      <c r="F25" s="303"/>
      <c r="G25" s="13"/>
      <c r="H25" s="13">
        <f>26169150</f>
        <v>26169150</v>
      </c>
      <c r="I25" s="13">
        <v>8499537</v>
      </c>
      <c r="J25" s="304">
        <f t="shared" si="1"/>
        <v>0.32479224583144656</v>
      </c>
    </row>
    <row r="26" spans="1:11" outlineLevel="3" x14ac:dyDescent="0.25">
      <c r="A26" s="302"/>
      <c r="B26" s="134" t="s">
        <v>19</v>
      </c>
      <c r="C26" s="303"/>
      <c r="D26" s="13"/>
      <c r="E26" s="13">
        <f>600000+5440000+340000+185000+4500000+1045000+420000+1928000+50000+3920000+150000</f>
        <v>18578000</v>
      </c>
      <c r="F26" s="303"/>
      <c r="G26" s="13"/>
      <c r="H26" s="13">
        <f>600000+5440000+340000+185000+4500000+1045000+420000+1928000+50000+3920000+150000+205740-1003300</f>
        <v>17780440</v>
      </c>
      <c r="I26" s="13">
        <v>3940431</v>
      </c>
      <c r="J26" s="304">
        <f t="shared" si="1"/>
        <v>0.22161605674550236</v>
      </c>
      <c r="K26" s="60">
        <f>+H26-E26</f>
        <v>-797560</v>
      </c>
    </row>
    <row r="27" spans="1:11" outlineLevel="3" x14ac:dyDescent="0.25">
      <c r="A27" s="302"/>
      <c r="B27" s="134" t="s">
        <v>24</v>
      </c>
      <c r="C27" s="303"/>
      <c r="D27" s="13"/>
      <c r="E27" s="13"/>
      <c r="F27" s="303"/>
      <c r="G27" s="13"/>
      <c r="H27" s="13">
        <v>8244384</v>
      </c>
      <c r="I27" s="13"/>
      <c r="J27" s="13"/>
    </row>
    <row r="28" spans="1:11" outlineLevel="3" x14ac:dyDescent="0.25">
      <c r="A28" s="302"/>
      <c r="B28" s="134" t="s">
        <v>31</v>
      </c>
      <c r="C28" s="305"/>
      <c r="D28" s="15"/>
      <c r="E28" s="15">
        <v>1270000</v>
      </c>
      <c r="F28" s="305"/>
      <c r="G28" s="15"/>
      <c r="H28" s="15">
        <f>1270000+1003300</f>
        <v>2273300</v>
      </c>
      <c r="I28" s="15">
        <v>7990</v>
      </c>
      <c r="J28" s="304">
        <f>+I28/H28</f>
        <v>3.5147142919984163E-3</v>
      </c>
    </row>
    <row r="29" spans="1:11" outlineLevel="2" x14ac:dyDescent="0.25">
      <c r="A29" s="295" t="s">
        <v>14</v>
      </c>
      <c r="B29" s="300" t="s">
        <v>186</v>
      </c>
      <c r="C29" s="301">
        <v>0</v>
      </c>
      <c r="D29" s="86">
        <v>0</v>
      </c>
      <c r="E29" s="86">
        <f>SUM(E30:E33)</f>
        <v>31892000</v>
      </c>
      <c r="F29" s="301">
        <v>0</v>
      </c>
      <c r="G29" s="86">
        <v>0</v>
      </c>
      <c r="H29" s="86">
        <f>SUM(H30:H33)</f>
        <v>31892000</v>
      </c>
      <c r="I29" s="86">
        <f>SUM(I30:I33)</f>
        <v>8569709</v>
      </c>
      <c r="J29" s="299">
        <f>+I29/H29</f>
        <v>0.26871030352439484</v>
      </c>
    </row>
    <row r="30" spans="1:11" outlineLevel="3" x14ac:dyDescent="0.25">
      <c r="A30" s="302"/>
      <c r="B30" s="134" t="s">
        <v>13</v>
      </c>
      <c r="C30" s="303"/>
      <c r="D30" s="13"/>
      <c r="E30" s="13"/>
      <c r="F30" s="303"/>
      <c r="G30" s="13"/>
      <c r="H30" s="13"/>
      <c r="I30" s="13"/>
      <c r="J30" s="13"/>
    </row>
    <row r="31" spans="1:11" outlineLevel="3" x14ac:dyDescent="0.25">
      <c r="A31" s="302"/>
      <c r="B31" s="134" t="s">
        <v>574</v>
      </c>
      <c r="C31" s="305"/>
      <c r="D31" s="15"/>
      <c r="E31" s="15"/>
      <c r="F31" s="305"/>
      <c r="G31" s="15"/>
      <c r="H31" s="15"/>
      <c r="I31" s="15"/>
      <c r="J31" s="15"/>
    </row>
    <row r="32" spans="1:11" outlineLevel="3" x14ac:dyDescent="0.25">
      <c r="A32" s="302"/>
      <c r="B32" s="134" t="s">
        <v>19</v>
      </c>
      <c r="C32" s="305"/>
      <c r="D32" s="15"/>
      <c r="E32" s="15">
        <f>25112000*1.27-240</f>
        <v>31892000</v>
      </c>
      <c r="F32" s="305"/>
      <c r="G32" s="15"/>
      <c r="H32" s="15">
        <f>25112000*1.27-240</f>
        <v>31892000</v>
      </c>
      <c r="I32" s="15">
        <v>8569709</v>
      </c>
      <c r="J32" s="304">
        <f>+I32/H32</f>
        <v>0.26871030352439484</v>
      </c>
    </row>
    <row r="33" spans="1:11" outlineLevel="3" x14ac:dyDescent="0.25">
      <c r="A33" s="302"/>
      <c r="B33" s="134" t="s">
        <v>31</v>
      </c>
      <c r="C33" s="305"/>
      <c r="D33" s="15"/>
      <c r="E33" s="15"/>
      <c r="F33" s="305"/>
      <c r="G33" s="15"/>
      <c r="H33" s="15"/>
      <c r="I33" s="15"/>
      <c r="J33" s="15"/>
    </row>
    <row r="34" spans="1:11" outlineLevel="1" x14ac:dyDescent="0.25">
      <c r="A34" s="295" t="s">
        <v>27</v>
      </c>
      <c r="B34" s="296" t="s">
        <v>205</v>
      </c>
      <c r="C34" s="297">
        <v>0</v>
      </c>
      <c r="D34" s="160">
        <v>0</v>
      </c>
      <c r="E34" s="160">
        <v>0</v>
      </c>
      <c r="F34" s="297">
        <v>0</v>
      </c>
      <c r="G34" s="160">
        <v>0</v>
      </c>
      <c r="H34" s="160">
        <v>0</v>
      </c>
      <c r="I34" s="160">
        <v>0</v>
      </c>
      <c r="J34" s="160">
        <v>0</v>
      </c>
    </row>
    <row r="35" spans="1:11" x14ac:dyDescent="0.25">
      <c r="A35" s="142" t="s">
        <v>577</v>
      </c>
      <c r="B35" s="101" t="s">
        <v>578</v>
      </c>
      <c r="C35" s="292">
        <f>+C36</f>
        <v>55</v>
      </c>
      <c r="D35" s="293">
        <v>0</v>
      </c>
      <c r="E35" s="293">
        <f>+E36+E48</f>
        <v>359572890</v>
      </c>
      <c r="F35" s="292">
        <f>+F36</f>
        <v>55</v>
      </c>
      <c r="G35" s="293">
        <v>0</v>
      </c>
      <c r="H35" s="293">
        <f>+H36+H48</f>
        <v>372247290</v>
      </c>
      <c r="I35" s="293">
        <f>+I36+I48</f>
        <v>118742649</v>
      </c>
      <c r="J35" s="294">
        <f t="shared" ref="J35:J40" si="2">+I35/H35</f>
        <v>0.31898861909780457</v>
      </c>
      <c r="K35" s="192">
        <f>+H35-E35</f>
        <v>12674400</v>
      </c>
    </row>
    <row r="36" spans="1:11" outlineLevel="1" x14ac:dyDescent="0.25">
      <c r="A36" s="295" t="s">
        <v>8</v>
      </c>
      <c r="B36" s="296" t="s">
        <v>134</v>
      </c>
      <c r="C36" s="297">
        <f>+C37</f>
        <v>55</v>
      </c>
      <c r="D36" s="160">
        <v>0</v>
      </c>
      <c r="E36" s="298">
        <f>+E37+E43</f>
        <v>359572890</v>
      </c>
      <c r="F36" s="297">
        <f>+F37</f>
        <v>55</v>
      </c>
      <c r="G36" s="160">
        <v>0</v>
      </c>
      <c r="H36" s="298">
        <f>+H37+H43</f>
        <v>372247290</v>
      </c>
      <c r="I36" s="298">
        <f>+I37+I43</f>
        <v>118742649</v>
      </c>
      <c r="J36" s="299">
        <f t="shared" si="2"/>
        <v>0.31898861909780457</v>
      </c>
    </row>
    <row r="37" spans="1:11" outlineLevel="2" x14ac:dyDescent="0.25">
      <c r="A37" s="295" t="s">
        <v>11</v>
      </c>
      <c r="B37" s="300" t="s">
        <v>184</v>
      </c>
      <c r="C37" s="301">
        <v>55</v>
      </c>
      <c r="D37" s="86">
        <v>0</v>
      </c>
      <c r="E37" s="166">
        <f>SUM(E38:E42)</f>
        <v>311808190</v>
      </c>
      <c r="F37" s="301">
        <v>55</v>
      </c>
      <c r="G37" s="86">
        <v>0</v>
      </c>
      <c r="H37" s="166">
        <f>SUM(H38:H42)</f>
        <v>324482590</v>
      </c>
      <c r="I37" s="166">
        <f>SUM(I38:I42)</f>
        <v>104280627</v>
      </c>
      <c r="J37" s="299">
        <f t="shared" si="2"/>
        <v>0.32137510675071967</v>
      </c>
    </row>
    <row r="38" spans="1:11" outlineLevel="3" x14ac:dyDescent="0.25">
      <c r="A38" s="302"/>
      <c r="B38" s="134" t="s">
        <v>13</v>
      </c>
      <c r="C38" s="303"/>
      <c r="D38" s="13"/>
      <c r="E38" s="137">
        <v>222046000</v>
      </c>
      <c r="F38" s="303"/>
      <c r="G38" s="13"/>
      <c r="H38" s="137">
        <f>222046000</f>
        <v>222046000</v>
      </c>
      <c r="I38" s="137">
        <v>76554887</v>
      </c>
      <c r="J38" s="304">
        <f t="shared" si="2"/>
        <v>0.34477039442277724</v>
      </c>
    </row>
    <row r="39" spans="1:11" outlineLevel="3" x14ac:dyDescent="0.25">
      <c r="A39" s="302"/>
      <c r="B39" s="134" t="s">
        <v>574</v>
      </c>
      <c r="C39" s="303"/>
      <c r="D39" s="13"/>
      <c r="E39" s="137">
        <v>46170290</v>
      </c>
      <c r="F39" s="303"/>
      <c r="G39" s="13"/>
      <c r="H39" s="137">
        <f>46170290</f>
        <v>46170290</v>
      </c>
      <c r="I39" s="137">
        <v>15950319</v>
      </c>
      <c r="J39" s="304">
        <f t="shared" si="2"/>
        <v>0.34546716080838996</v>
      </c>
    </row>
    <row r="40" spans="1:11" outlineLevel="3" x14ac:dyDescent="0.25">
      <c r="A40" s="302"/>
      <c r="B40" s="134" t="s">
        <v>19</v>
      </c>
      <c r="C40" s="303"/>
      <c r="D40" s="13"/>
      <c r="E40" s="137">
        <f>300000+5836000+1135000+450000+10600000+200000+3195000+860000+11084900+50000+8865000</f>
        <v>42575900</v>
      </c>
      <c r="F40" s="303"/>
      <c r="G40" s="13"/>
      <c r="H40" s="137">
        <f>300000+5836000+1135000+450000+10600000+200000+3195000+860000+11084900+50000+8865000+320295</f>
        <v>42896195</v>
      </c>
      <c r="I40" s="137">
        <v>11684929</v>
      </c>
      <c r="J40" s="304">
        <f t="shared" si="2"/>
        <v>0.27240012779688266</v>
      </c>
    </row>
    <row r="41" spans="1:11" outlineLevel="3" x14ac:dyDescent="0.25">
      <c r="A41" s="302"/>
      <c r="B41" s="134" t="s">
        <v>24</v>
      </c>
      <c r="C41" s="303"/>
      <c r="D41" s="13"/>
      <c r="E41" s="13"/>
      <c r="F41" s="303"/>
      <c r="G41" s="13"/>
      <c r="H41" s="13">
        <v>12354105</v>
      </c>
      <c r="I41" s="13"/>
      <c r="J41" s="13"/>
    </row>
    <row r="42" spans="1:11" outlineLevel="3" x14ac:dyDescent="0.25">
      <c r="A42" s="302"/>
      <c r="B42" s="134" t="s">
        <v>31</v>
      </c>
      <c r="C42" s="303"/>
      <c r="D42" s="13"/>
      <c r="E42" s="13">
        <v>1016000</v>
      </c>
      <c r="F42" s="303"/>
      <c r="G42" s="13"/>
      <c r="H42" s="13">
        <v>1016000</v>
      </c>
      <c r="I42" s="13">
        <v>90492</v>
      </c>
      <c r="J42" s="304">
        <f>+I42/H42</f>
        <v>8.9066929133858261E-2</v>
      </c>
    </row>
    <row r="43" spans="1:11" outlineLevel="2" x14ac:dyDescent="0.25">
      <c r="A43" s="295" t="s">
        <v>14</v>
      </c>
      <c r="B43" s="300" t="s">
        <v>186</v>
      </c>
      <c r="C43" s="301">
        <v>0</v>
      </c>
      <c r="D43" s="86">
        <v>0</v>
      </c>
      <c r="E43" s="86">
        <f>SUM(E44:E47)</f>
        <v>47764700</v>
      </c>
      <c r="F43" s="301">
        <v>0</v>
      </c>
      <c r="G43" s="86">
        <v>0</v>
      </c>
      <c r="H43" s="86">
        <f>SUM(H44:H47)</f>
        <v>47764700</v>
      </c>
      <c r="I43" s="86">
        <f>SUM(I44:I47)</f>
        <v>14462022</v>
      </c>
      <c r="J43" s="299">
        <f>+I43/H43</f>
        <v>0.30277635994782759</v>
      </c>
    </row>
    <row r="44" spans="1:11" outlineLevel="3" x14ac:dyDescent="0.25">
      <c r="A44" s="302"/>
      <c r="B44" s="134" t="s">
        <v>13</v>
      </c>
      <c r="C44" s="303"/>
      <c r="D44" s="13"/>
      <c r="E44" s="13"/>
      <c r="F44" s="303"/>
      <c r="G44" s="13"/>
      <c r="H44" s="13"/>
      <c r="I44" s="13"/>
      <c r="J44" s="13"/>
    </row>
    <row r="45" spans="1:11" outlineLevel="3" x14ac:dyDescent="0.25">
      <c r="A45" s="302"/>
      <c r="B45" s="134" t="s">
        <v>574</v>
      </c>
      <c r="C45" s="303"/>
      <c r="D45" s="13"/>
      <c r="E45" s="13"/>
      <c r="F45" s="303"/>
      <c r="G45" s="13"/>
      <c r="H45" s="13"/>
      <c r="I45" s="13"/>
      <c r="J45" s="13"/>
    </row>
    <row r="46" spans="1:11" outlineLevel="3" x14ac:dyDescent="0.25">
      <c r="A46" s="302"/>
      <c r="B46" s="134" t="s">
        <v>19</v>
      </c>
      <c r="C46" s="303"/>
      <c r="D46" s="13"/>
      <c r="E46" s="13">
        <f>37610000+10154700</f>
        <v>47764700</v>
      </c>
      <c r="F46" s="303"/>
      <c r="G46" s="13"/>
      <c r="H46" s="13">
        <f>37610000+10154700</f>
        <v>47764700</v>
      </c>
      <c r="I46" s="13">
        <v>14462022</v>
      </c>
      <c r="J46" s="304">
        <f>+I46/H46</f>
        <v>0.30277635994782759</v>
      </c>
    </row>
    <row r="47" spans="1:11" outlineLevel="3" x14ac:dyDescent="0.25">
      <c r="A47" s="302"/>
      <c r="B47" s="134" t="s">
        <v>31</v>
      </c>
      <c r="C47" s="303"/>
      <c r="D47" s="13"/>
      <c r="E47" s="13"/>
      <c r="F47" s="303"/>
      <c r="G47" s="13"/>
      <c r="H47" s="13"/>
      <c r="I47" s="13"/>
      <c r="J47" s="13"/>
    </row>
    <row r="48" spans="1:11" outlineLevel="1" x14ac:dyDescent="0.25">
      <c r="A48" s="295" t="s">
        <v>27</v>
      </c>
      <c r="B48" s="296" t="s">
        <v>205</v>
      </c>
      <c r="C48" s="297">
        <v>0</v>
      </c>
      <c r="D48" s="160">
        <v>0</v>
      </c>
      <c r="E48" s="160">
        <v>0</v>
      </c>
      <c r="F48" s="297">
        <v>0</v>
      </c>
      <c r="G48" s="160">
        <v>0</v>
      </c>
      <c r="H48" s="160">
        <v>0</v>
      </c>
      <c r="I48" s="160">
        <v>0</v>
      </c>
      <c r="J48" s="160">
        <v>0</v>
      </c>
    </row>
    <row r="49" spans="1:11" x14ac:dyDescent="0.25">
      <c r="A49" s="142" t="s">
        <v>579</v>
      </c>
      <c r="B49" s="101" t="s">
        <v>580</v>
      </c>
      <c r="C49" s="292">
        <v>17</v>
      </c>
      <c r="D49" s="293">
        <v>0</v>
      </c>
      <c r="E49" s="293">
        <f>+E50+E68</f>
        <v>257914160</v>
      </c>
      <c r="F49" s="292">
        <v>17</v>
      </c>
      <c r="G49" s="293">
        <v>0</v>
      </c>
      <c r="H49" s="293">
        <f>+H50+H68</f>
        <v>263149175</v>
      </c>
      <c r="I49" s="293">
        <f>+I50+I68</f>
        <v>79588085</v>
      </c>
      <c r="J49" s="294">
        <f t="shared" ref="J49:J54" si="3">+I49/H49</f>
        <v>0.30244474450660924</v>
      </c>
      <c r="K49" s="192">
        <f>+H49-E49</f>
        <v>5235015</v>
      </c>
    </row>
    <row r="50" spans="1:11" outlineLevel="1" x14ac:dyDescent="0.25">
      <c r="A50" s="295" t="s">
        <v>8</v>
      </c>
      <c r="B50" s="296" t="s">
        <v>134</v>
      </c>
      <c r="C50" s="297">
        <v>17</v>
      </c>
      <c r="D50" s="160">
        <v>0</v>
      </c>
      <c r="E50" s="298">
        <f>+E51+E58+E63</f>
        <v>257914160</v>
      </c>
      <c r="F50" s="297">
        <v>17</v>
      </c>
      <c r="G50" s="160">
        <v>0</v>
      </c>
      <c r="H50" s="298">
        <f>+H51+H58+H63</f>
        <v>263149175</v>
      </c>
      <c r="I50" s="298">
        <f>+I51+I58+I63</f>
        <v>79588085</v>
      </c>
      <c r="J50" s="299">
        <f t="shared" si="3"/>
        <v>0.30244474450660924</v>
      </c>
    </row>
    <row r="51" spans="1:11" outlineLevel="2" x14ac:dyDescent="0.25">
      <c r="A51" s="295" t="s">
        <v>11</v>
      </c>
      <c r="B51" s="300" t="s">
        <v>188</v>
      </c>
      <c r="C51" s="301">
        <v>17</v>
      </c>
      <c r="D51" s="86">
        <v>0</v>
      </c>
      <c r="E51" s="86">
        <f>SUM(E52:E57)</f>
        <v>65711310</v>
      </c>
      <c r="F51" s="301">
        <v>17</v>
      </c>
      <c r="G51" s="86">
        <v>0</v>
      </c>
      <c r="H51" s="86">
        <f>SUM(H52:H57)</f>
        <v>68524807</v>
      </c>
      <c r="I51" s="86">
        <f>SUM(I52:I57)</f>
        <v>17383122</v>
      </c>
      <c r="J51" s="299">
        <f t="shared" si="3"/>
        <v>0.2536763365127026</v>
      </c>
    </row>
    <row r="52" spans="1:11" outlineLevel="3" x14ac:dyDescent="0.25">
      <c r="A52" s="302"/>
      <c r="B52" s="134" t="s">
        <v>13</v>
      </c>
      <c r="C52" s="303">
        <v>4</v>
      </c>
      <c r="D52" s="13"/>
      <c r="E52" s="13">
        <v>28226000</v>
      </c>
      <c r="F52" s="303">
        <v>4</v>
      </c>
      <c r="G52" s="13"/>
      <c r="H52" s="13">
        <f>28226000</f>
        <v>28226000</v>
      </c>
      <c r="I52" s="13">
        <v>9599882</v>
      </c>
      <c r="J52" s="304">
        <f t="shared" si="3"/>
        <v>0.34010777297527101</v>
      </c>
    </row>
    <row r="53" spans="1:11" outlineLevel="3" x14ac:dyDescent="0.25">
      <c r="A53" s="302"/>
      <c r="B53" s="134" t="s">
        <v>574</v>
      </c>
      <c r="C53" s="303"/>
      <c r="D53" s="13"/>
      <c r="E53" s="13">
        <v>5675310</v>
      </c>
      <c r="F53" s="303"/>
      <c r="G53" s="13"/>
      <c r="H53" s="13">
        <f>5675310</f>
        <v>5675310</v>
      </c>
      <c r="I53" s="13">
        <v>1961097</v>
      </c>
      <c r="J53" s="304">
        <f t="shared" si="3"/>
        <v>0.34554887750625074</v>
      </c>
    </row>
    <row r="54" spans="1:11" outlineLevel="3" x14ac:dyDescent="0.25">
      <c r="A54" s="302"/>
      <c r="B54" s="134" t="s">
        <v>19</v>
      </c>
      <c r="C54" s="303"/>
      <c r="D54" s="13"/>
      <c r="E54" s="13">
        <f>900000+580000+80000+250000+20100000+1230000+4000000+4000000+670000</f>
        <v>31810000</v>
      </c>
      <c r="F54" s="303"/>
      <c r="G54" s="13"/>
      <c r="H54" s="13">
        <f>900000+580000+80000+250000+20100000+1230000+4000000+4000000+670000</f>
        <v>31810000</v>
      </c>
      <c r="I54" s="13">
        <v>5726943</v>
      </c>
      <c r="J54" s="304">
        <f t="shared" si="3"/>
        <v>0.18003593209682489</v>
      </c>
    </row>
    <row r="55" spans="1:11" outlineLevel="3" x14ac:dyDescent="0.25">
      <c r="A55" s="302"/>
      <c r="B55" s="134" t="s">
        <v>24</v>
      </c>
      <c r="C55" s="303"/>
      <c r="D55" s="13"/>
      <c r="E55" s="13"/>
      <c r="F55" s="303"/>
      <c r="G55" s="13"/>
      <c r="H55" s="13">
        <f>2718297+95200</f>
        <v>2813497</v>
      </c>
      <c r="I55" s="13">
        <f>95200</f>
        <v>95200</v>
      </c>
      <c r="J55" s="13"/>
    </row>
    <row r="56" spans="1:11" s="139" customFormat="1" outlineLevel="3" x14ac:dyDescent="0.25">
      <c r="A56" s="302"/>
      <c r="B56" s="134" t="s">
        <v>31</v>
      </c>
      <c r="C56" s="303"/>
      <c r="D56" s="13"/>
      <c r="E56" s="13"/>
      <c r="F56" s="303"/>
      <c r="G56" s="13"/>
      <c r="H56" s="13"/>
      <c r="I56" s="13"/>
      <c r="J56" s="304"/>
    </row>
    <row r="57" spans="1:11" s="139" customFormat="1" outlineLevel="3" x14ac:dyDescent="0.25">
      <c r="A57" s="302"/>
      <c r="B57" s="134" t="s">
        <v>33</v>
      </c>
      <c r="C57" s="303"/>
      <c r="D57" s="13"/>
      <c r="E57" s="13"/>
      <c r="F57" s="303"/>
      <c r="G57" s="13"/>
      <c r="H57" s="13"/>
      <c r="I57" s="13"/>
      <c r="J57" s="13"/>
    </row>
    <row r="58" spans="1:11" outlineLevel="2" x14ac:dyDescent="0.25">
      <c r="A58" s="295" t="s">
        <v>14</v>
      </c>
      <c r="B58" s="300" t="s">
        <v>581</v>
      </c>
      <c r="C58" s="301">
        <v>0</v>
      </c>
      <c r="D58" s="86">
        <v>0</v>
      </c>
      <c r="E58" s="86">
        <f>SUM(E59:E62)</f>
        <v>189916850</v>
      </c>
      <c r="F58" s="301">
        <v>0</v>
      </c>
      <c r="G58" s="86">
        <v>0</v>
      </c>
      <c r="H58" s="86">
        <f>SUM(H59:H62)</f>
        <v>192338368</v>
      </c>
      <c r="I58" s="86">
        <f>SUM(I59:I62)</f>
        <v>62204963</v>
      </c>
      <c r="J58" s="299">
        <f>+I58/H58</f>
        <v>0.32341421863369457</v>
      </c>
    </row>
    <row r="59" spans="1:11" outlineLevel="3" x14ac:dyDescent="0.25">
      <c r="A59" s="302"/>
      <c r="B59" s="134" t="s">
        <v>13</v>
      </c>
      <c r="C59" s="303">
        <v>13</v>
      </c>
      <c r="D59" s="13"/>
      <c r="E59" s="13">
        <v>55628000</v>
      </c>
      <c r="F59" s="303">
        <v>13</v>
      </c>
      <c r="G59" s="13"/>
      <c r="H59" s="13">
        <f>55628000</f>
        <v>55628000</v>
      </c>
      <c r="I59" s="13">
        <v>18886362</v>
      </c>
      <c r="J59" s="304">
        <f>+I59/H59</f>
        <v>0.33951179262242037</v>
      </c>
    </row>
    <row r="60" spans="1:11" s="139" customFormat="1" outlineLevel="3" x14ac:dyDescent="0.25">
      <c r="A60" s="302"/>
      <c r="B60" s="134" t="s">
        <v>574</v>
      </c>
      <c r="C60" s="303"/>
      <c r="D60" s="13"/>
      <c r="E60" s="13">
        <v>10657850</v>
      </c>
      <c r="F60" s="303"/>
      <c r="G60" s="13"/>
      <c r="H60" s="13">
        <f>10657850</f>
        <v>10657850</v>
      </c>
      <c r="I60" s="13">
        <v>3212129</v>
      </c>
      <c r="J60" s="304">
        <f>+I60/H60</f>
        <v>0.30138620828778789</v>
      </c>
    </row>
    <row r="61" spans="1:11" outlineLevel="3" x14ac:dyDescent="0.25">
      <c r="A61" s="302"/>
      <c r="B61" s="134" t="s">
        <v>19</v>
      </c>
      <c r="C61" s="303"/>
      <c r="D61" s="13"/>
      <c r="E61" s="137">
        <f>80000+4800000+1580000+80000+14500000+345000+37897000+1670000+250000+32250000+100000+24809000+4000000</f>
        <v>122361000</v>
      </c>
      <c r="F61" s="303"/>
      <c r="G61" s="13"/>
      <c r="H61" s="137">
        <f>80000+4800000+1580000+80000+14500000+345000+37897000+1670000+250000+32250000+100000+24809000+4000000+2418518+3000</f>
        <v>124782518</v>
      </c>
      <c r="I61" s="137">
        <v>40062742</v>
      </c>
      <c r="J61" s="304">
        <f>+I61/H61</f>
        <v>0.32106053509835408</v>
      </c>
    </row>
    <row r="62" spans="1:11" outlineLevel="3" x14ac:dyDescent="0.25">
      <c r="A62" s="302"/>
      <c r="B62" s="134" t="s">
        <v>31</v>
      </c>
      <c r="C62" s="303"/>
      <c r="D62" s="13"/>
      <c r="E62" s="137">
        <v>1270000</v>
      </c>
      <c r="F62" s="303"/>
      <c r="G62" s="13"/>
      <c r="H62" s="137">
        <v>1270000</v>
      </c>
      <c r="I62" s="137">
        <v>43730</v>
      </c>
      <c r="J62" s="304">
        <f>+I62/H62</f>
        <v>3.4433070866141731E-2</v>
      </c>
    </row>
    <row r="63" spans="1:11" outlineLevel="2" x14ac:dyDescent="0.25">
      <c r="A63" s="295" t="s">
        <v>17</v>
      </c>
      <c r="B63" s="300" t="s">
        <v>160</v>
      </c>
      <c r="C63" s="301">
        <v>0</v>
      </c>
      <c r="D63" s="86">
        <v>0</v>
      </c>
      <c r="E63" s="86">
        <f>SUM(E64:E67)</f>
        <v>2286000</v>
      </c>
      <c r="F63" s="301">
        <v>0</v>
      </c>
      <c r="G63" s="86">
        <v>0</v>
      </c>
      <c r="H63" s="86">
        <f>SUM(H64:H67)</f>
        <v>2286000</v>
      </c>
      <c r="I63" s="86">
        <f>SUM(I64:I67)</f>
        <v>0</v>
      </c>
      <c r="J63" s="86">
        <f>SUM(J64:J67)</f>
        <v>0</v>
      </c>
    </row>
    <row r="64" spans="1:11" outlineLevel="3" x14ac:dyDescent="0.25">
      <c r="A64" s="302"/>
      <c r="B64" s="134" t="s">
        <v>13</v>
      </c>
      <c r="C64" s="303"/>
      <c r="D64" s="13"/>
      <c r="E64" s="13"/>
      <c r="F64" s="303"/>
      <c r="G64" s="13"/>
      <c r="H64" s="13"/>
      <c r="I64" s="13"/>
      <c r="J64" s="13"/>
    </row>
    <row r="65" spans="1:11" outlineLevel="3" x14ac:dyDescent="0.25">
      <c r="A65" s="302"/>
      <c r="B65" s="134" t="s">
        <v>574</v>
      </c>
      <c r="C65" s="303"/>
      <c r="D65" s="13"/>
      <c r="E65" s="13"/>
      <c r="F65" s="303"/>
      <c r="G65" s="13"/>
      <c r="H65" s="13"/>
      <c r="I65" s="13"/>
      <c r="J65" s="13"/>
    </row>
    <row r="66" spans="1:11" outlineLevel="3" x14ac:dyDescent="0.25">
      <c r="A66" s="302"/>
      <c r="B66" s="134" t="s">
        <v>19</v>
      </c>
      <c r="C66" s="303"/>
      <c r="D66" s="13"/>
      <c r="E66" s="137">
        <f>1800000+486000</f>
        <v>2286000</v>
      </c>
      <c r="F66" s="303"/>
      <c r="G66" s="13"/>
      <c r="H66" s="137">
        <f>1800000+486000</f>
        <v>2286000</v>
      </c>
      <c r="I66" s="137"/>
      <c r="J66" s="304">
        <f>+I66/H66</f>
        <v>0</v>
      </c>
    </row>
    <row r="67" spans="1:11" outlineLevel="3" x14ac:dyDescent="0.25">
      <c r="A67" s="302"/>
      <c r="B67" s="134" t="s">
        <v>31</v>
      </c>
      <c r="C67" s="303"/>
      <c r="D67" s="13"/>
      <c r="E67" s="13"/>
      <c r="F67" s="303"/>
      <c r="G67" s="13"/>
      <c r="H67" s="13"/>
      <c r="I67" s="13"/>
      <c r="J67" s="13"/>
    </row>
    <row r="68" spans="1:11" outlineLevel="1" x14ac:dyDescent="0.25">
      <c r="A68" s="295" t="s">
        <v>27</v>
      </c>
      <c r="B68" s="296" t="s">
        <v>205</v>
      </c>
      <c r="C68" s="297">
        <v>0</v>
      </c>
      <c r="D68" s="160">
        <v>0</v>
      </c>
      <c r="E68" s="160">
        <f>+E69</f>
        <v>0</v>
      </c>
      <c r="F68" s="297">
        <v>0</v>
      </c>
      <c r="G68" s="160">
        <v>0</v>
      </c>
      <c r="H68" s="160">
        <f>+H69</f>
        <v>0</v>
      </c>
      <c r="I68" s="160">
        <f>+I69</f>
        <v>0</v>
      </c>
      <c r="J68" s="160">
        <f>+J69</f>
        <v>0</v>
      </c>
    </row>
    <row r="69" spans="1:11" collapsed="1" x14ac:dyDescent="0.25">
      <c r="A69" s="295" t="s">
        <v>11</v>
      </c>
      <c r="B69" s="300" t="s">
        <v>582</v>
      </c>
      <c r="C69" s="301">
        <v>0</v>
      </c>
      <c r="D69" s="86">
        <v>0</v>
      </c>
      <c r="E69" s="86">
        <f>SUM(E70:E73)</f>
        <v>0</v>
      </c>
      <c r="F69" s="301">
        <v>0</v>
      </c>
      <c r="G69" s="86">
        <v>0</v>
      </c>
      <c r="H69" s="86">
        <f>SUM(H70:H73)</f>
        <v>0</v>
      </c>
      <c r="I69" s="86">
        <f>SUM(I70:I73)</f>
        <v>0</v>
      </c>
      <c r="J69" s="86">
        <f>SUM(J70:J73)</f>
        <v>0</v>
      </c>
    </row>
    <row r="70" spans="1:11" hidden="1" outlineLevel="1" x14ac:dyDescent="0.25">
      <c r="A70" s="295"/>
      <c r="B70" s="134" t="s">
        <v>13</v>
      </c>
      <c r="C70" s="306"/>
      <c r="D70" s="15"/>
      <c r="E70" s="15"/>
      <c r="F70" s="306"/>
      <c r="G70" s="15"/>
      <c r="H70" s="15"/>
      <c r="I70" s="15"/>
      <c r="J70" s="15"/>
    </row>
    <row r="71" spans="1:11" hidden="1" outlineLevel="1" x14ac:dyDescent="0.25">
      <c r="A71" s="295"/>
      <c r="B71" s="134" t="s">
        <v>574</v>
      </c>
      <c r="C71" s="306"/>
      <c r="D71" s="15"/>
      <c r="E71" s="15"/>
      <c r="F71" s="306"/>
      <c r="G71" s="15"/>
      <c r="H71" s="15"/>
      <c r="I71" s="15"/>
      <c r="J71" s="15"/>
    </row>
    <row r="72" spans="1:11" hidden="1" outlineLevel="1" x14ac:dyDescent="0.25">
      <c r="A72" s="295"/>
      <c r="B72" s="134" t="s">
        <v>19</v>
      </c>
      <c r="C72" s="306"/>
      <c r="D72" s="15"/>
      <c r="E72" s="15"/>
      <c r="F72" s="306"/>
      <c r="G72" s="15"/>
      <c r="H72" s="15"/>
      <c r="I72" s="15"/>
      <c r="J72" s="15"/>
    </row>
    <row r="73" spans="1:11" hidden="1" outlineLevel="1" x14ac:dyDescent="0.25">
      <c r="A73" s="295"/>
      <c r="B73" s="134" t="s">
        <v>31</v>
      </c>
      <c r="C73" s="306"/>
      <c r="D73" s="15"/>
      <c r="E73" s="15"/>
      <c r="F73" s="306"/>
      <c r="G73" s="15"/>
      <c r="H73" s="15"/>
      <c r="I73" s="15"/>
      <c r="J73" s="15"/>
    </row>
    <row r="74" spans="1:11" x14ac:dyDescent="0.25">
      <c r="A74" s="142" t="s">
        <v>583</v>
      </c>
      <c r="B74" s="101" t="s">
        <v>584</v>
      </c>
      <c r="C74" s="292">
        <f>+C75+C88</f>
        <v>5.5</v>
      </c>
      <c r="D74" s="293">
        <v>0</v>
      </c>
      <c r="E74" s="293">
        <f>+E75+E88</f>
        <v>55319630</v>
      </c>
      <c r="F74" s="292">
        <f>+F75+F88</f>
        <v>5.5</v>
      </c>
      <c r="G74" s="293">
        <v>0</v>
      </c>
      <c r="H74" s="293">
        <f>+H75+H88</f>
        <v>57601225</v>
      </c>
      <c r="I74" s="293">
        <f>+I75+I88</f>
        <v>14617462</v>
      </c>
      <c r="J74" s="294">
        <f t="shared" ref="J74:J79" si="4">+I74/H74</f>
        <v>0.25376998492653585</v>
      </c>
      <c r="K74" s="192">
        <f>+H74-E74</f>
        <v>2281595</v>
      </c>
    </row>
    <row r="75" spans="1:11" s="139" customFormat="1" outlineLevel="1" x14ac:dyDescent="0.25">
      <c r="A75" s="295" t="s">
        <v>8</v>
      </c>
      <c r="B75" s="296" t="s">
        <v>134</v>
      </c>
      <c r="C75" s="297">
        <f>+C76</f>
        <v>4.5</v>
      </c>
      <c r="D75" s="160">
        <v>0</v>
      </c>
      <c r="E75" s="298">
        <f>+E76+E83</f>
        <v>46562130</v>
      </c>
      <c r="F75" s="297">
        <f>+F76</f>
        <v>4.5</v>
      </c>
      <c r="G75" s="160">
        <v>0</v>
      </c>
      <c r="H75" s="298">
        <f>+H76+H83</f>
        <v>48843725</v>
      </c>
      <c r="I75" s="298">
        <f>+I76+I83</f>
        <v>11954419</v>
      </c>
      <c r="J75" s="299">
        <f t="shared" si="4"/>
        <v>0.24474830697290184</v>
      </c>
    </row>
    <row r="76" spans="1:11" outlineLevel="2" x14ac:dyDescent="0.25">
      <c r="A76" s="295" t="s">
        <v>11</v>
      </c>
      <c r="B76" s="300" t="s">
        <v>192</v>
      </c>
      <c r="C76" s="301">
        <v>4.5</v>
      </c>
      <c r="D76" s="86">
        <v>0</v>
      </c>
      <c r="E76" s="166">
        <f>SUM(E77:E82)</f>
        <v>43962130</v>
      </c>
      <c r="F76" s="301">
        <v>4.5</v>
      </c>
      <c r="G76" s="86">
        <v>0</v>
      </c>
      <c r="H76" s="166">
        <f>SUM(H77:H82)</f>
        <v>46243725</v>
      </c>
      <c r="I76" s="166">
        <f>SUM(I77:I82)</f>
        <v>11321021</v>
      </c>
      <c r="J76" s="299">
        <f t="shared" si="4"/>
        <v>0.2448120474723868</v>
      </c>
    </row>
    <row r="77" spans="1:11" outlineLevel="3" x14ac:dyDescent="0.25">
      <c r="A77" s="302"/>
      <c r="B77" s="134" t="s">
        <v>13</v>
      </c>
      <c r="C77" s="303"/>
      <c r="D77" s="13"/>
      <c r="E77" s="137">
        <v>16831500</v>
      </c>
      <c r="F77" s="303"/>
      <c r="G77" s="13"/>
      <c r="H77" s="137">
        <f>16831500</f>
        <v>16831500</v>
      </c>
      <c r="I77" s="137">
        <v>5826586</v>
      </c>
      <c r="J77" s="304">
        <f t="shared" si="4"/>
        <v>0.34617152363128656</v>
      </c>
    </row>
    <row r="78" spans="1:11" outlineLevel="3" x14ac:dyDescent="0.25">
      <c r="A78" s="302"/>
      <c r="B78" s="134" t="s">
        <v>574</v>
      </c>
      <c r="C78" s="303"/>
      <c r="D78" s="13"/>
      <c r="E78" s="137">
        <v>3228630</v>
      </c>
      <c r="F78" s="303"/>
      <c r="G78" s="13"/>
      <c r="H78" s="137">
        <f>3228630</f>
        <v>3228630</v>
      </c>
      <c r="I78" s="137">
        <v>1040903</v>
      </c>
      <c r="J78" s="304">
        <f t="shared" si="4"/>
        <v>0.3223977352623249</v>
      </c>
    </row>
    <row r="79" spans="1:11" outlineLevel="3" x14ac:dyDescent="0.25">
      <c r="A79" s="302"/>
      <c r="B79" s="134" t="s">
        <v>19</v>
      </c>
      <c r="C79" s="303"/>
      <c r="D79" s="13"/>
      <c r="E79" s="137">
        <f>750000+600000+1020000+200000+2500000+2400000+8200000+200000+2725000+60000+5037000+210000</f>
        <v>23902000</v>
      </c>
      <c r="F79" s="303"/>
      <c r="G79" s="13"/>
      <c r="H79" s="137">
        <f>750000+600000+1020000+200000+2500000+2400000+8200000+200000+2725000+60000+5037000+210000+236339</f>
        <v>24138339</v>
      </c>
      <c r="I79" s="137">
        <v>4258965</v>
      </c>
      <c r="J79" s="304">
        <f t="shared" si="4"/>
        <v>0.17643985362870246</v>
      </c>
    </row>
    <row r="80" spans="1:11" outlineLevel="3" x14ac:dyDescent="0.25">
      <c r="A80" s="302"/>
      <c r="B80" s="134" t="s">
        <v>24</v>
      </c>
      <c r="C80" s="303"/>
      <c r="D80" s="13"/>
      <c r="E80" s="13"/>
      <c r="F80" s="303"/>
      <c r="G80" s="13"/>
      <c r="H80" s="13">
        <v>2045256</v>
      </c>
      <c r="I80" s="13"/>
      <c r="J80" s="13"/>
    </row>
    <row r="81" spans="1:11" s="139" customFormat="1" outlineLevel="3" x14ac:dyDescent="0.25">
      <c r="A81" s="302"/>
      <c r="B81" s="134" t="s">
        <v>31</v>
      </c>
      <c r="C81" s="303"/>
      <c r="D81" s="13"/>
      <c r="E81" s="13">
        <v>0</v>
      </c>
      <c r="F81" s="303"/>
      <c r="G81" s="13"/>
      <c r="H81" s="13">
        <v>0</v>
      </c>
      <c r="I81" s="13">
        <v>194567</v>
      </c>
      <c r="J81" s="304"/>
    </row>
    <row r="82" spans="1:11" s="139" customFormat="1" outlineLevel="3" x14ac:dyDescent="0.25">
      <c r="A82" s="302"/>
      <c r="B82" s="134" t="s">
        <v>33</v>
      </c>
      <c r="C82" s="303"/>
      <c r="D82" s="13"/>
      <c r="E82" s="13"/>
      <c r="F82" s="303"/>
      <c r="G82" s="13"/>
      <c r="H82" s="13"/>
      <c r="I82" s="13"/>
      <c r="J82" s="13"/>
    </row>
    <row r="83" spans="1:11" ht="30" outlineLevel="2" x14ac:dyDescent="0.25">
      <c r="A83" s="295" t="s">
        <v>14</v>
      </c>
      <c r="B83" s="275" t="s">
        <v>585</v>
      </c>
      <c r="C83" s="301">
        <v>0</v>
      </c>
      <c r="D83" s="86">
        <v>0</v>
      </c>
      <c r="E83" s="86">
        <f>SUM(E84:E87)</f>
        <v>2600000</v>
      </c>
      <c r="F83" s="301">
        <v>0</v>
      </c>
      <c r="G83" s="86">
        <v>0</v>
      </c>
      <c r="H83" s="86">
        <f>SUM(H84:H87)</f>
        <v>2600000</v>
      </c>
      <c r="I83" s="86">
        <f>SUM(I84:I87)</f>
        <v>633398</v>
      </c>
      <c r="J83" s="86">
        <f>SUM(J84:J87)</f>
        <v>0.17131307692307693</v>
      </c>
    </row>
    <row r="84" spans="1:11" outlineLevel="3" x14ac:dyDescent="0.25">
      <c r="A84" s="302"/>
      <c r="B84" s="134" t="s">
        <v>13</v>
      </c>
      <c r="C84" s="303"/>
      <c r="D84" s="13"/>
      <c r="E84" s="13"/>
      <c r="F84" s="303"/>
      <c r="G84" s="13"/>
      <c r="H84" s="13"/>
      <c r="I84" s="13"/>
      <c r="J84" s="13"/>
    </row>
    <row r="85" spans="1:11" outlineLevel="3" x14ac:dyDescent="0.25">
      <c r="A85" s="302"/>
      <c r="B85" s="134" t="s">
        <v>574</v>
      </c>
      <c r="C85" s="303"/>
      <c r="D85" s="13"/>
      <c r="E85" s="13"/>
      <c r="F85" s="303"/>
      <c r="G85" s="13"/>
      <c r="H85" s="13"/>
      <c r="I85" s="13"/>
      <c r="J85" s="13"/>
    </row>
    <row r="86" spans="1:11" outlineLevel="3" x14ac:dyDescent="0.25">
      <c r="A86" s="302"/>
      <c r="B86" s="134" t="s">
        <v>19</v>
      </c>
      <c r="C86" s="303"/>
      <c r="D86" s="13"/>
      <c r="E86" s="13"/>
      <c r="F86" s="303"/>
      <c r="G86" s="13"/>
      <c r="H86" s="13"/>
      <c r="I86" s="13">
        <v>187984</v>
      </c>
      <c r="J86" s="13"/>
    </row>
    <row r="87" spans="1:11" s="139" customFormat="1" outlineLevel="3" x14ac:dyDescent="0.25">
      <c r="A87" s="302"/>
      <c r="B87" s="134" t="s">
        <v>31</v>
      </c>
      <c r="C87" s="303"/>
      <c r="D87" s="13"/>
      <c r="E87" s="13">
        <f>2100000+500000</f>
        <v>2600000</v>
      </c>
      <c r="F87" s="303"/>
      <c r="G87" s="13"/>
      <c r="H87" s="13">
        <f>2100000+500000</f>
        <v>2600000</v>
      </c>
      <c r="I87" s="13">
        <v>445414</v>
      </c>
      <c r="J87" s="304">
        <f t="shared" ref="J87:J92" si="5">+I87/H87</f>
        <v>0.17131307692307693</v>
      </c>
    </row>
    <row r="88" spans="1:11" outlineLevel="1" x14ac:dyDescent="0.25">
      <c r="A88" s="295" t="s">
        <v>27</v>
      </c>
      <c r="B88" s="296" t="s">
        <v>205</v>
      </c>
      <c r="C88" s="297">
        <f>+C89</f>
        <v>1</v>
      </c>
      <c r="D88" s="160">
        <v>0</v>
      </c>
      <c r="E88" s="160">
        <f>+E89</f>
        <v>8757500</v>
      </c>
      <c r="F88" s="297">
        <f>+F89</f>
        <v>1</v>
      </c>
      <c r="G88" s="160">
        <v>0</v>
      </c>
      <c r="H88" s="160">
        <f>+H89</f>
        <v>8757500</v>
      </c>
      <c r="I88" s="160">
        <f>+I89</f>
        <v>2663043</v>
      </c>
      <c r="J88" s="299">
        <f t="shared" si="5"/>
        <v>0.30408712532115328</v>
      </c>
    </row>
    <row r="89" spans="1:11" x14ac:dyDescent="0.25">
      <c r="A89" s="295" t="s">
        <v>11</v>
      </c>
      <c r="B89" s="296" t="s">
        <v>586</v>
      </c>
      <c r="C89" s="301">
        <v>1</v>
      </c>
      <c r="D89" s="86">
        <v>0</v>
      </c>
      <c r="E89" s="86">
        <f>SUM(E90:E93)</f>
        <v>8757500</v>
      </c>
      <c r="F89" s="301">
        <v>1</v>
      </c>
      <c r="G89" s="86">
        <v>0</v>
      </c>
      <c r="H89" s="86">
        <f>SUM(H90:H93)</f>
        <v>8757500</v>
      </c>
      <c r="I89" s="86">
        <f>SUM(I90:I93)</f>
        <v>2663043</v>
      </c>
      <c r="J89" s="299">
        <f t="shared" si="5"/>
        <v>0.30408712532115328</v>
      </c>
    </row>
    <row r="90" spans="1:11" s="139" customFormat="1" outlineLevel="1" x14ac:dyDescent="0.25">
      <c r="A90" s="302"/>
      <c r="B90" s="134" t="s">
        <v>13</v>
      </c>
      <c r="C90" s="303"/>
      <c r="D90" s="13"/>
      <c r="E90" s="137">
        <v>5382000</v>
      </c>
      <c r="F90" s="303"/>
      <c r="G90" s="13"/>
      <c r="H90" s="137">
        <f>5382000</f>
        <v>5382000</v>
      </c>
      <c r="I90" s="137">
        <v>1531162</v>
      </c>
      <c r="J90" s="304">
        <f t="shared" si="5"/>
        <v>0.2844968413229283</v>
      </c>
    </row>
    <row r="91" spans="1:11" s="139" customFormat="1" outlineLevel="1" x14ac:dyDescent="0.25">
      <c r="A91" s="302"/>
      <c r="B91" s="134" t="s">
        <v>574</v>
      </c>
      <c r="C91" s="303"/>
      <c r="D91" s="13"/>
      <c r="E91" s="137">
        <v>1216500</v>
      </c>
      <c r="F91" s="303"/>
      <c r="G91" s="13"/>
      <c r="H91" s="137">
        <f>1216500</f>
        <v>1216500</v>
      </c>
      <c r="I91" s="137">
        <v>273033</v>
      </c>
      <c r="J91" s="304">
        <f t="shared" si="5"/>
        <v>0.22444143033292233</v>
      </c>
    </row>
    <row r="92" spans="1:11" s="139" customFormat="1" outlineLevel="1" x14ac:dyDescent="0.25">
      <c r="A92" s="302"/>
      <c r="B92" s="134" t="s">
        <v>19</v>
      </c>
      <c r="C92" s="303"/>
      <c r="D92" s="13"/>
      <c r="E92" s="13">
        <f>630000+1000000+70000+459000</f>
        <v>2159000</v>
      </c>
      <c r="F92" s="303"/>
      <c r="G92" s="13"/>
      <c r="H92" s="13">
        <f>630000+1000000+70000+459000</f>
        <v>2159000</v>
      </c>
      <c r="I92" s="13">
        <v>858848</v>
      </c>
      <c r="J92" s="304">
        <f t="shared" si="5"/>
        <v>0.39779898100972672</v>
      </c>
    </row>
    <row r="93" spans="1:11" s="139" customFormat="1" outlineLevel="1" x14ac:dyDescent="0.25">
      <c r="A93" s="302"/>
      <c r="B93" s="134" t="s">
        <v>31</v>
      </c>
      <c r="C93" s="303"/>
      <c r="D93" s="13"/>
      <c r="E93" s="13"/>
      <c r="F93" s="303"/>
      <c r="G93" s="13"/>
      <c r="H93" s="13"/>
      <c r="I93" s="13"/>
      <c r="J93" s="13"/>
    </row>
    <row r="94" spans="1:11" x14ac:dyDescent="0.25">
      <c r="A94" s="142" t="s">
        <v>587</v>
      </c>
      <c r="B94" s="101" t="s">
        <v>588</v>
      </c>
      <c r="C94" s="292">
        <f>+C95</f>
        <v>19</v>
      </c>
      <c r="D94" s="293">
        <v>0</v>
      </c>
      <c r="E94" s="293">
        <f>+E95+E112</f>
        <v>171285590</v>
      </c>
      <c r="F94" s="292">
        <f>+F95</f>
        <v>19</v>
      </c>
      <c r="G94" s="293">
        <v>0</v>
      </c>
      <c r="H94" s="293">
        <f>+H95+H112</f>
        <v>180745107</v>
      </c>
      <c r="I94" s="293">
        <f>+I95+I112</f>
        <v>56473585</v>
      </c>
      <c r="J94" s="294">
        <f t="shared" ref="J94:J99" si="6">+I94/H94</f>
        <v>0.31244876244423037</v>
      </c>
      <c r="K94" s="192">
        <f>+H94-E94</f>
        <v>9459517</v>
      </c>
    </row>
    <row r="95" spans="1:11" s="139" customFormat="1" outlineLevel="1" x14ac:dyDescent="0.25">
      <c r="A95" s="295" t="s">
        <v>8</v>
      </c>
      <c r="B95" s="296" t="s">
        <v>134</v>
      </c>
      <c r="C95" s="297">
        <f>+C96+C102</f>
        <v>19</v>
      </c>
      <c r="D95" s="160">
        <v>0</v>
      </c>
      <c r="E95" s="160">
        <f>+E96+E102+E107</f>
        <v>171285590</v>
      </c>
      <c r="F95" s="297">
        <f>+F96+F102</f>
        <v>19</v>
      </c>
      <c r="G95" s="160">
        <v>0</v>
      </c>
      <c r="H95" s="160">
        <f>+H96+H102+H107</f>
        <v>180745107</v>
      </c>
      <c r="I95" s="160">
        <f>+I96+I102+I107</f>
        <v>56473585</v>
      </c>
      <c r="J95" s="299">
        <f t="shared" si="6"/>
        <v>0.31244876244423037</v>
      </c>
    </row>
    <row r="96" spans="1:11" outlineLevel="2" x14ac:dyDescent="0.25">
      <c r="A96" s="295" t="s">
        <v>11</v>
      </c>
      <c r="B96" s="300" t="s">
        <v>196</v>
      </c>
      <c r="C96" s="301">
        <f>12+1</f>
        <v>13</v>
      </c>
      <c r="D96" s="86">
        <v>0</v>
      </c>
      <c r="E96" s="86">
        <f>SUM(E97:E101)</f>
        <v>120929930</v>
      </c>
      <c r="F96" s="301">
        <f>12+1</f>
        <v>13</v>
      </c>
      <c r="G96" s="86">
        <v>0</v>
      </c>
      <c r="H96" s="86">
        <f>SUM(H97:H101)</f>
        <v>130389447</v>
      </c>
      <c r="I96" s="86">
        <f>SUM(I97:I101)</f>
        <v>36006088</v>
      </c>
      <c r="J96" s="299">
        <f t="shared" si="6"/>
        <v>0.27614265439748359</v>
      </c>
    </row>
    <row r="97" spans="1:10" outlineLevel="3" x14ac:dyDescent="0.25">
      <c r="A97" s="302"/>
      <c r="B97" s="134" t="s">
        <v>13</v>
      </c>
      <c r="C97" s="303"/>
      <c r="D97" s="13"/>
      <c r="E97" s="137">
        <v>70486000</v>
      </c>
      <c r="F97" s="303"/>
      <c r="G97" s="13"/>
      <c r="H97" s="137">
        <f>70486000</f>
        <v>70486000</v>
      </c>
      <c r="I97" s="137">
        <v>22381023</v>
      </c>
      <c r="J97" s="304">
        <f t="shared" si="6"/>
        <v>0.31752437363448061</v>
      </c>
    </row>
    <row r="98" spans="1:10" outlineLevel="3" x14ac:dyDescent="0.25">
      <c r="A98" s="302"/>
      <c r="B98" s="134" t="s">
        <v>574</v>
      </c>
      <c r="C98" s="303"/>
      <c r="D98" s="13"/>
      <c r="E98" s="137">
        <v>11967930</v>
      </c>
      <c r="F98" s="303"/>
      <c r="G98" s="13"/>
      <c r="H98" s="137">
        <f>11967930</f>
        <v>11967930</v>
      </c>
      <c r="I98" s="137">
        <v>4367912</v>
      </c>
      <c r="J98" s="304">
        <f t="shared" si="6"/>
        <v>0.36496804376362496</v>
      </c>
    </row>
    <row r="99" spans="1:10" outlineLevel="3" x14ac:dyDescent="0.25">
      <c r="A99" s="302"/>
      <c r="B99" s="134" t="s">
        <v>19</v>
      </c>
      <c r="C99" s="303"/>
      <c r="D99" s="13"/>
      <c r="E99" s="137">
        <f>150000+1900000+2000000+400000+2000000+150000+450000+17112000+4134000+1000000+7910000</f>
        <v>37206000</v>
      </c>
      <c r="F99" s="303"/>
      <c r="G99" s="13"/>
      <c r="H99" s="137">
        <f>150000+1900000+2000000+400000+2000000+150000+450000+17112000+4134000+1000000+7910000+430790</f>
        <v>37636790</v>
      </c>
      <c r="I99" s="137">
        <v>8997130</v>
      </c>
      <c r="J99" s="304">
        <f t="shared" si="6"/>
        <v>0.2390514706487987</v>
      </c>
    </row>
    <row r="100" spans="1:10" outlineLevel="3" x14ac:dyDescent="0.25">
      <c r="A100" s="302"/>
      <c r="B100" s="134" t="s">
        <v>24</v>
      </c>
      <c r="C100" s="303"/>
      <c r="D100" s="13"/>
      <c r="E100" s="137"/>
      <c r="F100" s="303"/>
      <c r="G100" s="13"/>
      <c r="H100" s="137">
        <v>9028727</v>
      </c>
      <c r="I100" s="137"/>
      <c r="J100" s="137"/>
    </row>
    <row r="101" spans="1:10" outlineLevel="3" x14ac:dyDescent="0.25">
      <c r="A101" s="302"/>
      <c r="B101" s="134" t="s">
        <v>31</v>
      </c>
      <c r="C101" s="303"/>
      <c r="D101" s="13"/>
      <c r="E101" s="137">
        <v>1270000</v>
      </c>
      <c r="F101" s="303"/>
      <c r="G101" s="13"/>
      <c r="H101" s="137">
        <v>1270000</v>
      </c>
      <c r="I101" s="137">
        <v>260023</v>
      </c>
      <c r="J101" s="304">
        <f>+I101/H101</f>
        <v>0.20474251968503937</v>
      </c>
    </row>
    <row r="102" spans="1:10" outlineLevel="2" x14ac:dyDescent="0.25">
      <c r="A102" s="295" t="s">
        <v>14</v>
      </c>
      <c r="B102" s="300" t="s">
        <v>198</v>
      </c>
      <c r="C102" s="301">
        <v>6</v>
      </c>
      <c r="D102" s="86">
        <v>0</v>
      </c>
      <c r="E102" s="166">
        <f>SUM(E103:E106)</f>
        <v>31609660</v>
      </c>
      <c r="F102" s="301">
        <v>6</v>
      </c>
      <c r="G102" s="86">
        <v>0</v>
      </c>
      <c r="H102" s="166">
        <f>SUM(H103:H106)</f>
        <v>31609660</v>
      </c>
      <c r="I102" s="166">
        <f>SUM(I103:I106)</f>
        <v>12424468</v>
      </c>
      <c r="J102" s="299">
        <f>+I102/H102</f>
        <v>0.39305921038062414</v>
      </c>
    </row>
    <row r="103" spans="1:10" outlineLevel="3" x14ac:dyDescent="0.25">
      <c r="A103" s="302"/>
      <c r="B103" s="134" t="s">
        <v>13</v>
      </c>
      <c r="C103" s="303"/>
      <c r="D103" s="13"/>
      <c r="E103" s="137">
        <v>20994000</v>
      </c>
      <c r="F103" s="303"/>
      <c r="G103" s="13"/>
      <c r="H103" s="137">
        <f>20994000</f>
        <v>20994000</v>
      </c>
      <c r="I103" s="137">
        <v>9438810</v>
      </c>
      <c r="J103" s="304">
        <f>+I103/H103</f>
        <v>0.44959559874249788</v>
      </c>
    </row>
    <row r="104" spans="1:10" outlineLevel="3" x14ac:dyDescent="0.25">
      <c r="A104" s="302"/>
      <c r="B104" s="134" t="s">
        <v>574</v>
      </c>
      <c r="C104" s="303"/>
      <c r="D104" s="13"/>
      <c r="E104" s="137">
        <v>5523660</v>
      </c>
      <c r="F104" s="303"/>
      <c r="G104" s="13"/>
      <c r="H104" s="137">
        <f>5523660</f>
        <v>5523660</v>
      </c>
      <c r="I104" s="137">
        <v>1656862</v>
      </c>
      <c r="J104" s="304">
        <f>+I104/H104</f>
        <v>0.29995727470553946</v>
      </c>
    </row>
    <row r="105" spans="1:10" outlineLevel="3" x14ac:dyDescent="0.25">
      <c r="A105" s="302"/>
      <c r="B105" s="134" t="s">
        <v>19</v>
      </c>
      <c r="C105" s="303"/>
      <c r="D105" s="13"/>
      <c r="E105" s="13">
        <f>500000+140000+90000+500000+800000+1400000+500000+1062000+100000</f>
        <v>5092000</v>
      </c>
      <c r="F105" s="303"/>
      <c r="G105" s="13"/>
      <c r="H105" s="13">
        <f>500000+140000+90000+500000+800000+1400000+500000+1062000+100000</f>
        <v>5092000</v>
      </c>
      <c r="I105" s="13">
        <v>1263096</v>
      </c>
      <c r="J105" s="304">
        <f>+I105/H105</f>
        <v>0.24805498821681068</v>
      </c>
    </row>
    <row r="106" spans="1:10" outlineLevel="3" x14ac:dyDescent="0.25">
      <c r="A106" s="302"/>
      <c r="B106" s="134" t="s">
        <v>31</v>
      </c>
      <c r="C106" s="303"/>
      <c r="D106" s="13"/>
      <c r="E106" s="13"/>
      <c r="F106" s="303"/>
      <c r="G106" s="13"/>
      <c r="H106" s="13"/>
      <c r="I106" s="13">
        <v>65700</v>
      </c>
      <c r="J106" s="304"/>
    </row>
    <row r="107" spans="1:10" outlineLevel="2" x14ac:dyDescent="0.25">
      <c r="A107" s="295" t="s">
        <v>17</v>
      </c>
      <c r="B107" s="300" t="s">
        <v>200</v>
      </c>
      <c r="C107" s="301">
        <v>0</v>
      </c>
      <c r="D107" s="86">
        <v>0</v>
      </c>
      <c r="E107" s="86">
        <f>SUM(E108:E111)</f>
        <v>18746000</v>
      </c>
      <c r="F107" s="301">
        <v>0</v>
      </c>
      <c r="G107" s="86">
        <v>0</v>
      </c>
      <c r="H107" s="86">
        <f>SUM(H108:H111)</f>
        <v>18746000</v>
      </c>
      <c r="I107" s="86">
        <f>SUM(I108:I111)</f>
        <v>8043029</v>
      </c>
      <c r="J107" s="299">
        <f>+I107/H107</f>
        <v>0.42905307798997122</v>
      </c>
    </row>
    <row r="108" spans="1:10" outlineLevel="3" x14ac:dyDescent="0.25">
      <c r="A108" s="302"/>
      <c r="B108" s="134" t="s">
        <v>13</v>
      </c>
      <c r="C108" s="303"/>
      <c r="D108" s="13"/>
      <c r="E108" s="13"/>
      <c r="F108" s="303"/>
      <c r="G108" s="13"/>
      <c r="H108" s="13"/>
      <c r="I108" s="13"/>
      <c r="J108" s="13"/>
    </row>
    <row r="109" spans="1:10" outlineLevel="3" x14ac:dyDescent="0.25">
      <c r="A109" s="302"/>
      <c r="B109" s="134" t="s">
        <v>574</v>
      </c>
      <c r="C109" s="303"/>
      <c r="D109" s="13"/>
      <c r="E109" s="13"/>
      <c r="F109" s="303"/>
      <c r="G109" s="13"/>
      <c r="H109" s="13"/>
      <c r="I109" s="13"/>
      <c r="J109" s="13"/>
    </row>
    <row r="110" spans="1:10" outlineLevel="3" x14ac:dyDescent="0.25">
      <c r="A110" s="302"/>
      <c r="B110" s="134" t="s">
        <v>19</v>
      </c>
      <c r="C110" s="303"/>
      <c r="D110" s="13"/>
      <c r="E110" s="137">
        <f>500000+13100000+900000+260000+3986000</f>
        <v>18746000</v>
      </c>
      <c r="F110" s="303"/>
      <c r="G110" s="13"/>
      <c r="H110" s="137">
        <f>500000+13100000+900000+260000+3986000</f>
        <v>18746000</v>
      </c>
      <c r="I110" s="137">
        <v>8043029</v>
      </c>
      <c r="J110" s="304">
        <f>+I110/H110</f>
        <v>0.42905307798997122</v>
      </c>
    </row>
    <row r="111" spans="1:10" outlineLevel="3" x14ac:dyDescent="0.25">
      <c r="A111" s="302"/>
      <c r="B111" s="134" t="s">
        <v>31</v>
      </c>
      <c r="C111" s="303"/>
      <c r="D111" s="13"/>
      <c r="E111" s="13"/>
      <c r="F111" s="303"/>
      <c r="G111" s="13"/>
      <c r="H111" s="13"/>
      <c r="I111" s="13"/>
      <c r="J111" s="13"/>
    </row>
    <row r="112" spans="1:10" outlineLevel="1" x14ac:dyDescent="0.25">
      <c r="A112" s="295" t="s">
        <v>27</v>
      </c>
      <c r="B112" s="300" t="s">
        <v>205</v>
      </c>
      <c r="C112" s="301">
        <v>0</v>
      </c>
      <c r="D112" s="86">
        <v>0</v>
      </c>
      <c r="E112" s="86">
        <f>+E113</f>
        <v>0</v>
      </c>
      <c r="F112" s="301">
        <v>0</v>
      </c>
      <c r="G112" s="86">
        <v>0</v>
      </c>
      <c r="H112" s="86">
        <f>+H113</f>
        <v>0</v>
      </c>
      <c r="I112" s="86">
        <f>+I113</f>
        <v>0</v>
      </c>
      <c r="J112" s="86">
        <f>+J113</f>
        <v>0</v>
      </c>
    </row>
    <row r="113" spans="1:11" s="139" customFormat="1" collapsed="1" x14ac:dyDescent="0.25">
      <c r="A113" s="295" t="s">
        <v>11</v>
      </c>
      <c r="B113" s="300" t="s">
        <v>289</v>
      </c>
      <c r="C113" s="301"/>
      <c r="D113" s="86"/>
      <c r="E113" s="86">
        <f>SUM(E114:E117)</f>
        <v>0</v>
      </c>
      <c r="F113" s="301"/>
      <c r="G113" s="86"/>
      <c r="H113" s="86">
        <f>SUM(H114:H117)</f>
        <v>0</v>
      </c>
      <c r="I113" s="86">
        <f>SUM(I114:I117)</f>
        <v>0</v>
      </c>
      <c r="J113" s="86">
        <f>SUM(J114:J117)</f>
        <v>0</v>
      </c>
    </row>
    <row r="114" spans="1:11" hidden="1" outlineLevel="1" x14ac:dyDescent="0.25">
      <c r="A114" s="302"/>
      <c r="B114" s="134" t="s">
        <v>13</v>
      </c>
      <c r="C114" s="303"/>
      <c r="D114" s="13"/>
      <c r="E114" s="13"/>
      <c r="F114" s="303"/>
      <c r="G114" s="13"/>
      <c r="H114" s="13"/>
      <c r="I114" s="13"/>
      <c r="J114" s="13"/>
    </row>
    <row r="115" spans="1:11" hidden="1" outlineLevel="1" x14ac:dyDescent="0.25">
      <c r="A115" s="302"/>
      <c r="B115" s="134" t="s">
        <v>574</v>
      </c>
      <c r="C115" s="303"/>
      <c r="D115" s="13"/>
      <c r="E115" s="13"/>
      <c r="F115" s="303"/>
      <c r="G115" s="13"/>
      <c r="H115" s="13"/>
      <c r="I115" s="13"/>
      <c r="J115" s="13"/>
    </row>
    <row r="116" spans="1:11" hidden="1" outlineLevel="1" x14ac:dyDescent="0.25">
      <c r="A116" s="302"/>
      <c r="B116" s="134" t="s">
        <v>19</v>
      </c>
      <c r="C116" s="303"/>
      <c r="D116" s="13"/>
      <c r="E116" s="13"/>
      <c r="F116" s="303"/>
      <c r="G116" s="13"/>
      <c r="H116" s="13"/>
      <c r="I116" s="13"/>
      <c r="J116" s="13"/>
    </row>
    <row r="117" spans="1:11" hidden="1" outlineLevel="1" x14ac:dyDescent="0.25">
      <c r="A117" s="302"/>
      <c r="B117" s="134" t="s">
        <v>31</v>
      </c>
      <c r="C117" s="303"/>
      <c r="D117" s="13"/>
      <c r="E117" s="13"/>
      <c r="F117" s="303"/>
      <c r="G117" s="13"/>
      <c r="H117" s="13"/>
      <c r="I117" s="13"/>
      <c r="J117" s="13"/>
    </row>
    <row r="118" spans="1:11" x14ac:dyDescent="0.25">
      <c r="A118" s="142" t="s">
        <v>589</v>
      </c>
      <c r="B118" s="101" t="s">
        <v>590</v>
      </c>
      <c r="C118" s="292">
        <v>24</v>
      </c>
      <c r="D118" s="293">
        <v>0</v>
      </c>
      <c r="E118" s="293">
        <f>+E119+E131</f>
        <v>151368720</v>
      </c>
      <c r="F118" s="292">
        <v>24</v>
      </c>
      <c r="G118" s="293">
        <v>0</v>
      </c>
      <c r="H118" s="293">
        <f>+H119+H131</f>
        <v>155571090</v>
      </c>
      <c r="I118" s="293">
        <f>+I119+I131</f>
        <v>48467081</v>
      </c>
      <c r="J118" s="294">
        <f t="shared" ref="J118:J123" si="7">+I118/H118</f>
        <v>0.3115429801256776</v>
      </c>
      <c r="K118" s="192">
        <f>+H118-E118</f>
        <v>4202370</v>
      </c>
    </row>
    <row r="119" spans="1:11" outlineLevel="1" x14ac:dyDescent="0.25">
      <c r="A119" s="295" t="s">
        <v>8</v>
      </c>
      <c r="B119" s="300" t="s">
        <v>134</v>
      </c>
      <c r="C119" s="301">
        <v>24</v>
      </c>
      <c r="D119" s="86">
        <v>0</v>
      </c>
      <c r="E119" s="166">
        <f>+E120+E126</f>
        <v>151368720</v>
      </c>
      <c r="F119" s="301">
        <v>24</v>
      </c>
      <c r="G119" s="86">
        <v>0</v>
      </c>
      <c r="H119" s="166">
        <f>+H120+H126</f>
        <v>155571090</v>
      </c>
      <c r="I119" s="166">
        <f>+I120+I126</f>
        <v>48467081</v>
      </c>
      <c r="J119" s="299">
        <f t="shared" si="7"/>
        <v>0.3115429801256776</v>
      </c>
    </row>
    <row r="120" spans="1:11" outlineLevel="2" x14ac:dyDescent="0.25">
      <c r="A120" s="295" t="s">
        <v>11</v>
      </c>
      <c r="B120" s="300" t="s">
        <v>202</v>
      </c>
      <c r="C120" s="301">
        <v>24</v>
      </c>
      <c r="D120" s="86">
        <v>0</v>
      </c>
      <c r="E120" s="166">
        <f>SUM(E121:E125)</f>
        <v>138668720</v>
      </c>
      <c r="F120" s="301">
        <v>24</v>
      </c>
      <c r="G120" s="86">
        <v>0</v>
      </c>
      <c r="H120" s="166">
        <f>SUM(H121:H125)</f>
        <v>142871090</v>
      </c>
      <c r="I120" s="166">
        <f>SUM(I121:I125)</f>
        <v>46680502</v>
      </c>
      <c r="J120" s="299">
        <f t="shared" si="7"/>
        <v>0.32673161519240879</v>
      </c>
    </row>
    <row r="121" spans="1:11" outlineLevel="3" x14ac:dyDescent="0.25">
      <c r="A121" s="302"/>
      <c r="B121" s="134" t="s">
        <v>13</v>
      </c>
      <c r="C121" s="303"/>
      <c r="D121" s="13"/>
      <c r="E121" s="137">
        <v>97000000</v>
      </c>
      <c r="F121" s="303"/>
      <c r="G121" s="13"/>
      <c r="H121" s="137">
        <f>97000000</f>
        <v>97000000</v>
      </c>
      <c r="I121" s="137">
        <v>34494584</v>
      </c>
      <c r="J121" s="304">
        <f t="shared" si="7"/>
        <v>0.35561426804123714</v>
      </c>
    </row>
    <row r="122" spans="1:11" outlineLevel="3" x14ac:dyDescent="0.25">
      <c r="A122" s="295"/>
      <c r="B122" s="134" t="s">
        <v>574</v>
      </c>
      <c r="C122" s="303"/>
      <c r="D122" s="13"/>
      <c r="E122" s="137">
        <v>18593440</v>
      </c>
      <c r="F122" s="303"/>
      <c r="G122" s="13"/>
      <c r="H122" s="137">
        <f>18593440</f>
        <v>18593440</v>
      </c>
      <c r="I122" s="137">
        <v>6331692</v>
      </c>
      <c r="J122" s="304">
        <f t="shared" si="7"/>
        <v>0.34053365057783819</v>
      </c>
    </row>
    <row r="123" spans="1:11" outlineLevel="3" x14ac:dyDescent="0.25">
      <c r="A123" s="302"/>
      <c r="B123" s="134" t="s">
        <v>19</v>
      </c>
      <c r="C123" s="303"/>
      <c r="D123" s="13"/>
      <c r="E123" s="137">
        <f>250000+5200000+100000+50000+5500000+200000+50000+951200+2840000+1749080+200000+4615000+100000</f>
        <v>21805280</v>
      </c>
      <c r="F123" s="303"/>
      <c r="G123" s="13"/>
      <c r="H123" s="137">
        <f>250000+5200000+100000+50000+5500000+200000+50000+951200+2840000+1749080+200000+4615000+100000+14505</f>
        <v>21819785</v>
      </c>
      <c r="I123" s="137">
        <v>5155536</v>
      </c>
      <c r="J123" s="304">
        <f t="shared" si="7"/>
        <v>0.23627803848663037</v>
      </c>
    </row>
    <row r="124" spans="1:11" outlineLevel="3" x14ac:dyDescent="0.25">
      <c r="A124" s="302"/>
      <c r="B124" s="134" t="s">
        <v>24</v>
      </c>
      <c r="C124" s="303"/>
      <c r="D124" s="13"/>
      <c r="E124" s="13"/>
      <c r="F124" s="303"/>
      <c r="G124" s="13"/>
      <c r="H124" s="13">
        <v>4187865</v>
      </c>
      <c r="I124" s="13"/>
      <c r="J124" s="13"/>
    </row>
    <row r="125" spans="1:11" outlineLevel="3" x14ac:dyDescent="0.25">
      <c r="A125" s="302"/>
      <c r="B125" s="134" t="s">
        <v>31</v>
      </c>
      <c r="C125" s="303"/>
      <c r="D125" s="13"/>
      <c r="E125" s="13">
        <v>1270000</v>
      </c>
      <c r="F125" s="303"/>
      <c r="G125" s="13"/>
      <c r="H125" s="13">
        <f>1270000</f>
        <v>1270000</v>
      </c>
      <c r="I125" s="13">
        <v>698690</v>
      </c>
      <c r="J125" s="304">
        <f>+I125/H125</f>
        <v>0.55014960629921261</v>
      </c>
    </row>
    <row r="126" spans="1:11" outlineLevel="2" x14ac:dyDescent="0.25">
      <c r="A126" s="295" t="s">
        <v>14</v>
      </c>
      <c r="B126" s="300" t="s">
        <v>204</v>
      </c>
      <c r="C126" s="301">
        <v>0</v>
      </c>
      <c r="D126" s="86">
        <v>0</v>
      </c>
      <c r="E126" s="86">
        <f>SUM(E127:E130)</f>
        <v>12700000</v>
      </c>
      <c r="F126" s="301">
        <v>0</v>
      </c>
      <c r="G126" s="86">
        <v>0</v>
      </c>
      <c r="H126" s="86">
        <f>SUM(H127:H130)</f>
        <v>12700000</v>
      </c>
      <c r="I126" s="86">
        <f>SUM(I127:I130)</f>
        <v>1786579</v>
      </c>
      <c r="J126" s="86">
        <f>SUM(J127:J130)</f>
        <v>0.14067551181102361</v>
      </c>
    </row>
    <row r="127" spans="1:11" outlineLevel="3" x14ac:dyDescent="0.25">
      <c r="A127" s="302"/>
      <c r="B127" s="134" t="s">
        <v>13</v>
      </c>
      <c r="C127" s="303"/>
      <c r="D127" s="13"/>
      <c r="E127" s="13"/>
      <c r="F127" s="303"/>
      <c r="G127" s="13"/>
      <c r="H127" s="13"/>
      <c r="I127" s="13"/>
      <c r="J127" s="13"/>
    </row>
    <row r="128" spans="1:11" outlineLevel="3" x14ac:dyDescent="0.25">
      <c r="A128" s="295"/>
      <c r="B128" s="134" t="s">
        <v>574</v>
      </c>
      <c r="C128" s="306"/>
      <c r="D128" s="15"/>
      <c r="E128" s="15">
        <v>0</v>
      </c>
      <c r="F128" s="306"/>
      <c r="G128" s="15"/>
      <c r="H128" s="15">
        <v>0</v>
      </c>
      <c r="I128" s="15">
        <v>0</v>
      </c>
      <c r="J128" s="15">
        <v>0</v>
      </c>
    </row>
    <row r="129" spans="1:11" s="139" customFormat="1" outlineLevel="3" x14ac:dyDescent="0.25">
      <c r="A129" s="295"/>
      <c r="B129" s="134" t="s">
        <v>19</v>
      </c>
      <c r="C129" s="303"/>
      <c r="D129" s="13"/>
      <c r="E129" s="13">
        <f>10000000*1.27</f>
        <v>12700000</v>
      </c>
      <c r="F129" s="303"/>
      <c r="G129" s="13"/>
      <c r="H129" s="13">
        <f>10000000*1.27</f>
        <v>12700000</v>
      </c>
      <c r="I129" s="13">
        <v>1786579</v>
      </c>
      <c r="J129" s="304">
        <f>+I129/H129</f>
        <v>0.14067551181102361</v>
      </c>
    </row>
    <row r="130" spans="1:11" outlineLevel="3" x14ac:dyDescent="0.25">
      <c r="A130" s="302"/>
      <c r="B130" s="134" t="s">
        <v>31</v>
      </c>
      <c r="C130" s="303"/>
      <c r="D130" s="13"/>
      <c r="E130" s="13">
        <v>0</v>
      </c>
      <c r="F130" s="303"/>
      <c r="G130" s="13"/>
      <c r="H130" s="13">
        <v>0</v>
      </c>
      <c r="I130" s="13">
        <v>0</v>
      </c>
      <c r="J130" s="13">
        <v>0</v>
      </c>
    </row>
    <row r="131" spans="1:11" outlineLevel="1" x14ac:dyDescent="0.25">
      <c r="A131" s="295" t="s">
        <v>27</v>
      </c>
      <c r="B131" s="300" t="s">
        <v>205</v>
      </c>
      <c r="C131" s="301">
        <v>0</v>
      </c>
      <c r="D131" s="86">
        <v>0</v>
      </c>
      <c r="E131" s="86">
        <v>0</v>
      </c>
      <c r="F131" s="301">
        <v>0</v>
      </c>
      <c r="G131" s="86">
        <v>0</v>
      </c>
      <c r="H131" s="86">
        <v>0</v>
      </c>
      <c r="I131" s="86">
        <v>0</v>
      </c>
      <c r="J131" s="86">
        <v>0</v>
      </c>
    </row>
    <row r="132" spans="1:11" x14ac:dyDescent="0.25">
      <c r="A132" s="142" t="s">
        <v>591</v>
      </c>
      <c r="B132" s="101" t="s">
        <v>592</v>
      </c>
      <c r="C132" s="307">
        <f>+C133</f>
        <v>68.75</v>
      </c>
      <c r="D132" s="293">
        <v>0</v>
      </c>
      <c r="E132" s="293">
        <f>+E133+E185</f>
        <v>803390775</v>
      </c>
      <c r="F132" s="307">
        <f>+F133</f>
        <v>68.75</v>
      </c>
      <c r="G132" s="293">
        <v>0</v>
      </c>
      <c r="H132" s="293">
        <f>+H133+H185</f>
        <v>842646737</v>
      </c>
      <c r="I132" s="293">
        <f>+I133+I185</f>
        <v>273888564</v>
      </c>
      <c r="J132" s="294">
        <f t="shared" ref="J132:J137" si="8">+I132/H132</f>
        <v>0.32503367303729319</v>
      </c>
      <c r="K132" s="192">
        <f>+H132-E132</f>
        <v>39255962</v>
      </c>
    </row>
    <row r="133" spans="1:11" outlineLevel="1" x14ac:dyDescent="0.25">
      <c r="A133" s="295" t="s">
        <v>8</v>
      </c>
      <c r="B133" s="300" t="s">
        <v>134</v>
      </c>
      <c r="C133" s="308">
        <f>+C134+C139+C154+C159+C168+C175+C180</f>
        <v>68.75</v>
      </c>
      <c r="D133" s="86">
        <v>0</v>
      </c>
      <c r="E133" s="86">
        <f>+E134+E139+E144+E147+E151+E154+E159+E164+E168+E175+E180</f>
        <v>803390775</v>
      </c>
      <c r="F133" s="308">
        <f>+F134+F139+F154+F159+F168+F175+F180</f>
        <v>68.75</v>
      </c>
      <c r="G133" s="86">
        <v>0</v>
      </c>
      <c r="H133" s="86">
        <f>+H134+H139+H144+H147+H151+H154+H159+H164+H168+H175+H180</f>
        <v>842646737</v>
      </c>
      <c r="I133" s="86">
        <f>+I134+I139+I144+I147+I151+I154+I159+I164+I168+I175+I180</f>
        <v>273888564</v>
      </c>
      <c r="J133" s="299">
        <f t="shared" si="8"/>
        <v>0.32503367303729319</v>
      </c>
    </row>
    <row r="134" spans="1:11" outlineLevel="2" x14ac:dyDescent="0.25">
      <c r="A134" s="195" t="s">
        <v>11</v>
      </c>
      <c r="B134" s="150" t="s">
        <v>168</v>
      </c>
      <c r="C134" s="309">
        <v>5</v>
      </c>
      <c r="D134" s="86">
        <v>0</v>
      </c>
      <c r="E134" s="166">
        <f>SUM(E135:E138)</f>
        <v>90511500</v>
      </c>
      <c r="F134" s="309">
        <v>5</v>
      </c>
      <c r="G134" s="86">
        <v>0</v>
      </c>
      <c r="H134" s="166">
        <f>SUM(H135:H138)</f>
        <v>90511500</v>
      </c>
      <c r="I134" s="166">
        <f>SUM(I135:I138)</f>
        <v>36892927</v>
      </c>
      <c r="J134" s="299">
        <f t="shared" si="8"/>
        <v>0.40760485684139586</v>
      </c>
      <c r="K134">
        <v>5117</v>
      </c>
    </row>
    <row r="135" spans="1:11" outlineLevel="3" x14ac:dyDescent="0.25">
      <c r="A135" s="133"/>
      <c r="B135" s="147" t="s">
        <v>13</v>
      </c>
      <c r="C135" s="303"/>
      <c r="D135" s="13"/>
      <c r="E135" s="137">
        <f>21324000+255000</f>
        <v>21579000</v>
      </c>
      <c r="F135" s="303"/>
      <c r="G135" s="13"/>
      <c r="H135" s="137">
        <f>21324000+255000</f>
        <v>21579000</v>
      </c>
      <c r="I135" s="137">
        <v>8371338</v>
      </c>
      <c r="J135" s="304">
        <f t="shared" si="8"/>
        <v>0.38793910746559157</v>
      </c>
    </row>
    <row r="136" spans="1:11" outlineLevel="3" x14ac:dyDescent="0.25">
      <c r="A136" s="133"/>
      <c r="B136" s="147" t="s">
        <v>574</v>
      </c>
      <c r="C136" s="303"/>
      <c r="D136" s="13"/>
      <c r="E136" s="137">
        <f>3765000+82500</f>
        <v>3847500</v>
      </c>
      <c r="F136" s="303"/>
      <c r="G136" s="13"/>
      <c r="H136" s="137">
        <f>3765000+82500</f>
        <v>3847500</v>
      </c>
      <c r="I136" s="137">
        <v>1467794</v>
      </c>
      <c r="J136" s="304">
        <f t="shared" si="8"/>
        <v>0.38149291747888237</v>
      </c>
    </row>
    <row r="137" spans="1:11" outlineLevel="3" x14ac:dyDescent="0.25">
      <c r="A137" s="133"/>
      <c r="B137" s="147" t="s">
        <v>19</v>
      </c>
      <c r="C137" s="303"/>
      <c r="D137" s="13"/>
      <c r="E137" s="137">
        <f>8500000+8500000+35825000+160000+12100000</f>
        <v>65085000</v>
      </c>
      <c r="F137" s="303"/>
      <c r="G137" s="13"/>
      <c r="H137" s="137">
        <f>8500000+8500000+35825000+160000+12100000</f>
        <v>65085000</v>
      </c>
      <c r="I137" s="137">
        <v>27017805</v>
      </c>
      <c r="J137" s="304">
        <f t="shared" si="8"/>
        <v>0.41511569486056693</v>
      </c>
    </row>
    <row r="138" spans="1:11" outlineLevel="3" x14ac:dyDescent="0.25">
      <c r="A138" s="133"/>
      <c r="B138" s="147" t="s">
        <v>31</v>
      </c>
      <c r="C138" s="303"/>
      <c r="D138" s="13"/>
      <c r="E138" s="137"/>
      <c r="F138" s="303"/>
      <c r="G138" s="13"/>
      <c r="H138" s="137"/>
      <c r="I138" s="137">
        <v>35990</v>
      </c>
      <c r="J138" s="304"/>
    </row>
    <row r="139" spans="1:11" outlineLevel="2" x14ac:dyDescent="0.25">
      <c r="A139" s="195" t="s">
        <v>14</v>
      </c>
      <c r="B139" s="150" t="s">
        <v>170</v>
      </c>
      <c r="C139" s="309">
        <v>21</v>
      </c>
      <c r="D139" s="86">
        <v>0</v>
      </c>
      <c r="E139" s="166">
        <f>SUM(E140:E143)</f>
        <v>124299500</v>
      </c>
      <c r="F139" s="309">
        <v>21</v>
      </c>
      <c r="G139" s="86">
        <v>0</v>
      </c>
      <c r="H139" s="166">
        <f>SUM(H140:H143)</f>
        <v>124299500</v>
      </c>
      <c r="I139" s="166">
        <f>SUM(I140:I143)</f>
        <v>36902980</v>
      </c>
      <c r="J139" s="299">
        <f>+I139/H139</f>
        <v>0.29688759809975102</v>
      </c>
      <c r="K139">
        <v>5118</v>
      </c>
    </row>
    <row r="140" spans="1:11" outlineLevel="3" x14ac:dyDescent="0.25">
      <c r="A140" s="133"/>
      <c r="B140" s="147" t="s">
        <v>13</v>
      </c>
      <c r="C140" s="310"/>
      <c r="D140" s="86"/>
      <c r="E140" s="137">
        <f>76114000+1071000</f>
        <v>77185000</v>
      </c>
      <c r="F140" s="310"/>
      <c r="G140" s="86"/>
      <c r="H140" s="137">
        <f>76114000+1071000</f>
        <v>77185000</v>
      </c>
      <c r="I140" s="137">
        <v>26144334</v>
      </c>
      <c r="J140" s="304">
        <f>+I140/H140</f>
        <v>0.33872299021830665</v>
      </c>
    </row>
    <row r="141" spans="1:11" outlineLevel="4" x14ac:dyDescent="0.25">
      <c r="A141" s="133"/>
      <c r="B141" s="147" t="s">
        <v>574</v>
      </c>
      <c r="C141" s="310"/>
      <c r="D141" s="13"/>
      <c r="E141" s="137">
        <f>13433000+346500</f>
        <v>13779500</v>
      </c>
      <c r="F141" s="310"/>
      <c r="G141" s="13"/>
      <c r="H141" s="137">
        <f>13433000+346500</f>
        <v>13779500</v>
      </c>
      <c r="I141" s="137">
        <v>4761058</v>
      </c>
      <c r="J141" s="304">
        <f>+I141/H141</f>
        <v>0.34551747160637181</v>
      </c>
    </row>
    <row r="142" spans="1:11" outlineLevel="4" x14ac:dyDescent="0.25">
      <c r="A142" s="133"/>
      <c r="B142" s="147" t="s">
        <v>19</v>
      </c>
      <c r="C142" s="310"/>
      <c r="D142" s="15"/>
      <c r="E142" s="137">
        <f>8281000+198000+800000+17356000+6700000</f>
        <v>33335000</v>
      </c>
      <c r="F142" s="310"/>
      <c r="G142" s="15"/>
      <c r="H142" s="137">
        <f>8281000+198000+800000+17356000+6700000</f>
        <v>33335000</v>
      </c>
      <c r="I142" s="137">
        <v>5997588</v>
      </c>
      <c r="J142" s="304">
        <f>+I142/H142</f>
        <v>0.17991864406779662</v>
      </c>
    </row>
    <row r="143" spans="1:11" outlineLevel="4" x14ac:dyDescent="0.25">
      <c r="A143" s="133"/>
      <c r="B143" s="147" t="s">
        <v>31</v>
      </c>
      <c r="C143" s="310"/>
      <c r="D143" s="13"/>
      <c r="E143" s="137"/>
      <c r="F143" s="310"/>
      <c r="G143" s="13"/>
      <c r="H143" s="137"/>
      <c r="I143" s="137"/>
      <c r="J143" s="137"/>
    </row>
    <row r="144" spans="1:11" outlineLevel="3" x14ac:dyDescent="0.25">
      <c r="A144" s="195" t="s">
        <v>17</v>
      </c>
      <c r="B144" s="150" t="s">
        <v>172</v>
      </c>
      <c r="C144" s="310"/>
      <c r="D144" s="86">
        <v>0</v>
      </c>
      <c r="E144" s="166">
        <f>SUM(E145:E146)</f>
        <v>56134000</v>
      </c>
      <c r="F144" s="310"/>
      <c r="G144" s="86">
        <v>0</v>
      </c>
      <c r="H144" s="166">
        <f>SUM(H145:H146)</f>
        <v>56300472</v>
      </c>
      <c r="I144" s="166">
        <f>SUM(I145:I146)</f>
        <v>24967206</v>
      </c>
      <c r="J144" s="299">
        <f>+I144/H144</f>
        <v>0.4434635290446588</v>
      </c>
      <c r="K144">
        <v>5119</v>
      </c>
    </row>
    <row r="145" spans="1:11" outlineLevel="3" x14ac:dyDescent="0.25">
      <c r="A145" s="133"/>
      <c r="B145" s="147" t="s">
        <v>19</v>
      </c>
      <c r="C145" s="310"/>
      <c r="D145" s="86"/>
      <c r="E145" s="137">
        <f>29134000+15000000+12000000</f>
        <v>56134000</v>
      </c>
      <c r="F145" s="310"/>
      <c r="G145" s="86"/>
      <c r="H145" s="137">
        <f>29134000+15000000+12000000+166472</f>
        <v>56300472</v>
      </c>
      <c r="I145" s="137">
        <v>24967206</v>
      </c>
      <c r="J145" s="304">
        <f>+I145/H145</f>
        <v>0.4434635290446588</v>
      </c>
    </row>
    <row r="146" spans="1:11" outlineLevel="3" x14ac:dyDescent="0.25">
      <c r="A146" s="133"/>
      <c r="B146" s="147" t="s">
        <v>31</v>
      </c>
      <c r="C146" s="310"/>
      <c r="E146" s="137">
        <v>0</v>
      </c>
      <c r="F146" s="310"/>
      <c r="H146" s="137">
        <v>0</v>
      </c>
      <c r="I146" s="137"/>
      <c r="J146" s="137"/>
    </row>
    <row r="147" spans="1:11" outlineLevel="2" x14ac:dyDescent="0.25">
      <c r="A147" s="195" t="s">
        <v>20</v>
      </c>
      <c r="B147" s="150" t="s">
        <v>174</v>
      </c>
      <c r="C147" s="309"/>
      <c r="E147" s="166">
        <f>SUM(E148:E149)</f>
        <v>21975000</v>
      </c>
      <c r="F147" s="309"/>
      <c r="H147" s="166">
        <f>SUM(H148:H149)</f>
        <v>22971550</v>
      </c>
      <c r="I147" s="166">
        <f>SUM(I148:I150)</f>
        <v>4205160</v>
      </c>
      <c r="J147" s="299">
        <f>+I147/H147</f>
        <v>0.18305948009603182</v>
      </c>
      <c r="K147">
        <v>5120</v>
      </c>
    </row>
    <row r="148" spans="1:11" outlineLevel="3" x14ac:dyDescent="0.25">
      <c r="A148" s="133"/>
      <c r="B148" s="147" t="s">
        <v>19</v>
      </c>
      <c r="C148" s="310"/>
      <c r="E148" s="137">
        <f>6700000+10375000+1000000+3900000</f>
        <v>21975000</v>
      </c>
      <c r="F148" s="310"/>
      <c r="H148" s="137">
        <f>6700000+10375000+1000000+3900000+996950-400</f>
        <v>22971550</v>
      </c>
      <c r="I148" s="137">
        <v>3377571</v>
      </c>
      <c r="J148" s="304">
        <f>+I148/H148</f>
        <v>0.14703278620728685</v>
      </c>
    </row>
    <row r="149" spans="1:11" outlineLevel="3" x14ac:dyDescent="0.25">
      <c r="A149" s="133"/>
      <c r="B149" s="147" t="s">
        <v>31</v>
      </c>
      <c r="C149" s="310"/>
      <c r="E149" s="137"/>
      <c r="F149" s="310"/>
      <c r="H149" s="137"/>
      <c r="I149" s="137">
        <v>103181</v>
      </c>
      <c r="J149" s="304"/>
    </row>
    <row r="150" spans="1:11" outlineLevel="3" x14ac:dyDescent="0.25">
      <c r="A150" s="133"/>
      <c r="B150" s="147" t="s">
        <v>33</v>
      </c>
      <c r="C150" s="310"/>
      <c r="E150" s="137"/>
      <c r="F150" s="310"/>
      <c r="H150" s="137"/>
      <c r="I150" s="137">
        <v>724408</v>
      </c>
      <c r="J150" s="304"/>
    </row>
    <row r="151" spans="1:11" outlineLevel="2" x14ac:dyDescent="0.25">
      <c r="A151" s="195" t="s">
        <v>23</v>
      </c>
      <c r="B151" s="150" t="s">
        <v>593</v>
      </c>
      <c r="C151" s="309"/>
      <c r="E151" s="166">
        <f>SUM(E152:E153)</f>
        <v>8930000</v>
      </c>
      <c r="F151" s="309"/>
      <c r="H151" s="166">
        <f>SUM(H152:H153)</f>
        <v>8930000</v>
      </c>
      <c r="I151" s="166">
        <f>SUM(I152:I153)</f>
        <v>3840998</v>
      </c>
      <c r="J151" s="299">
        <f>+I151/H151</f>
        <v>0.43012295632698766</v>
      </c>
      <c r="K151">
        <v>5121</v>
      </c>
    </row>
    <row r="152" spans="1:11" outlineLevel="3" x14ac:dyDescent="0.25">
      <c r="A152" s="133"/>
      <c r="B152" s="200" t="s">
        <v>19</v>
      </c>
      <c r="C152" s="311"/>
      <c r="E152" s="16">
        <f>80000+350000+1500000+6000000+1000000</f>
        <v>8930000</v>
      </c>
      <c r="F152" s="311"/>
      <c r="H152" s="16">
        <f>80000+350000+1500000+6000000+1000000</f>
        <v>8930000</v>
      </c>
      <c r="I152" s="16">
        <v>3590808</v>
      </c>
      <c r="J152" s="304">
        <f>+I152/H152</f>
        <v>0.40210615901455765</v>
      </c>
    </row>
    <row r="153" spans="1:11" outlineLevel="3" x14ac:dyDescent="0.25">
      <c r="A153" s="133"/>
      <c r="B153" s="200" t="s">
        <v>31</v>
      </c>
      <c r="C153" s="311"/>
      <c r="E153" s="16"/>
      <c r="F153" s="311"/>
      <c r="H153" s="16"/>
      <c r="I153" s="16">
        <v>250190</v>
      </c>
      <c r="J153" s="304"/>
    </row>
    <row r="154" spans="1:11" outlineLevel="2" x14ac:dyDescent="0.25">
      <c r="A154" s="195" t="s">
        <v>377</v>
      </c>
      <c r="B154" s="150" t="s">
        <v>178</v>
      </c>
      <c r="C154" s="308">
        <v>1.75</v>
      </c>
      <c r="E154" s="166">
        <f>SUM(E155:E158)</f>
        <v>10614125</v>
      </c>
      <c r="F154" s="308">
        <v>1.75</v>
      </c>
      <c r="H154" s="166">
        <f>SUM(H155:H158)</f>
        <v>10614125</v>
      </c>
      <c r="I154" s="166">
        <f>SUM(I155:I158)</f>
        <v>3846777</v>
      </c>
      <c r="J154" s="299">
        <f>+I154/H154</f>
        <v>0.36242054809039842</v>
      </c>
      <c r="K154">
        <v>5122</v>
      </c>
    </row>
    <row r="155" spans="1:11" outlineLevel="3" x14ac:dyDescent="0.25">
      <c r="A155" s="133"/>
      <c r="B155" s="147" t="s">
        <v>13</v>
      </c>
      <c r="C155" s="311"/>
      <c r="E155" s="16">
        <f>5095000+89250</f>
        <v>5184250</v>
      </c>
      <c r="F155" s="311"/>
      <c r="H155" s="16">
        <f>5095000+89250</f>
        <v>5184250</v>
      </c>
      <c r="I155" s="16">
        <v>1827696</v>
      </c>
      <c r="J155" s="304">
        <f>+I155/H155</f>
        <v>0.3525478130877176</v>
      </c>
    </row>
    <row r="156" spans="1:11" outlineLevel="3" x14ac:dyDescent="0.25">
      <c r="A156" s="195"/>
      <c r="B156" s="147" t="s">
        <v>574</v>
      </c>
      <c r="C156" s="311"/>
      <c r="E156" s="16">
        <f>914000+28875</f>
        <v>942875</v>
      </c>
      <c r="F156" s="311"/>
      <c r="H156" s="16">
        <f>914000+28875</f>
        <v>942875</v>
      </c>
      <c r="I156" s="16">
        <v>319854</v>
      </c>
      <c r="J156" s="304">
        <f>+I156/H156</f>
        <v>0.33923266604799152</v>
      </c>
    </row>
    <row r="157" spans="1:11" outlineLevel="3" x14ac:dyDescent="0.25">
      <c r="A157" s="195"/>
      <c r="B157" s="147" t="s">
        <v>19</v>
      </c>
      <c r="C157" s="311"/>
      <c r="E157" s="16">
        <f>512000+3465000+510000</f>
        <v>4487000</v>
      </c>
      <c r="F157" s="311"/>
      <c r="H157" s="16">
        <f>512000+3465000+510000</f>
        <v>4487000</v>
      </c>
      <c r="I157" s="16">
        <v>1699227</v>
      </c>
      <c r="J157" s="304">
        <f>+I157/H157</f>
        <v>0.37870002228660576</v>
      </c>
    </row>
    <row r="158" spans="1:11" outlineLevel="3" x14ac:dyDescent="0.25">
      <c r="A158" s="195"/>
      <c r="B158" s="147" t="s">
        <v>31</v>
      </c>
      <c r="C158" s="311"/>
      <c r="E158" s="16"/>
      <c r="F158" s="311"/>
      <c r="H158" s="16"/>
      <c r="I158" s="16"/>
      <c r="J158" s="16"/>
    </row>
    <row r="159" spans="1:11" outlineLevel="2" x14ac:dyDescent="0.25">
      <c r="A159" s="195" t="s">
        <v>379</v>
      </c>
      <c r="B159" s="150" t="s">
        <v>180</v>
      </c>
      <c r="C159" s="309">
        <v>2</v>
      </c>
      <c r="E159" s="166">
        <f>SUM(E160:E163)</f>
        <v>15217000</v>
      </c>
      <c r="F159" s="309">
        <v>2</v>
      </c>
      <c r="H159" s="166">
        <f>SUM(H160:H163)</f>
        <v>15217000</v>
      </c>
      <c r="I159" s="166">
        <f>SUM(I160:I163)</f>
        <v>3915338</v>
      </c>
      <c r="J159" s="299">
        <f>+I159/H159</f>
        <v>0.25730025629230469</v>
      </c>
      <c r="K159">
        <v>5123</v>
      </c>
    </row>
    <row r="160" spans="1:11" outlineLevel="3" x14ac:dyDescent="0.25">
      <c r="A160" s="195"/>
      <c r="B160" s="147" t="s">
        <v>13</v>
      </c>
      <c r="C160" s="310"/>
      <c r="E160" s="137">
        <f>7197000+102000</f>
        <v>7299000</v>
      </c>
      <c r="F160" s="310"/>
      <c r="H160" s="137">
        <f>7197000+102000</f>
        <v>7299000</v>
      </c>
      <c r="I160" s="137">
        <v>2518522</v>
      </c>
      <c r="J160" s="304">
        <f>+I160/H160</f>
        <v>0.34505028086039186</v>
      </c>
    </row>
    <row r="161" spans="1:15" outlineLevel="3" x14ac:dyDescent="0.25">
      <c r="A161" s="195"/>
      <c r="B161" s="147" t="s">
        <v>574</v>
      </c>
      <c r="C161" s="310"/>
      <c r="E161" s="137">
        <f>1285000+33000</f>
        <v>1318000</v>
      </c>
      <c r="F161" s="310"/>
      <c r="H161" s="137">
        <f>1285000+33000</f>
        <v>1318000</v>
      </c>
      <c r="I161" s="137">
        <v>469620</v>
      </c>
      <c r="J161" s="304">
        <f>+I161/H161</f>
        <v>0.35631259484066768</v>
      </c>
    </row>
    <row r="162" spans="1:15" outlineLevel="3" x14ac:dyDescent="0.25">
      <c r="A162" s="195"/>
      <c r="B162" s="147" t="s">
        <v>19</v>
      </c>
      <c r="C162" s="310"/>
      <c r="E162" s="137">
        <f>600000+600000+3300000+700000+1400000</f>
        <v>6600000</v>
      </c>
      <c r="F162" s="310"/>
      <c r="H162" s="137">
        <f>600000+600000+3300000+700000+1400000</f>
        <v>6600000</v>
      </c>
      <c r="I162" s="137">
        <v>927196</v>
      </c>
      <c r="J162" s="304">
        <f>+I162/H162</f>
        <v>0.14048424242424243</v>
      </c>
    </row>
    <row r="163" spans="1:15" outlineLevel="3" x14ac:dyDescent="0.25">
      <c r="A163" s="195"/>
      <c r="B163" s="147" t="s">
        <v>31</v>
      </c>
      <c r="C163" s="310"/>
      <c r="E163" s="137"/>
      <c r="F163" s="310"/>
      <c r="H163" s="137"/>
      <c r="I163" s="137"/>
      <c r="J163" s="137"/>
    </row>
    <row r="164" spans="1:15" outlineLevel="2" x14ac:dyDescent="0.25">
      <c r="A164" s="195" t="s">
        <v>381</v>
      </c>
      <c r="B164" s="150" t="s">
        <v>594</v>
      </c>
      <c r="C164" s="309"/>
      <c r="E164" s="166">
        <f>SUM(E165:E167)</f>
        <v>11000000</v>
      </c>
      <c r="F164" s="309"/>
      <c r="H164" s="166">
        <f>SUM(H165:H167)</f>
        <v>11000000</v>
      </c>
      <c r="I164" s="166">
        <f>SUM(I165:I167)</f>
        <v>1564301</v>
      </c>
      <c r="J164" s="299">
        <f>+I164/H164</f>
        <v>0.14220918181818182</v>
      </c>
      <c r="K164">
        <v>5108</v>
      </c>
    </row>
    <row r="165" spans="1:15" outlineLevel="3" x14ac:dyDescent="0.25">
      <c r="A165" s="195"/>
      <c r="B165" s="147" t="s">
        <v>19</v>
      </c>
      <c r="C165" s="310"/>
      <c r="E165" s="137">
        <f>200000+8000000+300000+1000000+1500000</f>
        <v>11000000</v>
      </c>
      <c r="F165" s="310"/>
      <c r="H165" s="137">
        <f>200000+8000000+300000+1000000+1500000</f>
        <v>11000000</v>
      </c>
      <c r="I165" s="137">
        <v>1564301</v>
      </c>
      <c r="J165" s="304">
        <f>+I165/H165</f>
        <v>0.14220918181818182</v>
      </c>
    </row>
    <row r="166" spans="1:15" outlineLevel="3" x14ac:dyDescent="0.25">
      <c r="A166" s="195"/>
      <c r="B166" s="147" t="s">
        <v>31</v>
      </c>
      <c r="C166" s="310"/>
      <c r="E166" s="137"/>
      <c r="F166" s="310"/>
      <c r="H166" s="137"/>
      <c r="I166" s="137"/>
      <c r="J166" s="137"/>
    </row>
    <row r="167" spans="1:15" outlineLevel="3" x14ac:dyDescent="0.25">
      <c r="A167" s="195"/>
      <c r="B167" s="147" t="s">
        <v>33</v>
      </c>
      <c r="C167" s="310"/>
      <c r="E167" s="137"/>
      <c r="F167" s="310"/>
      <c r="H167" s="137"/>
      <c r="I167" s="137"/>
      <c r="J167" s="137"/>
    </row>
    <row r="168" spans="1:15" outlineLevel="2" x14ac:dyDescent="0.25">
      <c r="A168" s="195" t="s">
        <v>382</v>
      </c>
      <c r="B168" s="150" t="s">
        <v>595</v>
      </c>
      <c r="C168" s="309">
        <v>11</v>
      </c>
      <c r="E168" s="166">
        <f>SUM(E169:E173)</f>
        <v>110669650</v>
      </c>
      <c r="F168" s="309">
        <v>11</v>
      </c>
      <c r="H168" s="166">
        <f>SUM(H169:H174)</f>
        <v>142949267</v>
      </c>
      <c r="I168" s="166">
        <f>SUM(I169:I174)</f>
        <v>37944791.159999996</v>
      </c>
      <c r="J168" s="299">
        <f>+I168/H168</f>
        <v>0.26544236256909243</v>
      </c>
      <c r="K168">
        <v>5111</v>
      </c>
    </row>
    <row r="169" spans="1:15" outlineLevel="3" x14ac:dyDescent="0.25">
      <c r="A169" s="195"/>
      <c r="B169" s="147" t="s">
        <v>13</v>
      </c>
      <c r="C169" s="310"/>
      <c r="E169" s="137">
        <f>55709000+561000</f>
        <v>56270000</v>
      </c>
      <c r="F169" s="310"/>
      <c r="H169" s="137">
        <f>55709000+561000</f>
        <v>56270000</v>
      </c>
      <c r="I169" s="137">
        <f>30813955*0.62</f>
        <v>19104652.100000001</v>
      </c>
      <c r="J169" s="304">
        <f>+I169/H169</f>
        <v>0.33951754220721525</v>
      </c>
      <c r="M169" s="60"/>
      <c r="N169" s="60"/>
      <c r="O169" s="312"/>
    </row>
    <row r="170" spans="1:15" outlineLevel="3" x14ac:dyDescent="0.25">
      <c r="A170" s="133"/>
      <c r="B170" s="147" t="s">
        <v>574</v>
      </c>
      <c r="C170" s="310"/>
      <c r="E170" s="137">
        <f>9661000+6794150+181500</f>
        <v>16636650</v>
      </c>
      <c r="F170" s="310"/>
      <c r="H170" s="137">
        <f>9661000+6794150+181500</f>
        <v>16636650</v>
      </c>
      <c r="I170" s="137">
        <f>7742613*0.62</f>
        <v>4800420.0599999996</v>
      </c>
      <c r="J170" s="304">
        <f>+I170/H170</f>
        <v>0.28854487291612191</v>
      </c>
      <c r="M170" s="60"/>
    </row>
    <row r="171" spans="1:15" outlineLevel="3" x14ac:dyDescent="0.25">
      <c r="A171" s="195"/>
      <c r="B171" s="147" t="s">
        <v>19</v>
      </c>
      <c r="C171" s="310"/>
      <c r="E171" s="137">
        <f>200000+787000+6535000+1179000+3596000+529000+2280000+15147000+140000+3700000+2400000</f>
        <v>36493000</v>
      </c>
      <c r="F171" s="310"/>
      <c r="H171" s="137">
        <f>200000+787000+6535000+1179000+3596000+529000+2280000+15147000+140000+3700000+2400000+91163-1397451-1837005</f>
        <v>33349707</v>
      </c>
      <c r="I171" s="137">
        <v>11901417</v>
      </c>
      <c r="J171" s="304">
        <f>+I171/H171</f>
        <v>0.35686721325617643</v>
      </c>
      <c r="M171" s="60"/>
    </row>
    <row r="172" spans="1:15" outlineLevel="3" x14ac:dyDescent="0.25">
      <c r="A172" s="195"/>
      <c r="B172" s="147" t="s">
        <v>551</v>
      </c>
      <c r="C172" s="310"/>
      <c r="E172" s="137"/>
      <c r="F172" s="310"/>
      <c r="H172" s="137">
        <f>32188454</f>
        <v>32188454</v>
      </c>
      <c r="I172" s="137"/>
      <c r="J172" s="137"/>
    </row>
    <row r="173" spans="1:15" outlineLevel="3" x14ac:dyDescent="0.25">
      <c r="A173" s="195"/>
      <c r="B173" s="147" t="s">
        <v>31</v>
      </c>
      <c r="C173" s="310"/>
      <c r="E173" s="137">
        <v>1270000</v>
      </c>
      <c r="F173" s="310"/>
      <c r="H173" s="137">
        <f>1270000+1397451+23159</f>
        <v>2690610</v>
      </c>
      <c r="I173" s="137">
        <v>2138302</v>
      </c>
      <c r="J173" s="304">
        <f>+I173/H173</f>
        <v>0.79472758965439061</v>
      </c>
    </row>
    <row r="174" spans="1:15" outlineLevel="3" x14ac:dyDescent="0.25">
      <c r="A174" s="195"/>
      <c r="B174" s="147" t="s">
        <v>33</v>
      </c>
      <c r="C174" s="310"/>
      <c r="E174" s="137"/>
      <c r="F174" s="310"/>
      <c r="H174" s="137">
        <v>1813846</v>
      </c>
      <c r="I174" s="137"/>
      <c r="J174" s="137"/>
    </row>
    <row r="175" spans="1:15" outlineLevel="2" x14ac:dyDescent="0.25">
      <c r="A175" s="195" t="s">
        <v>384</v>
      </c>
      <c r="B175" s="150" t="s">
        <v>596</v>
      </c>
      <c r="C175" s="309">
        <v>9</v>
      </c>
      <c r="E175" s="166">
        <f>SUM(E176:E179)</f>
        <v>45011500</v>
      </c>
      <c r="F175" s="309">
        <v>9</v>
      </c>
      <c r="H175" s="166">
        <f>SUM(H176:H179)</f>
        <v>45011500</v>
      </c>
      <c r="I175" s="166">
        <f>SUM(I176:I179)</f>
        <v>15981865.84</v>
      </c>
      <c r="J175" s="299">
        <f>+I175/H175</f>
        <v>0.35506183619741621</v>
      </c>
      <c r="K175">
        <v>5125</v>
      </c>
    </row>
    <row r="176" spans="1:15" outlineLevel="3" x14ac:dyDescent="0.25">
      <c r="A176" s="195"/>
      <c r="B176" s="147" t="s">
        <v>13</v>
      </c>
      <c r="C176" s="310"/>
      <c r="E176" s="137">
        <f>33163000+459000</f>
        <v>33622000</v>
      </c>
      <c r="F176" s="310"/>
      <c r="H176" s="137">
        <f>33163000+459000</f>
        <v>33622000</v>
      </c>
      <c r="I176" s="137">
        <f>30813955*0.38</f>
        <v>11709302.9</v>
      </c>
      <c r="J176" s="304">
        <f>+I176/H176</f>
        <v>0.34826312830884543</v>
      </c>
    </row>
    <row r="177" spans="1:11" outlineLevel="3" x14ac:dyDescent="0.25">
      <c r="A177" s="195"/>
      <c r="B177" s="147" t="s">
        <v>574</v>
      </c>
      <c r="C177" s="310"/>
      <c r="E177" s="137">
        <f>5841000+148500</f>
        <v>5989500</v>
      </c>
      <c r="F177" s="310"/>
      <c r="H177" s="137">
        <f>5841000+148500</f>
        <v>5989500</v>
      </c>
      <c r="I177" s="137">
        <f>7742613*0.38</f>
        <v>2942192.94</v>
      </c>
      <c r="J177" s="304">
        <f>+I177/H177</f>
        <v>0.49122513398447282</v>
      </c>
    </row>
    <row r="178" spans="1:11" outlineLevel="3" x14ac:dyDescent="0.25">
      <c r="A178" s="195"/>
      <c r="B178" s="147" t="s">
        <v>19</v>
      </c>
      <c r="C178" s="310"/>
      <c r="E178" s="137">
        <f>400000+4000000+1000000</f>
        <v>5400000</v>
      </c>
      <c r="F178" s="310"/>
      <c r="H178" s="137">
        <f>400000+4000000+1000000</f>
        <v>5400000</v>
      </c>
      <c r="I178" s="137">
        <v>1141676</v>
      </c>
      <c r="J178" s="304">
        <f>+I178/H178</f>
        <v>0.21142148148148149</v>
      </c>
    </row>
    <row r="179" spans="1:11" outlineLevel="3" x14ac:dyDescent="0.25">
      <c r="A179" s="195"/>
      <c r="B179" s="147" t="s">
        <v>31</v>
      </c>
      <c r="C179" s="310"/>
      <c r="E179" s="137"/>
      <c r="F179" s="310"/>
      <c r="H179" s="137"/>
      <c r="I179" s="137">
        <v>188694</v>
      </c>
      <c r="J179" s="137"/>
    </row>
    <row r="180" spans="1:11" outlineLevel="2" x14ac:dyDescent="0.25">
      <c r="A180" s="195" t="s">
        <v>386</v>
      </c>
      <c r="B180" s="150" t="s">
        <v>182</v>
      </c>
      <c r="C180" s="309">
        <v>19</v>
      </c>
      <c r="E180" s="166">
        <f>SUM(E181:E184)</f>
        <v>309028500</v>
      </c>
      <c r="F180" s="309">
        <v>19</v>
      </c>
      <c r="H180" s="166">
        <f>SUM(H181:H184)</f>
        <v>314841823</v>
      </c>
      <c r="I180" s="166">
        <f>SUM(I181:I184)</f>
        <v>103826220</v>
      </c>
      <c r="J180" s="299">
        <f>+I180/H180</f>
        <v>0.32977264268985002</v>
      </c>
      <c r="K180">
        <v>5124</v>
      </c>
    </row>
    <row r="181" spans="1:11" outlineLevel="3" x14ac:dyDescent="0.25">
      <c r="A181" s="195"/>
      <c r="B181" s="147" t="s">
        <v>13</v>
      </c>
      <c r="C181" s="310"/>
      <c r="E181" s="137">
        <f>62083000+969000</f>
        <v>63052000</v>
      </c>
      <c r="F181" s="310"/>
      <c r="H181" s="137">
        <f>62083000+969000</f>
        <v>63052000</v>
      </c>
      <c r="I181" s="137">
        <v>20073870</v>
      </c>
      <c r="J181" s="304">
        <f>+I181/H181</f>
        <v>0.3183700754932437</v>
      </c>
    </row>
    <row r="182" spans="1:11" outlineLevel="3" x14ac:dyDescent="0.25">
      <c r="A182" s="195"/>
      <c r="B182" s="147" t="s">
        <v>574</v>
      </c>
      <c r="C182" s="310"/>
      <c r="E182" s="137">
        <f>10922000+313500</f>
        <v>11235500</v>
      </c>
      <c r="F182" s="310"/>
      <c r="H182" s="137">
        <f>10922000+313500</f>
        <v>11235500</v>
      </c>
      <c r="I182" s="137">
        <v>3534915</v>
      </c>
      <c r="J182" s="304">
        <f>+I182/H182</f>
        <v>0.31462017711717327</v>
      </c>
    </row>
    <row r="183" spans="1:11" outlineLevel="3" x14ac:dyDescent="0.25">
      <c r="A183" s="195"/>
      <c r="B183" s="147" t="s">
        <v>19</v>
      </c>
      <c r="C183" s="310"/>
      <c r="E183" s="137">
        <f>3750000+184915000+2700000+2800000+40576000</f>
        <v>234741000</v>
      </c>
      <c r="F183" s="310"/>
      <c r="H183" s="137">
        <f>3750000+184915000+2700000+2800000+40576000+5813323</f>
        <v>240554323</v>
      </c>
      <c r="I183" s="137">
        <v>80186844</v>
      </c>
      <c r="J183" s="304">
        <f>+I183/H183</f>
        <v>0.33334193707256721</v>
      </c>
    </row>
    <row r="184" spans="1:11" outlineLevel="3" x14ac:dyDescent="0.25">
      <c r="A184" s="195"/>
      <c r="B184" s="147" t="s">
        <v>31</v>
      </c>
      <c r="C184" s="310"/>
      <c r="E184" s="137"/>
      <c r="F184" s="310"/>
      <c r="H184" s="137"/>
      <c r="I184" s="137">
        <v>30591</v>
      </c>
      <c r="J184" s="137"/>
    </row>
    <row r="185" spans="1:11" outlineLevel="1" x14ac:dyDescent="0.25">
      <c r="A185" s="195" t="s">
        <v>27</v>
      </c>
      <c r="B185" s="313" t="s">
        <v>205</v>
      </c>
      <c r="C185" s="297">
        <v>0</v>
      </c>
      <c r="D185" s="160">
        <v>0</v>
      </c>
      <c r="E185" s="160">
        <v>0</v>
      </c>
      <c r="F185" s="297">
        <v>0</v>
      </c>
      <c r="G185" s="160">
        <v>0</v>
      </c>
      <c r="H185" s="160">
        <v>0</v>
      </c>
      <c r="I185" s="160">
        <v>0</v>
      </c>
      <c r="J185" s="160">
        <v>0</v>
      </c>
    </row>
    <row r="191" spans="1:11" x14ac:dyDescent="0.25">
      <c r="B191" s="117" t="s">
        <v>597</v>
      </c>
    </row>
    <row r="192" spans="1:11" x14ac:dyDescent="0.25">
      <c r="B192" s="117" t="s">
        <v>598</v>
      </c>
      <c r="E192" s="60">
        <f>+E135+E140+E155+E160+E169+E176+E181</f>
        <v>264191250</v>
      </c>
      <c r="H192" s="60">
        <f>+H135+H140+H155+H160+H169+H176+H181</f>
        <v>264191250</v>
      </c>
      <c r="I192" s="60">
        <f>+I135+I140+I155+I160+I169+I176+I181</f>
        <v>89749715</v>
      </c>
    </row>
    <row r="193" spans="2:9" x14ac:dyDescent="0.25">
      <c r="B193" s="117" t="s">
        <v>599</v>
      </c>
      <c r="E193" s="60">
        <f>+E136+E141+E156+E161+E170+E177+E182</f>
        <v>53749525</v>
      </c>
      <c r="H193" s="60">
        <f>+H136+H141+H156+H161+H170+H177+H182</f>
        <v>53749525</v>
      </c>
      <c r="I193" s="60">
        <f>+I136+I141+I156+I161+I170+I177+I182</f>
        <v>18295854</v>
      </c>
    </row>
    <row r="194" spans="2:9" x14ac:dyDescent="0.25">
      <c r="B194" s="117" t="s">
        <v>600</v>
      </c>
      <c r="E194" s="60">
        <f>+E137+E142+E145+E148+E152+E157+E162+E165+E171+E178+E183</f>
        <v>484180000</v>
      </c>
      <c r="H194" s="60">
        <f>+H137+H142+H145+H148+H152+H157+H162+H165+H171+H178+H183</f>
        <v>488013052</v>
      </c>
      <c r="I194" s="60">
        <f>+I137+I142+I145+I148+I152+I157+I162+I165+I171+I178+I183</f>
        <v>162371639</v>
      </c>
    </row>
    <row r="195" spans="2:9" x14ac:dyDescent="0.25">
      <c r="B195" s="117" t="s">
        <v>601</v>
      </c>
      <c r="E195" s="60">
        <f>+E172</f>
        <v>0</v>
      </c>
      <c r="H195" s="60">
        <f>+H172</f>
        <v>32188454</v>
      </c>
      <c r="I195" s="60">
        <f>+I172</f>
        <v>0</v>
      </c>
    </row>
    <row r="196" spans="2:9" x14ac:dyDescent="0.25">
      <c r="B196" s="117" t="s">
        <v>602</v>
      </c>
      <c r="E196" s="60">
        <f>+E138+E143+E146+E149+E153+E158+E163+E166+E173+E179+E184</f>
        <v>1270000</v>
      </c>
      <c r="H196" s="60">
        <f>+H138+H143+H146+H149+H153+H158+H163+H166+H173+H179+H184</f>
        <v>2690610</v>
      </c>
      <c r="I196" s="60">
        <f>+I138+I143+I146+I149+I153+I158+I163+I166+I173+I179+I184</f>
        <v>2746948</v>
      </c>
    </row>
    <row r="197" spans="2:9" x14ac:dyDescent="0.25">
      <c r="B197" s="117" t="s">
        <v>603</v>
      </c>
      <c r="E197" s="60">
        <f>+E167</f>
        <v>0</v>
      </c>
      <c r="H197" s="60">
        <f>+H167+H174</f>
        <v>1813846</v>
      </c>
      <c r="I197" s="60">
        <f>+I167+I174+I150</f>
        <v>724408</v>
      </c>
    </row>
    <row r="198" spans="2:9" x14ac:dyDescent="0.25">
      <c r="B198" s="117" t="s">
        <v>604</v>
      </c>
      <c r="E198" s="60">
        <f>SUM(E192:E197)</f>
        <v>803390775</v>
      </c>
      <c r="H198" s="60">
        <f>SUM(H192:H197)</f>
        <v>842646737</v>
      </c>
      <c r="I198" s="60">
        <f>SUM(I192:I197)</f>
        <v>273888564</v>
      </c>
    </row>
  </sheetData>
  <mergeCells count="12">
    <mergeCell ref="A2:A4"/>
    <mergeCell ref="B2:B4"/>
    <mergeCell ref="C2:C3"/>
    <mergeCell ref="D2:D3"/>
    <mergeCell ref="E2:E3"/>
    <mergeCell ref="G2:G3"/>
    <mergeCell ref="H2:H3"/>
    <mergeCell ref="I2:I4"/>
    <mergeCell ref="J2:J4"/>
    <mergeCell ref="C4:E4"/>
    <mergeCell ref="F4:H4"/>
    <mergeCell ref="F2:F3"/>
  </mergeCells>
  <printOptions horizontalCentered="1" gridLines="1"/>
  <pageMargins left="0.19685039370078741" right="0.19685039370078741" top="0.87" bottom="0.46" header="0.15748031496062992" footer="0.27559055118110237"/>
  <pageSetup paperSize="9" scale="60" fitToWidth="0" fitToHeight="6" pageOrder="overThenDown" orientation="portrait" r:id="rId1"/>
  <headerFooter>
    <oddHeader>&amp;L5.  melléklet a ......./2020. (.................) önkormányzati rendelethez&amp;C&amp;"-,Félkövér"&amp;16
A gazdasági szervezettel nem rendelkező költségvetési szervek 2020. évi kiadásai költségvetési szervenként és feladatonként részletes bontásban</oddHeader>
    <oddFooter>&amp;C&amp;P&amp;R&amp;D, &amp;T</oddFooter>
  </headerFooter>
  <rowBreaks count="1" manualBreakCount="1">
    <brk id="185" max="2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27B9D-CDC5-430F-B881-5B3EB0EC4394}">
  <sheetPr>
    <pageSetUpPr fitToPage="1"/>
  </sheetPr>
  <dimension ref="A1:I19"/>
  <sheetViews>
    <sheetView showZeros="0" view="pageLayout" zoomScaleNormal="100" zoomScaleSheetLayoutView="74" workbookViewId="0">
      <selection activeCell="I7" sqref="I7"/>
    </sheetView>
  </sheetViews>
  <sheetFormatPr defaultColWidth="12.28515625" defaultRowHeight="12.75" x14ac:dyDescent="0.2"/>
  <cols>
    <col min="1" max="1" width="57" style="315" customWidth="1"/>
    <col min="2" max="3" width="10.140625" style="317" hidden="1" customWidth="1"/>
    <col min="4" max="4" width="14" style="342" customWidth="1"/>
    <col min="5" max="5" width="14" style="315" hidden="1" customWidth="1"/>
    <col min="6" max="7" width="12.28515625" style="315" customWidth="1"/>
    <col min="8" max="256" width="12.28515625" style="315"/>
    <col min="257" max="257" width="57" style="315" customWidth="1"/>
    <col min="258" max="259" width="0" style="315" hidden="1" customWidth="1"/>
    <col min="260" max="260" width="14" style="315" customWidth="1"/>
    <col min="261" max="261" width="0" style="315" hidden="1" customWidth="1"/>
    <col min="262" max="512" width="12.28515625" style="315"/>
    <col min="513" max="513" width="57" style="315" customWidth="1"/>
    <col min="514" max="515" width="0" style="315" hidden="1" customWidth="1"/>
    <col min="516" max="516" width="14" style="315" customWidth="1"/>
    <col min="517" max="517" width="0" style="315" hidden="1" customWidth="1"/>
    <col min="518" max="768" width="12.28515625" style="315"/>
    <col min="769" max="769" width="57" style="315" customWidth="1"/>
    <col min="770" max="771" width="0" style="315" hidden="1" customWidth="1"/>
    <col min="772" max="772" width="14" style="315" customWidth="1"/>
    <col min="773" max="773" width="0" style="315" hidden="1" customWidth="1"/>
    <col min="774" max="1024" width="12.28515625" style="315"/>
    <col min="1025" max="1025" width="57" style="315" customWidth="1"/>
    <col min="1026" max="1027" width="0" style="315" hidden="1" customWidth="1"/>
    <col min="1028" max="1028" width="14" style="315" customWidth="1"/>
    <col min="1029" max="1029" width="0" style="315" hidden="1" customWidth="1"/>
    <col min="1030" max="1280" width="12.28515625" style="315"/>
    <col min="1281" max="1281" width="57" style="315" customWidth="1"/>
    <col min="1282" max="1283" width="0" style="315" hidden="1" customWidth="1"/>
    <col min="1284" max="1284" width="14" style="315" customWidth="1"/>
    <col min="1285" max="1285" width="0" style="315" hidden="1" customWidth="1"/>
    <col min="1286" max="1536" width="12.28515625" style="315"/>
    <col min="1537" max="1537" width="57" style="315" customWidth="1"/>
    <col min="1538" max="1539" width="0" style="315" hidden="1" customWidth="1"/>
    <col min="1540" max="1540" width="14" style="315" customWidth="1"/>
    <col min="1541" max="1541" width="0" style="315" hidden="1" customWidth="1"/>
    <col min="1542" max="1792" width="12.28515625" style="315"/>
    <col min="1793" max="1793" width="57" style="315" customWidth="1"/>
    <col min="1794" max="1795" width="0" style="315" hidden="1" customWidth="1"/>
    <col min="1796" max="1796" width="14" style="315" customWidth="1"/>
    <col min="1797" max="1797" width="0" style="315" hidden="1" customWidth="1"/>
    <col min="1798" max="2048" width="12.28515625" style="315"/>
    <col min="2049" max="2049" width="57" style="315" customWidth="1"/>
    <col min="2050" max="2051" width="0" style="315" hidden="1" customWidth="1"/>
    <col min="2052" max="2052" width="14" style="315" customWidth="1"/>
    <col min="2053" max="2053" width="0" style="315" hidden="1" customWidth="1"/>
    <col min="2054" max="2304" width="12.28515625" style="315"/>
    <col min="2305" max="2305" width="57" style="315" customWidth="1"/>
    <col min="2306" max="2307" width="0" style="315" hidden="1" customWidth="1"/>
    <col min="2308" max="2308" width="14" style="315" customWidth="1"/>
    <col min="2309" max="2309" width="0" style="315" hidden="1" customWidth="1"/>
    <col min="2310" max="2560" width="12.28515625" style="315"/>
    <col min="2561" max="2561" width="57" style="315" customWidth="1"/>
    <col min="2562" max="2563" width="0" style="315" hidden="1" customWidth="1"/>
    <col min="2564" max="2564" width="14" style="315" customWidth="1"/>
    <col min="2565" max="2565" width="0" style="315" hidden="1" customWidth="1"/>
    <col min="2566" max="2816" width="12.28515625" style="315"/>
    <col min="2817" max="2817" width="57" style="315" customWidth="1"/>
    <col min="2818" max="2819" width="0" style="315" hidden="1" customWidth="1"/>
    <col min="2820" max="2820" width="14" style="315" customWidth="1"/>
    <col min="2821" max="2821" width="0" style="315" hidden="1" customWidth="1"/>
    <col min="2822" max="3072" width="12.28515625" style="315"/>
    <col min="3073" max="3073" width="57" style="315" customWidth="1"/>
    <col min="3074" max="3075" width="0" style="315" hidden="1" customWidth="1"/>
    <col min="3076" max="3076" width="14" style="315" customWidth="1"/>
    <col min="3077" max="3077" width="0" style="315" hidden="1" customWidth="1"/>
    <col min="3078" max="3328" width="12.28515625" style="315"/>
    <col min="3329" max="3329" width="57" style="315" customWidth="1"/>
    <col min="3330" max="3331" width="0" style="315" hidden="1" customWidth="1"/>
    <col min="3332" max="3332" width="14" style="315" customWidth="1"/>
    <col min="3333" max="3333" width="0" style="315" hidden="1" customWidth="1"/>
    <col min="3334" max="3584" width="12.28515625" style="315"/>
    <col min="3585" max="3585" width="57" style="315" customWidth="1"/>
    <col min="3586" max="3587" width="0" style="315" hidden="1" customWidth="1"/>
    <col min="3588" max="3588" width="14" style="315" customWidth="1"/>
    <col min="3589" max="3589" width="0" style="315" hidden="1" customWidth="1"/>
    <col min="3590" max="3840" width="12.28515625" style="315"/>
    <col min="3841" max="3841" width="57" style="315" customWidth="1"/>
    <col min="3842" max="3843" width="0" style="315" hidden="1" customWidth="1"/>
    <col min="3844" max="3844" width="14" style="315" customWidth="1"/>
    <col min="3845" max="3845" width="0" style="315" hidden="1" customWidth="1"/>
    <col min="3846" max="4096" width="12.28515625" style="315"/>
    <col min="4097" max="4097" width="57" style="315" customWidth="1"/>
    <col min="4098" max="4099" width="0" style="315" hidden="1" customWidth="1"/>
    <col min="4100" max="4100" width="14" style="315" customWidth="1"/>
    <col min="4101" max="4101" width="0" style="315" hidden="1" customWidth="1"/>
    <col min="4102" max="4352" width="12.28515625" style="315"/>
    <col min="4353" max="4353" width="57" style="315" customWidth="1"/>
    <col min="4354" max="4355" width="0" style="315" hidden="1" customWidth="1"/>
    <col min="4356" max="4356" width="14" style="315" customWidth="1"/>
    <col min="4357" max="4357" width="0" style="315" hidden="1" customWidth="1"/>
    <col min="4358" max="4608" width="12.28515625" style="315"/>
    <col min="4609" max="4609" width="57" style="315" customWidth="1"/>
    <col min="4610" max="4611" width="0" style="315" hidden="1" customWidth="1"/>
    <col min="4612" max="4612" width="14" style="315" customWidth="1"/>
    <col min="4613" max="4613" width="0" style="315" hidden="1" customWidth="1"/>
    <col min="4614" max="4864" width="12.28515625" style="315"/>
    <col min="4865" max="4865" width="57" style="315" customWidth="1"/>
    <col min="4866" max="4867" width="0" style="315" hidden="1" customWidth="1"/>
    <col min="4868" max="4868" width="14" style="315" customWidth="1"/>
    <col min="4869" max="4869" width="0" style="315" hidden="1" customWidth="1"/>
    <col min="4870" max="5120" width="12.28515625" style="315"/>
    <col min="5121" max="5121" width="57" style="315" customWidth="1"/>
    <col min="5122" max="5123" width="0" style="315" hidden="1" customWidth="1"/>
    <col min="5124" max="5124" width="14" style="315" customWidth="1"/>
    <col min="5125" max="5125" width="0" style="315" hidden="1" customWidth="1"/>
    <col min="5126" max="5376" width="12.28515625" style="315"/>
    <col min="5377" max="5377" width="57" style="315" customWidth="1"/>
    <col min="5378" max="5379" width="0" style="315" hidden="1" customWidth="1"/>
    <col min="5380" max="5380" width="14" style="315" customWidth="1"/>
    <col min="5381" max="5381" width="0" style="315" hidden="1" customWidth="1"/>
    <col min="5382" max="5632" width="12.28515625" style="315"/>
    <col min="5633" max="5633" width="57" style="315" customWidth="1"/>
    <col min="5634" max="5635" width="0" style="315" hidden="1" customWidth="1"/>
    <col min="5636" max="5636" width="14" style="315" customWidth="1"/>
    <col min="5637" max="5637" width="0" style="315" hidden="1" customWidth="1"/>
    <col min="5638" max="5888" width="12.28515625" style="315"/>
    <col min="5889" max="5889" width="57" style="315" customWidth="1"/>
    <col min="5890" max="5891" width="0" style="315" hidden="1" customWidth="1"/>
    <col min="5892" max="5892" width="14" style="315" customWidth="1"/>
    <col min="5893" max="5893" width="0" style="315" hidden="1" customWidth="1"/>
    <col min="5894" max="6144" width="12.28515625" style="315"/>
    <col min="6145" max="6145" width="57" style="315" customWidth="1"/>
    <col min="6146" max="6147" width="0" style="315" hidden="1" customWidth="1"/>
    <col min="6148" max="6148" width="14" style="315" customWidth="1"/>
    <col min="6149" max="6149" width="0" style="315" hidden="1" customWidth="1"/>
    <col min="6150" max="6400" width="12.28515625" style="315"/>
    <col min="6401" max="6401" width="57" style="315" customWidth="1"/>
    <col min="6402" max="6403" width="0" style="315" hidden="1" customWidth="1"/>
    <col min="6404" max="6404" width="14" style="315" customWidth="1"/>
    <col min="6405" max="6405" width="0" style="315" hidden="1" customWidth="1"/>
    <col min="6406" max="6656" width="12.28515625" style="315"/>
    <col min="6657" max="6657" width="57" style="315" customWidth="1"/>
    <col min="6658" max="6659" width="0" style="315" hidden="1" customWidth="1"/>
    <col min="6660" max="6660" width="14" style="315" customWidth="1"/>
    <col min="6661" max="6661" width="0" style="315" hidden="1" customWidth="1"/>
    <col min="6662" max="6912" width="12.28515625" style="315"/>
    <col min="6913" max="6913" width="57" style="315" customWidth="1"/>
    <col min="6914" max="6915" width="0" style="315" hidden="1" customWidth="1"/>
    <col min="6916" max="6916" width="14" style="315" customWidth="1"/>
    <col min="6917" max="6917" width="0" style="315" hidden="1" customWidth="1"/>
    <col min="6918" max="7168" width="12.28515625" style="315"/>
    <col min="7169" max="7169" width="57" style="315" customWidth="1"/>
    <col min="7170" max="7171" width="0" style="315" hidden="1" customWidth="1"/>
    <col min="7172" max="7172" width="14" style="315" customWidth="1"/>
    <col min="7173" max="7173" width="0" style="315" hidden="1" customWidth="1"/>
    <col min="7174" max="7424" width="12.28515625" style="315"/>
    <col min="7425" max="7425" width="57" style="315" customWidth="1"/>
    <col min="7426" max="7427" width="0" style="315" hidden="1" customWidth="1"/>
    <col min="7428" max="7428" width="14" style="315" customWidth="1"/>
    <col min="7429" max="7429" width="0" style="315" hidden="1" customWidth="1"/>
    <col min="7430" max="7680" width="12.28515625" style="315"/>
    <col min="7681" max="7681" width="57" style="315" customWidth="1"/>
    <col min="7682" max="7683" width="0" style="315" hidden="1" customWidth="1"/>
    <col min="7684" max="7684" width="14" style="315" customWidth="1"/>
    <col min="7685" max="7685" width="0" style="315" hidden="1" customWidth="1"/>
    <col min="7686" max="7936" width="12.28515625" style="315"/>
    <col min="7937" max="7937" width="57" style="315" customWidth="1"/>
    <col min="7938" max="7939" width="0" style="315" hidden="1" customWidth="1"/>
    <col min="7940" max="7940" width="14" style="315" customWidth="1"/>
    <col min="7941" max="7941" width="0" style="315" hidden="1" customWidth="1"/>
    <col min="7942" max="8192" width="12.28515625" style="315"/>
    <col min="8193" max="8193" width="57" style="315" customWidth="1"/>
    <col min="8194" max="8195" width="0" style="315" hidden="1" customWidth="1"/>
    <col min="8196" max="8196" width="14" style="315" customWidth="1"/>
    <col min="8197" max="8197" width="0" style="315" hidden="1" customWidth="1"/>
    <col min="8198" max="8448" width="12.28515625" style="315"/>
    <col min="8449" max="8449" width="57" style="315" customWidth="1"/>
    <col min="8450" max="8451" width="0" style="315" hidden="1" customWidth="1"/>
    <col min="8452" max="8452" width="14" style="315" customWidth="1"/>
    <col min="8453" max="8453" width="0" style="315" hidden="1" customWidth="1"/>
    <col min="8454" max="8704" width="12.28515625" style="315"/>
    <col min="8705" max="8705" width="57" style="315" customWidth="1"/>
    <col min="8706" max="8707" width="0" style="315" hidden="1" customWidth="1"/>
    <col min="8708" max="8708" width="14" style="315" customWidth="1"/>
    <col min="8709" max="8709" width="0" style="315" hidden="1" customWidth="1"/>
    <col min="8710" max="8960" width="12.28515625" style="315"/>
    <col min="8961" max="8961" width="57" style="315" customWidth="1"/>
    <col min="8962" max="8963" width="0" style="315" hidden="1" customWidth="1"/>
    <col min="8964" max="8964" width="14" style="315" customWidth="1"/>
    <col min="8965" max="8965" width="0" style="315" hidden="1" customWidth="1"/>
    <col min="8966" max="9216" width="12.28515625" style="315"/>
    <col min="9217" max="9217" width="57" style="315" customWidth="1"/>
    <col min="9218" max="9219" width="0" style="315" hidden="1" customWidth="1"/>
    <col min="9220" max="9220" width="14" style="315" customWidth="1"/>
    <col min="9221" max="9221" width="0" style="315" hidden="1" customWidth="1"/>
    <col min="9222" max="9472" width="12.28515625" style="315"/>
    <col min="9473" max="9473" width="57" style="315" customWidth="1"/>
    <col min="9474" max="9475" width="0" style="315" hidden="1" customWidth="1"/>
    <col min="9476" max="9476" width="14" style="315" customWidth="1"/>
    <col min="9477" max="9477" width="0" style="315" hidden="1" customWidth="1"/>
    <col min="9478" max="9728" width="12.28515625" style="315"/>
    <col min="9729" max="9729" width="57" style="315" customWidth="1"/>
    <col min="9730" max="9731" width="0" style="315" hidden="1" customWidth="1"/>
    <col min="9732" max="9732" width="14" style="315" customWidth="1"/>
    <col min="9733" max="9733" width="0" style="315" hidden="1" customWidth="1"/>
    <col min="9734" max="9984" width="12.28515625" style="315"/>
    <col min="9985" max="9985" width="57" style="315" customWidth="1"/>
    <col min="9986" max="9987" width="0" style="315" hidden="1" customWidth="1"/>
    <col min="9988" max="9988" width="14" style="315" customWidth="1"/>
    <col min="9989" max="9989" width="0" style="315" hidden="1" customWidth="1"/>
    <col min="9990" max="10240" width="12.28515625" style="315"/>
    <col min="10241" max="10241" width="57" style="315" customWidth="1"/>
    <col min="10242" max="10243" width="0" style="315" hidden="1" customWidth="1"/>
    <col min="10244" max="10244" width="14" style="315" customWidth="1"/>
    <col min="10245" max="10245" width="0" style="315" hidden="1" customWidth="1"/>
    <col min="10246" max="10496" width="12.28515625" style="315"/>
    <col min="10497" max="10497" width="57" style="315" customWidth="1"/>
    <col min="10498" max="10499" width="0" style="315" hidden="1" customWidth="1"/>
    <col min="10500" max="10500" width="14" style="315" customWidth="1"/>
    <col min="10501" max="10501" width="0" style="315" hidden="1" customWidth="1"/>
    <col min="10502" max="10752" width="12.28515625" style="315"/>
    <col min="10753" max="10753" width="57" style="315" customWidth="1"/>
    <col min="10754" max="10755" width="0" style="315" hidden="1" customWidth="1"/>
    <col min="10756" max="10756" width="14" style="315" customWidth="1"/>
    <col min="10757" max="10757" width="0" style="315" hidden="1" customWidth="1"/>
    <col min="10758" max="11008" width="12.28515625" style="315"/>
    <col min="11009" max="11009" width="57" style="315" customWidth="1"/>
    <col min="11010" max="11011" width="0" style="315" hidden="1" customWidth="1"/>
    <col min="11012" max="11012" width="14" style="315" customWidth="1"/>
    <col min="11013" max="11013" width="0" style="315" hidden="1" customWidth="1"/>
    <col min="11014" max="11264" width="12.28515625" style="315"/>
    <col min="11265" max="11265" width="57" style="315" customWidth="1"/>
    <col min="11266" max="11267" width="0" style="315" hidden="1" customWidth="1"/>
    <col min="11268" max="11268" width="14" style="315" customWidth="1"/>
    <col min="11269" max="11269" width="0" style="315" hidden="1" customWidth="1"/>
    <col min="11270" max="11520" width="12.28515625" style="315"/>
    <col min="11521" max="11521" width="57" style="315" customWidth="1"/>
    <col min="11522" max="11523" width="0" style="315" hidden="1" customWidth="1"/>
    <col min="11524" max="11524" width="14" style="315" customWidth="1"/>
    <col min="11525" max="11525" width="0" style="315" hidden="1" customWidth="1"/>
    <col min="11526" max="11776" width="12.28515625" style="315"/>
    <col min="11777" max="11777" width="57" style="315" customWidth="1"/>
    <col min="11778" max="11779" width="0" style="315" hidden="1" customWidth="1"/>
    <col min="11780" max="11780" width="14" style="315" customWidth="1"/>
    <col min="11781" max="11781" width="0" style="315" hidden="1" customWidth="1"/>
    <col min="11782" max="12032" width="12.28515625" style="315"/>
    <col min="12033" max="12033" width="57" style="315" customWidth="1"/>
    <col min="12034" max="12035" width="0" style="315" hidden="1" customWidth="1"/>
    <col min="12036" max="12036" width="14" style="315" customWidth="1"/>
    <col min="12037" max="12037" width="0" style="315" hidden="1" customWidth="1"/>
    <col min="12038" max="12288" width="12.28515625" style="315"/>
    <col min="12289" max="12289" width="57" style="315" customWidth="1"/>
    <col min="12290" max="12291" width="0" style="315" hidden="1" customWidth="1"/>
    <col min="12292" max="12292" width="14" style="315" customWidth="1"/>
    <col min="12293" max="12293" width="0" style="315" hidden="1" customWidth="1"/>
    <col min="12294" max="12544" width="12.28515625" style="315"/>
    <col min="12545" max="12545" width="57" style="315" customWidth="1"/>
    <col min="12546" max="12547" width="0" style="315" hidden="1" customWidth="1"/>
    <col min="12548" max="12548" width="14" style="315" customWidth="1"/>
    <col min="12549" max="12549" width="0" style="315" hidden="1" customWidth="1"/>
    <col min="12550" max="12800" width="12.28515625" style="315"/>
    <col min="12801" max="12801" width="57" style="315" customWidth="1"/>
    <col min="12802" max="12803" width="0" style="315" hidden="1" customWidth="1"/>
    <col min="12804" max="12804" width="14" style="315" customWidth="1"/>
    <col min="12805" max="12805" width="0" style="315" hidden="1" customWidth="1"/>
    <col min="12806" max="13056" width="12.28515625" style="315"/>
    <col min="13057" max="13057" width="57" style="315" customWidth="1"/>
    <col min="13058" max="13059" width="0" style="315" hidden="1" customWidth="1"/>
    <col min="13060" max="13060" width="14" style="315" customWidth="1"/>
    <col min="13061" max="13061" width="0" style="315" hidden="1" customWidth="1"/>
    <col min="13062" max="13312" width="12.28515625" style="315"/>
    <col min="13313" max="13313" width="57" style="315" customWidth="1"/>
    <col min="13314" max="13315" width="0" style="315" hidden="1" customWidth="1"/>
    <col min="13316" max="13316" width="14" style="315" customWidth="1"/>
    <col min="13317" max="13317" width="0" style="315" hidden="1" customWidth="1"/>
    <col min="13318" max="13568" width="12.28515625" style="315"/>
    <col min="13569" max="13569" width="57" style="315" customWidth="1"/>
    <col min="13570" max="13571" width="0" style="315" hidden="1" customWidth="1"/>
    <col min="13572" max="13572" width="14" style="315" customWidth="1"/>
    <col min="13573" max="13573" width="0" style="315" hidden="1" customWidth="1"/>
    <col min="13574" max="13824" width="12.28515625" style="315"/>
    <col min="13825" max="13825" width="57" style="315" customWidth="1"/>
    <col min="13826" max="13827" width="0" style="315" hidden="1" customWidth="1"/>
    <col min="13828" max="13828" width="14" style="315" customWidth="1"/>
    <col min="13829" max="13829" width="0" style="315" hidden="1" customWidth="1"/>
    <col min="13830" max="14080" width="12.28515625" style="315"/>
    <col min="14081" max="14081" width="57" style="315" customWidth="1"/>
    <col min="14082" max="14083" width="0" style="315" hidden="1" customWidth="1"/>
    <col min="14084" max="14084" width="14" style="315" customWidth="1"/>
    <col min="14085" max="14085" width="0" style="315" hidden="1" customWidth="1"/>
    <col min="14086" max="14336" width="12.28515625" style="315"/>
    <col min="14337" max="14337" width="57" style="315" customWidth="1"/>
    <col min="14338" max="14339" width="0" style="315" hidden="1" customWidth="1"/>
    <col min="14340" max="14340" width="14" style="315" customWidth="1"/>
    <col min="14341" max="14341" width="0" style="315" hidden="1" customWidth="1"/>
    <col min="14342" max="14592" width="12.28515625" style="315"/>
    <col min="14593" max="14593" width="57" style="315" customWidth="1"/>
    <col min="14594" max="14595" width="0" style="315" hidden="1" customWidth="1"/>
    <col min="14596" max="14596" width="14" style="315" customWidth="1"/>
    <col min="14597" max="14597" width="0" style="315" hidden="1" customWidth="1"/>
    <col min="14598" max="14848" width="12.28515625" style="315"/>
    <col min="14849" max="14849" width="57" style="315" customWidth="1"/>
    <col min="14850" max="14851" width="0" style="315" hidden="1" customWidth="1"/>
    <col min="14852" max="14852" width="14" style="315" customWidth="1"/>
    <col min="14853" max="14853" width="0" style="315" hidden="1" customWidth="1"/>
    <col min="14854" max="15104" width="12.28515625" style="315"/>
    <col min="15105" max="15105" width="57" style="315" customWidth="1"/>
    <col min="15106" max="15107" width="0" style="315" hidden="1" customWidth="1"/>
    <col min="15108" max="15108" width="14" style="315" customWidth="1"/>
    <col min="15109" max="15109" width="0" style="315" hidden="1" customWidth="1"/>
    <col min="15110" max="15360" width="12.28515625" style="315"/>
    <col min="15361" max="15361" width="57" style="315" customWidth="1"/>
    <col min="15362" max="15363" width="0" style="315" hidden="1" customWidth="1"/>
    <col min="15364" max="15364" width="14" style="315" customWidth="1"/>
    <col min="15365" max="15365" width="0" style="315" hidden="1" customWidth="1"/>
    <col min="15366" max="15616" width="12.28515625" style="315"/>
    <col min="15617" max="15617" width="57" style="315" customWidth="1"/>
    <col min="15618" max="15619" width="0" style="315" hidden="1" customWidth="1"/>
    <col min="15620" max="15620" width="14" style="315" customWidth="1"/>
    <col min="15621" max="15621" width="0" style="315" hidden="1" customWidth="1"/>
    <col min="15622" max="15872" width="12.28515625" style="315"/>
    <col min="15873" max="15873" width="57" style="315" customWidth="1"/>
    <col min="15874" max="15875" width="0" style="315" hidden="1" customWidth="1"/>
    <col min="15876" max="15876" width="14" style="315" customWidth="1"/>
    <col min="15877" max="15877" width="0" style="315" hidden="1" customWidth="1"/>
    <col min="15878" max="16128" width="12.28515625" style="315"/>
    <col min="16129" max="16129" width="57" style="315" customWidth="1"/>
    <col min="16130" max="16131" width="0" style="315" hidden="1" customWidth="1"/>
    <col min="16132" max="16132" width="14" style="315" customWidth="1"/>
    <col min="16133" max="16133" width="0" style="315" hidden="1" customWidth="1"/>
    <col min="16134" max="16384" width="12.28515625" style="315"/>
  </cols>
  <sheetData>
    <row r="1" spans="1:9" s="314" customFormat="1" ht="42.6" customHeight="1" x14ac:dyDescent="0.25">
      <c r="A1" s="447" t="s">
        <v>605</v>
      </c>
      <c r="B1" s="447"/>
      <c r="C1" s="447"/>
      <c r="D1" s="447"/>
      <c r="E1" s="447"/>
      <c r="F1" s="447"/>
      <c r="G1" s="447"/>
      <c r="H1" s="447"/>
      <c r="I1" s="447"/>
    </row>
    <row r="2" spans="1:9" ht="39.75" customHeight="1" x14ac:dyDescent="0.2">
      <c r="A2" s="448" t="s">
        <v>606</v>
      </c>
      <c r="B2" s="449" t="s">
        <v>607</v>
      </c>
      <c r="C2" s="449"/>
      <c r="D2" s="450" t="s">
        <v>608</v>
      </c>
      <c r="E2" s="449" t="s">
        <v>609</v>
      </c>
      <c r="F2" s="449" t="s">
        <v>610</v>
      </c>
      <c r="G2" s="449"/>
      <c r="H2" s="449" t="s">
        <v>611</v>
      </c>
      <c r="I2" s="449" t="s">
        <v>612</v>
      </c>
    </row>
    <row r="3" spans="1:9" s="317" customFormat="1" ht="25.5" x14ac:dyDescent="0.25">
      <c r="A3" s="448"/>
      <c r="B3" s="316" t="s">
        <v>613</v>
      </c>
      <c r="C3" s="316" t="s">
        <v>614</v>
      </c>
      <c r="D3" s="450"/>
      <c r="E3" s="449"/>
      <c r="F3" s="316" t="s">
        <v>613</v>
      </c>
      <c r="G3" s="316" t="s">
        <v>614</v>
      </c>
      <c r="H3" s="449"/>
      <c r="I3" s="449"/>
    </row>
    <row r="4" spans="1:9" s="317" customFormat="1" x14ac:dyDescent="0.25">
      <c r="A4" s="318"/>
      <c r="B4" s="316"/>
      <c r="C4" s="316"/>
      <c r="D4" s="319" t="s">
        <v>615</v>
      </c>
      <c r="E4" s="320" t="s">
        <v>616</v>
      </c>
      <c r="F4" s="316"/>
      <c r="G4" s="316"/>
      <c r="H4" s="320" t="s">
        <v>615</v>
      </c>
      <c r="I4" s="320" t="s">
        <v>615</v>
      </c>
    </row>
    <row r="5" spans="1:9" s="323" customFormat="1" ht="24" customHeight="1" x14ac:dyDescent="0.25">
      <c r="A5" s="321" t="s">
        <v>617</v>
      </c>
      <c r="B5" s="321"/>
      <c r="C5" s="321"/>
      <c r="D5" s="322"/>
      <c r="E5" s="321"/>
      <c r="F5" s="321"/>
      <c r="G5" s="321"/>
      <c r="H5" s="321"/>
      <c r="I5" s="321"/>
    </row>
    <row r="6" spans="1:9" s="323" customFormat="1" ht="23.25" customHeight="1" x14ac:dyDescent="0.25">
      <c r="A6" s="324" t="s">
        <v>618</v>
      </c>
      <c r="B6" s="318">
        <v>7</v>
      </c>
      <c r="C6" s="318">
        <v>1</v>
      </c>
      <c r="D6" s="325">
        <f>'[5]2B Önk kiad'!F5</f>
        <v>11</v>
      </c>
      <c r="E6" s="326">
        <v>16</v>
      </c>
      <c r="F6" s="318"/>
      <c r="G6" s="318"/>
      <c r="H6" s="326">
        <f>'[5]2B Önk kiad'!F6</f>
        <v>0</v>
      </c>
      <c r="I6" s="326">
        <v>0</v>
      </c>
    </row>
    <row r="7" spans="1:9" s="323" customFormat="1" ht="23.25" customHeight="1" x14ac:dyDescent="0.25">
      <c r="A7" s="324" t="s">
        <v>619</v>
      </c>
      <c r="B7" s="318">
        <v>69</v>
      </c>
      <c r="C7" s="318">
        <v>2</v>
      </c>
      <c r="D7" s="325">
        <f>'[5]3A PH'!F5</f>
        <v>84</v>
      </c>
      <c r="E7" s="326">
        <v>79</v>
      </c>
      <c r="F7" s="318"/>
      <c r="G7" s="318"/>
      <c r="H7" s="326">
        <f>'[5]3A PH'!F6</f>
        <v>0</v>
      </c>
      <c r="I7" s="326">
        <f>'[5]3A PH'!F7</f>
        <v>7</v>
      </c>
    </row>
    <row r="8" spans="1:9" s="331" customFormat="1" ht="23.25" customHeight="1" x14ac:dyDescent="0.25">
      <c r="A8" s="327" t="s">
        <v>499</v>
      </c>
      <c r="B8" s="328">
        <f t="shared" ref="B8:H8" si="0">SUM(B6:B7)</f>
        <v>76</v>
      </c>
      <c r="C8" s="328">
        <f t="shared" si="0"/>
        <v>3</v>
      </c>
      <c r="D8" s="329">
        <f t="shared" si="0"/>
        <v>95</v>
      </c>
      <c r="E8" s="330">
        <f t="shared" si="0"/>
        <v>95</v>
      </c>
      <c r="F8" s="328">
        <f t="shared" si="0"/>
        <v>0</v>
      </c>
      <c r="G8" s="328">
        <f t="shared" si="0"/>
        <v>0</v>
      </c>
      <c r="H8" s="330">
        <f t="shared" si="0"/>
        <v>0</v>
      </c>
      <c r="I8" s="330">
        <f>SUM(I7:I7)</f>
        <v>7</v>
      </c>
    </row>
    <row r="9" spans="1:9" s="323" customFormat="1" ht="23.25" customHeight="1" x14ac:dyDescent="0.25">
      <c r="A9" s="321" t="s">
        <v>620</v>
      </c>
      <c r="B9" s="321"/>
      <c r="C9" s="321"/>
      <c r="D9" s="322"/>
      <c r="E9" s="321"/>
      <c r="F9" s="321"/>
      <c r="G9" s="321"/>
      <c r="H9" s="321"/>
      <c r="I9" s="321"/>
    </row>
    <row r="10" spans="1:9" s="314" customFormat="1" ht="23.25" customHeight="1" x14ac:dyDescent="0.25">
      <c r="A10" s="332" t="s">
        <v>572</v>
      </c>
      <c r="B10" s="318">
        <v>12</v>
      </c>
      <c r="C10" s="318">
        <v>1</v>
      </c>
      <c r="D10" s="325">
        <f>'[5]4A Walla'!E6</f>
        <v>13</v>
      </c>
      <c r="E10" s="333">
        <v>13</v>
      </c>
      <c r="F10" s="318"/>
      <c r="G10" s="318"/>
      <c r="H10" s="333"/>
      <c r="I10" s="333">
        <v>0</v>
      </c>
    </row>
    <row r="11" spans="1:9" s="314" customFormat="1" ht="23.25" customHeight="1" x14ac:dyDescent="0.25">
      <c r="A11" s="332" t="s">
        <v>576</v>
      </c>
      <c r="B11" s="318">
        <v>28</v>
      </c>
      <c r="C11" s="318">
        <v>1</v>
      </c>
      <c r="D11" s="325">
        <f>'[5]4B Nyitnikék'!E6</f>
        <v>32</v>
      </c>
      <c r="E11" s="333">
        <v>32</v>
      </c>
      <c r="F11" s="318"/>
      <c r="G11" s="318"/>
      <c r="H11" s="334"/>
      <c r="I11" s="334">
        <v>0</v>
      </c>
    </row>
    <row r="12" spans="1:9" s="314" customFormat="1" ht="23.25" customHeight="1" x14ac:dyDescent="0.25">
      <c r="A12" s="332" t="s">
        <v>578</v>
      </c>
      <c r="B12" s="318">
        <v>53</v>
      </c>
      <c r="C12" s="318">
        <v>4</v>
      </c>
      <c r="D12" s="325">
        <f>'[5]4C Bóbita'!E6</f>
        <v>55</v>
      </c>
      <c r="E12" s="333">
        <v>56</v>
      </c>
      <c r="F12" s="318"/>
      <c r="G12" s="318"/>
      <c r="H12" s="333"/>
      <c r="I12" s="333">
        <v>0</v>
      </c>
    </row>
    <row r="13" spans="1:9" s="314" customFormat="1" ht="23.25" customHeight="1" x14ac:dyDescent="0.25">
      <c r="A13" s="332" t="s">
        <v>580</v>
      </c>
      <c r="B13" s="318">
        <v>11</v>
      </c>
      <c r="C13" s="318">
        <v>3</v>
      </c>
      <c r="D13" s="325">
        <f>+'[5]4D MMMH'!E6</f>
        <v>17</v>
      </c>
      <c r="E13" s="333">
        <v>15</v>
      </c>
      <c r="F13" s="318"/>
      <c r="G13" s="318"/>
      <c r="H13" s="334"/>
      <c r="I13" s="334">
        <v>0</v>
      </c>
    </row>
    <row r="14" spans="1:9" s="314" customFormat="1" ht="23.25" customHeight="1" x14ac:dyDescent="0.25">
      <c r="A14" s="332" t="s">
        <v>621</v>
      </c>
      <c r="B14" s="318">
        <v>4</v>
      </c>
      <c r="C14" s="318">
        <v>1</v>
      </c>
      <c r="D14" s="325">
        <f>+'[5]4E Könyvtár'!E6</f>
        <v>5.5</v>
      </c>
      <c r="E14" s="333">
        <v>5</v>
      </c>
      <c r="F14" s="318"/>
      <c r="G14" s="318"/>
      <c r="H14" s="334"/>
      <c r="I14" s="334">
        <v>0</v>
      </c>
    </row>
    <row r="15" spans="1:9" s="314" customFormat="1" ht="23.25" customHeight="1" x14ac:dyDescent="0.25">
      <c r="A15" s="332" t="s">
        <v>588</v>
      </c>
      <c r="B15" s="318">
        <v>13</v>
      </c>
      <c r="C15" s="318">
        <v>4</v>
      </c>
      <c r="D15" s="325">
        <v>19</v>
      </c>
      <c r="E15" s="333">
        <v>17</v>
      </c>
      <c r="F15" s="318"/>
      <c r="G15" s="318"/>
      <c r="H15" s="333"/>
      <c r="I15" s="333">
        <v>0</v>
      </c>
    </row>
    <row r="16" spans="1:9" s="314" customFormat="1" ht="23.25" customHeight="1" x14ac:dyDescent="0.25">
      <c r="A16" s="332" t="s">
        <v>590</v>
      </c>
      <c r="B16" s="318">
        <v>22</v>
      </c>
      <c r="C16" s="318"/>
      <c r="D16" s="325">
        <f>+'[5]4G Szérüskert'!E6</f>
        <v>24</v>
      </c>
      <c r="E16" s="333">
        <v>24</v>
      </c>
      <c r="F16" s="318"/>
      <c r="G16" s="318"/>
      <c r="H16" s="333"/>
      <c r="I16" s="333"/>
    </row>
    <row r="17" spans="1:9" s="314" customFormat="1" ht="23.25" customHeight="1" x14ac:dyDescent="0.25">
      <c r="A17" s="332" t="s">
        <v>622</v>
      </c>
      <c r="B17" s="318"/>
      <c r="C17" s="318"/>
      <c r="D17" s="325">
        <v>68.75</v>
      </c>
      <c r="E17" s="333"/>
      <c r="F17" s="318"/>
      <c r="G17" s="318"/>
      <c r="H17" s="333"/>
      <c r="I17" s="333"/>
    </row>
    <row r="18" spans="1:9" s="331" customFormat="1" ht="23.25" customHeight="1" x14ac:dyDescent="0.25">
      <c r="A18" s="327" t="s">
        <v>499</v>
      </c>
      <c r="B18" s="335">
        <f>SUM(B10:B16)</f>
        <v>143</v>
      </c>
      <c r="C18" s="335">
        <f>SUM(C10:C15)</f>
        <v>14</v>
      </c>
      <c r="D18" s="329">
        <f>SUM(D10:D17)</f>
        <v>234.25</v>
      </c>
      <c r="E18" s="336">
        <f>SUM(E10:E16)</f>
        <v>162</v>
      </c>
      <c r="F18" s="335">
        <f>SUM(F10:F17)</f>
        <v>0</v>
      </c>
      <c r="G18" s="335">
        <f>SUM(G10:G17)</f>
        <v>0</v>
      </c>
      <c r="H18" s="336">
        <f>SUM(H10:H15)</f>
        <v>0</v>
      </c>
      <c r="I18" s="336">
        <f>SUM(I10:I15)</f>
        <v>0</v>
      </c>
    </row>
    <row r="19" spans="1:9" s="341" customFormat="1" ht="23.25" customHeight="1" x14ac:dyDescent="0.25">
      <c r="A19" s="337" t="s">
        <v>623</v>
      </c>
      <c r="B19" s="338">
        <f t="shared" ref="B19:I19" si="1">B18+B8</f>
        <v>219</v>
      </c>
      <c r="C19" s="338">
        <f t="shared" si="1"/>
        <v>17</v>
      </c>
      <c r="D19" s="339">
        <f t="shared" si="1"/>
        <v>329.25</v>
      </c>
      <c r="E19" s="340">
        <f t="shared" si="1"/>
        <v>257</v>
      </c>
      <c r="F19" s="338">
        <f t="shared" si="1"/>
        <v>0</v>
      </c>
      <c r="G19" s="338">
        <f t="shared" si="1"/>
        <v>0</v>
      </c>
      <c r="H19" s="340">
        <f t="shared" si="1"/>
        <v>0</v>
      </c>
      <c r="I19" s="340">
        <f t="shared" si="1"/>
        <v>7</v>
      </c>
    </row>
  </sheetData>
  <mergeCells count="8">
    <mergeCell ref="A1:I1"/>
    <mergeCell ref="A2:A3"/>
    <mergeCell ref="B2:C2"/>
    <mergeCell ref="D2:D3"/>
    <mergeCell ref="E2:E3"/>
    <mergeCell ref="F2:G2"/>
    <mergeCell ref="H2:H3"/>
    <mergeCell ref="I2:I3"/>
  </mergeCells>
  <pageMargins left="0.78740157480314965" right="0.78740157480314965" top="1.0236220472440944" bottom="1.0236220472440944" header="0.78740157480314965" footer="0.78740157480314965"/>
  <pageSetup paperSize="9" scale="70" firstPageNumber="0" orientation="portrait" r:id="rId1"/>
  <headerFooter alignWithMargins="0">
    <oddFooter xml:space="preserve">&amp;C&amp;10&amp;P&amp;R&amp;10&amp;D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6211-FE74-4115-BFB7-C38B8A2780F0}">
  <dimension ref="A1:L88"/>
  <sheetViews>
    <sheetView view="pageBreakPreview" zoomScale="93" zoomScaleNormal="100" zoomScaleSheetLayoutView="93" workbookViewId="0">
      <selection activeCell="K1" sqref="K1:K1048576"/>
    </sheetView>
  </sheetViews>
  <sheetFormatPr defaultColWidth="9" defaultRowHeight="15" x14ac:dyDescent="0.25"/>
  <cols>
    <col min="1" max="1" width="6.28515625" style="343" customWidth="1"/>
    <col min="2" max="2" width="9" style="360" customWidth="1"/>
    <col min="3" max="3" width="69.5703125" style="343" customWidth="1"/>
    <col min="4" max="4" width="16.5703125" style="343" customWidth="1"/>
    <col min="5" max="5" width="16.42578125" style="343" customWidth="1"/>
    <col min="6" max="6" width="20.85546875" style="343" bestFit="1" customWidth="1"/>
    <col min="7" max="7" width="17.5703125" style="343" customWidth="1"/>
    <col min="8" max="8" width="16.5703125" style="343" customWidth="1"/>
    <col min="9" max="9" width="20.85546875" style="343" bestFit="1" customWidth="1"/>
    <col min="10" max="10" width="17.7109375" style="343" hidden="1" customWidth="1"/>
    <col min="11" max="11" width="16.140625" style="343" customWidth="1"/>
    <col min="12" max="12" width="11" style="343" bestFit="1" customWidth="1"/>
    <col min="13" max="16384" width="9" style="343"/>
  </cols>
  <sheetData>
    <row r="1" spans="1:11" ht="20.25" x14ac:dyDescent="0.25">
      <c r="A1" s="455" t="s">
        <v>624</v>
      </c>
      <c r="B1" s="455"/>
      <c r="C1" s="455"/>
      <c r="D1" s="456"/>
      <c r="F1" s="344"/>
      <c r="G1" s="344"/>
      <c r="I1" s="344" t="s">
        <v>0</v>
      </c>
    </row>
    <row r="2" spans="1:11" ht="35.25" customHeight="1" x14ac:dyDescent="0.25">
      <c r="A2" s="457" t="s">
        <v>625</v>
      </c>
      <c r="B2" s="458" t="s">
        <v>626</v>
      </c>
      <c r="C2" s="457" t="s">
        <v>128</v>
      </c>
      <c r="D2" s="460" t="s">
        <v>627</v>
      </c>
      <c r="E2" s="461"/>
      <c r="F2" s="462"/>
      <c r="G2" s="460" t="s">
        <v>628</v>
      </c>
      <c r="H2" s="461"/>
      <c r="I2" s="462"/>
      <c r="J2" s="345" t="s">
        <v>467</v>
      </c>
    </row>
    <row r="3" spans="1:11" ht="29.25" customHeight="1" x14ac:dyDescent="0.25">
      <c r="A3" s="457"/>
      <c r="B3" s="459"/>
      <c r="C3" s="457"/>
      <c r="D3" s="346" t="s">
        <v>629</v>
      </c>
      <c r="E3" s="346" t="s">
        <v>630</v>
      </c>
      <c r="F3" s="346" t="s">
        <v>631</v>
      </c>
      <c r="G3" s="346" t="s">
        <v>629</v>
      </c>
      <c r="H3" s="346" t="s">
        <v>630</v>
      </c>
      <c r="I3" s="346" t="s">
        <v>631</v>
      </c>
      <c r="J3" s="346" t="s">
        <v>631</v>
      </c>
    </row>
    <row r="4" spans="1:11" ht="18.399999999999999" customHeight="1" x14ac:dyDescent="0.25">
      <c r="A4" s="452" t="s">
        <v>632</v>
      </c>
      <c r="B4" s="452"/>
      <c r="C4" s="452"/>
      <c r="D4" s="452"/>
      <c r="E4" s="452"/>
      <c r="F4" s="452"/>
      <c r="G4" s="347"/>
      <c r="H4" s="347"/>
      <c r="I4" s="347"/>
      <c r="J4" s="348"/>
    </row>
    <row r="5" spans="1:11" ht="15.75" x14ac:dyDescent="0.25">
      <c r="A5" s="349" t="s">
        <v>11</v>
      </c>
      <c r="B5" s="350">
        <v>5112601</v>
      </c>
      <c r="C5" s="351" t="s">
        <v>633</v>
      </c>
      <c r="D5" s="352">
        <v>528000000</v>
      </c>
      <c r="E5" s="352">
        <v>142080000</v>
      </c>
      <c r="F5" s="353">
        <f>+D5+E5</f>
        <v>670080000</v>
      </c>
      <c r="G5" s="352">
        <f>528000000+24900000</f>
        <v>552900000</v>
      </c>
      <c r="H5" s="352">
        <f>142080000+6723000</f>
        <v>148803000</v>
      </c>
      <c r="I5" s="353">
        <f>+G5+H5</f>
        <v>701703000</v>
      </c>
      <c r="J5" s="354">
        <f>3162300+15811500</f>
        <v>18973800</v>
      </c>
      <c r="K5" s="355"/>
    </row>
    <row r="6" spans="1:11" ht="15.75" x14ac:dyDescent="0.25">
      <c r="A6" s="349" t="s">
        <v>14</v>
      </c>
      <c r="B6" s="350">
        <v>5232602</v>
      </c>
      <c r="C6" s="351" t="s">
        <v>634</v>
      </c>
      <c r="D6" s="352">
        <v>93300000</v>
      </c>
      <c r="E6" s="352">
        <v>25183000</v>
      </c>
      <c r="F6" s="353">
        <f t="shared" ref="F6:F30" si="0">+D6+E6</f>
        <v>118483000</v>
      </c>
      <c r="G6" s="352">
        <f>93300000+230000+3124800</f>
        <v>96654800</v>
      </c>
      <c r="H6" s="352">
        <f>25183000+62100+843696</f>
        <v>26088796</v>
      </c>
      <c r="I6" s="353">
        <f t="shared" ref="I6:I45" si="1">+G6+H6</f>
        <v>122743596</v>
      </c>
      <c r="J6" s="354">
        <v>8694396</v>
      </c>
      <c r="K6" s="355"/>
    </row>
    <row r="7" spans="1:11" ht="15.75" x14ac:dyDescent="0.25">
      <c r="A7" s="349" t="s">
        <v>17</v>
      </c>
      <c r="B7" s="350">
        <v>5232603</v>
      </c>
      <c r="C7" s="351" t="s">
        <v>635</v>
      </c>
      <c r="D7" s="352">
        <v>67000000</v>
      </c>
      <c r="E7" s="352">
        <v>18000000</v>
      </c>
      <c r="F7" s="353">
        <f t="shared" si="0"/>
        <v>85000000</v>
      </c>
      <c r="G7" s="352">
        <v>67000000</v>
      </c>
      <c r="H7" s="352">
        <v>18000000</v>
      </c>
      <c r="I7" s="353">
        <f t="shared" si="1"/>
        <v>85000000</v>
      </c>
      <c r="J7" s="354"/>
      <c r="K7" s="355"/>
    </row>
    <row r="8" spans="1:11" ht="15.75" x14ac:dyDescent="0.25">
      <c r="A8" s="349" t="s">
        <v>20</v>
      </c>
      <c r="B8" s="350">
        <v>5232604</v>
      </c>
      <c r="C8" s="351" t="s">
        <v>636</v>
      </c>
      <c r="D8" s="352">
        <v>9850000</v>
      </c>
      <c r="E8" s="352">
        <v>2650000</v>
      </c>
      <c r="F8" s="353">
        <f t="shared" si="0"/>
        <v>12500000</v>
      </c>
      <c r="G8" s="352">
        <v>9850000</v>
      </c>
      <c r="H8" s="352">
        <v>2650000</v>
      </c>
      <c r="I8" s="353">
        <f t="shared" si="1"/>
        <v>12500000</v>
      </c>
      <c r="J8" s="354"/>
      <c r="K8" s="355"/>
    </row>
    <row r="9" spans="1:11" ht="31.5" x14ac:dyDescent="0.25">
      <c r="A9" s="349" t="s">
        <v>23</v>
      </c>
      <c r="B9" s="350">
        <v>5112605</v>
      </c>
      <c r="C9" s="356" t="s">
        <v>637</v>
      </c>
      <c r="D9" s="352">
        <f>45000000*0.3+2000000</f>
        <v>15500000</v>
      </c>
      <c r="E9" s="352">
        <f>12150000*0.3+500000</f>
        <v>4145000</v>
      </c>
      <c r="F9" s="353">
        <f t="shared" si="0"/>
        <v>19645000</v>
      </c>
      <c r="G9" s="352">
        <f>45000000*0.3+2000000</f>
        <v>15500000</v>
      </c>
      <c r="H9" s="352">
        <f>12150000*0.3+500000</f>
        <v>4145000</v>
      </c>
      <c r="I9" s="353">
        <f t="shared" si="1"/>
        <v>19645000</v>
      </c>
      <c r="J9" s="354"/>
      <c r="K9" s="355"/>
    </row>
    <row r="10" spans="1:11" ht="15.75" x14ac:dyDescent="0.25">
      <c r="A10" s="349" t="s">
        <v>377</v>
      </c>
      <c r="B10" s="350">
        <v>5232606</v>
      </c>
      <c r="C10" s="351" t="s">
        <v>638</v>
      </c>
      <c r="D10" s="352">
        <v>4750000</v>
      </c>
      <c r="E10" s="352">
        <v>1250000</v>
      </c>
      <c r="F10" s="353">
        <f t="shared" si="0"/>
        <v>6000000</v>
      </c>
      <c r="G10" s="352">
        <v>4750000</v>
      </c>
      <c r="H10" s="352">
        <v>1250000</v>
      </c>
      <c r="I10" s="353">
        <f t="shared" si="1"/>
        <v>6000000</v>
      </c>
      <c r="J10" s="354"/>
      <c r="K10" s="355"/>
    </row>
    <row r="11" spans="1:11" ht="15.75" x14ac:dyDescent="0.25">
      <c r="A11" s="349" t="s">
        <v>379</v>
      </c>
      <c r="B11" s="350">
        <v>5101</v>
      </c>
      <c r="C11" s="356" t="s">
        <v>639</v>
      </c>
      <c r="D11" s="352">
        <v>11820000</v>
      </c>
      <c r="E11" s="352">
        <v>3180000</v>
      </c>
      <c r="F11" s="353">
        <f t="shared" si="0"/>
        <v>15000000</v>
      </c>
      <c r="G11" s="352">
        <f>11820000+1900000</f>
        <v>13720000</v>
      </c>
      <c r="H11" s="352">
        <f>3180000+513000</f>
        <v>3693000</v>
      </c>
      <c r="I11" s="353">
        <f t="shared" si="1"/>
        <v>17413000</v>
      </c>
      <c r="J11" s="354"/>
      <c r="K11" s="355"/>
    </row>
    <row r="12" spans="1:11" ht="15.75" x14ac:dyDescent="0.25">
      <c r="A12" s="349" t="s">
        <v>381</v>
      </c>
      <c r="B12" s="350">
        <v>5112608</v>
      </c>
      <c r="C12" s="356" t="s">
        <v>640</v>
      </c>
      <c r="D12" s="352">
        <v>1970000</v>
      </c>
      <c r="E12" s="352">
        <f>+D12*0.27</f>
        <v>531900</v>
      </c>
      <c r="F12" s="353">
        <f t="shared" si="0"/>
        <v>2501900</v>
      </c>
      <c r="G12" s="352">
        <v>1970000</v>
      </c>
      <c r="H12" s="352">
        <f>+G12*0.27</f>
        <v>531900</v>
      </c>
      <c r="I12" s="353">
        <f t="shared" si="1"/>
        <v>2501900</v>
      </c>
      <c r="J12" s="354"/>
      <c r="K12" s="355"/>
    </row>
    <row r="13" spans="1:11" ht="15.75" x14ac:dyDescent="0.25">
      <c r="A13" s="349" t="s">
        <v>382</v>
      </c>
      <c r="B13" s="350">
        <v>5112609</v>
      </c>
      <c r="C13" s="356" t="s">
        <v>641</v>
      </c>
      <c r="D13" s="352">
        <v>3500000</v>
      </c>
      <c r="E13" s="352">
        <f>+D13*0.27</f>
        <v>945000.00000000012</v>
      </c>
      <c r="F13" s="353">
        <f t="shared" si="0"/>
        <v>4445000</v>
      </c>
      <c r="G13" s="352">
        <v>3500000</v>
      </c>
      <c r="H13" s="352">
        <f>+G13*0.27</f>
        <v>945000.00000000012</v>
      </c>
      <c r="I13" s="353">
        <f t="shared" si="1"/>
        <v>4445000</v>
      </c>
      <c r="J13" s="354"/>
      <c r="K13" s="355"/>
    </row>
    <row r="14" spans="1:11" ht="15.75" x14ac:dyDescent="0.25">
      <c r="A14" s="349" t="s">
        <v>384</v>
      </c>
      <c r="B14" s="350">
        <v>5232610</v>
      </c>
      <c r="C14" s="351" t="s">
        <v>642</v>
      </c>
      <c r="D14" s="352">
        <v>8000000</v>
      </c>
      <c r="E14" s="357">
        <v>2000000</v>
      </c>
      <c r="F14" s="353">
        <f t="shared" si="0"/>
        <v>10000000</v>
      </c>
      <c r="G14" s="352">
        <v>8000000</v>
      </c>
      <c r="H14" s="357">
        <v>2000000</v>
      </c>
      <c r="I14" s="353">
        <f t="shared" si="1"/>
        <v>10000000</v>
      </c>
      <c r="J14" s="354"/>
      <c r="K14" s="355"/>
    </row>
    <row r="15" spans="1:11" ht="15.75" x14ac:dyDescent="0.25">
      <c r="A15" s="349" t="s">
        <v>386</v>
      </c>
      <c r="B15" s="350">
        <v>5232611</v>
      </c>
      <c r="C15" s="351" t="s">
        <v>643</v>
      </c>
      <c r="D15" s="352">
        <v>7086000</v>
      </c>
      <c r="E15" s="357">
        <v>1914000</v>
      </c>
      <c r="F15" s="353">
        <f t="shared" si="0"/>
        <v>9000000</v>
      </c>
      <c r="G15" s="352">
        <v>7086000</v>
      </c>
      <c r="H15" s="357">
        <v>1914000</v>
      </c>
      <c r="I15" s="353">
        <f t="shared" si="1"/>
        <v>9000000</v>
      </c>
      <c r="J15" s="354"/>
      <c r="K15" s="355"/>
    </row>
    <row r="16" spans="1:11" ht="15.75" x14ac:dyDescent="0.25">
      <c r="A16" s="349" t="s">
        <v>388</v>
      </c>
      <c r="B16" s="350">
        <v>5232612</v>
      </c>
      <c r="C16" s="351" t="s">
        <v>644</v>
      </c>
      <c r="D16" s="352">
        <v>15000000</v>
      </c>
      <c r="E16" s="352">
        <f>+D16*0.27</f>
        <v>4050000.0000000005</v>
      </c>
      <c r="F16" s="353">
        <f t="shared" si="0"/>
        <v>19050000</v>
      </c>
      <c r="G16" s="352">
        <v>15000000</v>
      </c>
      <c r="H16" s="352">
        <f>+G16*0.27</f>
        <v>4050000.0000000005</v>
      </c>
      <c r="I16" s="353">
        <f t="shared" si="1"/>
        <v>19050000</v>
      </c>
      <c r="J16" s="354"/>
      <c r="K16" s="355"/>
    </row>
    <row r="17" spans="1:11" ht="27" customHeight="1" x14ac:dyDescent="0.25">
      <c r="A17" s="349" t="s">
        <v>389</v>
      </c>
      <c r="B17" s="350">
        <v>5232613</v>
      </c>
      <c r="C17" s="358" t="s">
        <v>645</v>
      </c>
      <c r="D17" s="352">
        <v>31496000</v>
      </c>
      <c r="E17" s="352">
        <v>8504000</v>
      </c>
      <c r="F17" s="353">
        <f t="shared" si="0"/>
        <v>40000000</v>
      </c>
      <c r="G17" s="352">
        <v>31496000</v>
      </c>
      <c r="H17" s="352">
        <v>8504000</v>
      </c>
      <c r="I17" s="353">
        <f t="shared" si="1"/>
        <v>40000000</v>
      </c>
      <c r="J17" s="354"/>
      <c r="K17" s="355"/>
    </row>
    <row r="18" spans="1:11" ht="17.649999999999999" customHeight="1" x14ac:dyDescent="0.25">
      <c r="A18" s="349" t="s">
        <v>393</v>
      </c>
      <c r="B18" s="350">
        <v>5232614</v>
      </c>
      <c r="C18" s="358" t="s">
        <v>646</v>
      </c>
      <c r="D18" s="352">
        <f>5000000/1.27</f>
        <v>3937007.874015748</v>
      </c>
      <c r="E18" s="352">
        <f>5000000-D18</f>
        <v>1062992.125984252</v>
      </c>
      <c r="F18" s="353">
        <f t="shared" si="0"/>
        <v>5000000</v>
      </c>
      <c r="G18" s="352">
        <f>5000000/1.27</f>
        <v>3937007.874015748</v>
      </c>
      <c r="H18" s="352">
        <f>5000000-G18</f>
        <v>1062992.125984252</v>
      </c>
      <c r="I18" s="353">
        <f t="shared" si="1"/>
        <v>5000000</v>
      </c>
      <c r="J18" s="354"/>
      <c r="K18" s="355"/>
    </row>
    <row r="19" spans="1:11" ht="17.649999999999999" customHeight="1" x14ac:dyDescent="0.25">
      <c r="A19" s="349" t="s">
        <v>401</v>
      </c>
      <c r="B19" s="350">
        <v>5232615</v>
      </c>
      <c r="C19" s="351" t="s">
        <v>647</v>
      </c>
      <c r="D19" s="352">
        <v>15750000</v>
      </c>
      <c r="E19" s="352">
        <v>4250000</v>
      </c>
      <c r="F19" s="353">
        <f t="shared" si="0"/>
        <v>20000000</v>
      </c>
      <c r="G19" s="352">
        <v>15750000</v>
      </c>
      <c r="H19" s="352">
        <v>4250000</v>
      </c>
      <c r="I19" s="353">
        <f t="shared" si="1"/>
        <v>20000000</v>
      </c>
      <c r="J19" s="354"/>
      <c r="K19" s="355"/>
    </row>
    <row r="20" spans="1:11" ht="17.649999999999999" customHeight="1" x14ac:dyDescent="0.25">
      <c r="A20" s="349" t="s">
        <v>403</v>
      </c>
      <c r="B20" s="350">
        <v>5232616</v>
      </c>
      <c r="C20" s="351" t="s">
        <v>648</v>
      </c>
      <c r="D20" s="352">
        <v>12500000</v>
      </c>
      <c r="E20" s="352">
        <v>3375000</v>
      </c>
      <c r="F20" s="353">
        <f t="shared" si="0"/>
        <v>15875000</v>
      </c>
      <c r="G20" s="352">
        <v>12500000</v>
      </c>
      <c r="H20" s="352">
        <v>3375000</v>
      </c>
      <c r="I20" s="353">
        <f t="shared" si="1"/>
        <v>15875000</v>
      </c>
      <c r="J20" s="354">
        <v>28286006</v>
      </c>
    </row>
    <row r="21" spans="1:11" ht="15.75" x14ac:dyDescent="0.25">
      <c r="A21" s="349" t="s">
        <v>405</v>
      </c>
      <c r="B21" s="350">
        <v>5110</v>
      </c>
      <c r="C21" s="351" t="s">
        <v>649</v>
      </c>
      <c r="D21" s="352">
        <v>1600000</v>
      </c>
      <c r="E21" s="352">
        <v>400000</v>
      </c>
      <c r="F21" s="353">
        <f t="shared" si="0"/>
        <v>2000000</v>
      </c>
      <c r="G21" s="352">
        <v>1600000</v>
      </c>
      <c r="H21" s="352">
        <v>400000</v>
      </c>
      <c r="I21" s="353">
        <f t="shared" si="1"/>
        <v>2000000</v>
      </c>
      <c r="J21" s="354"/>
      <c r="K21" s="355"/>
    </row>
    <row r="22" spans="1:11" ht="15.75" x14ac:dyDescent="0.25">
      <c r="A22" s="349" t="s">
        <v>409</v>
      </c>
      <c r="B22" s="350">
        <v>5112618</v>
      </c>
      <c r="C22" s="351" t="s">
        <v>650</v>
      </c>
      <c r="D22" s="352">
        <f>315000+105000</f>
        <v>420000</v>
      </c>
      <c r="E22" s="352">
        <f t="shared" ref="E22:E27" si="2">+D22*0.27</f>
        <v>113400.00000000001</v>
      </c>
      <c r="F22" s="353">
        <f t="shared" si="0"/>
        <v>533400</v>
      </c>
      <c r="G22" s="352">
        <f>315000+105000</f>
        <v>420000</v>
      </c>
      <c r="H22" s="352">
        <f t="shared" ref="H22:H27" si="3">+G22*0.27</f>
        <v>113400.00000000001</v>
      </c>
      <c r="I22" s="353">
        <f t="shared" si="1"/>
        <v>533400</v>
      </c>
      <c r="J22" s="354"/>
      <c r="K22" s="355"/>
    </row>
    <row r="23" spans="1:11" ht="15.75" x14ac:dyDescent="0.25">
      <c r="A23" s="349" t="s">
        <v>411</v>
      </c>
      <c r="B23" s="350">
        <v>5112619</v>
      </c>
      <c r="C23" s="351" t="s">
        <v>651</v>
      </c>
      <c r="D23" s="352">
        <f>660000+925000</f>
        <v>1585000</v>
      </c>
      <c r="E23" s="352">
        <f t="shared" si="2"/>
        <v>427950</v>
      </c>
      <c r="F23" s="353">
        <f>+D23+E23</f>
        <v>2012950</v>
      </c>
      <c r="G23" s="352">
        <f>660000+925000</f>
        <v>1585000</v>
      </c>
      <c r="H23" s="352">
        <f t="shared" si="3"/>
        <v>427950</v>
      </c>
      <c r="I23" s="353">
        <f t="shared" si="1"/>
        <v>2012950</v>
      </c>
      <c r="J23" s="354"/>
      <c r="K23" s="355"/>
    </row>
    <row r="24" spans="1:11" ht="15.75" x14ac:dyDescent="0.25">
      <c r="A24" s="349" t="s">
        <v>413</v>
      </c>
      <c r="B24" s="350">
        <v>5112620</v>
      </c>
      <c r="C24" s="351" t="s">
        <v>652</v>
      </c>
      <c r="D24" s="352">
        <v>280000</v>
      </c>
      <c r="E24" s="352">
        <f t="shared" si="2"/>
        <v>75600</v>
      </c>
      <c r="F24" s="353">
        <f>+D24+E24</f>
        <v>355600</v>
      </c>
      <c r="G24" s="352">
        <v>280000</v>
      </c>
      <c r="H24" s="352">
        <f t="shared" si="3"/>
        <v>75600</v>
      </c>
      <c r="I24" s="353">
        <f t="shared" si="1"/>
        <v>355600</v>
      </c>
      <c r="J24" s="354"/>
      <c r="K24" s="355"/>
    </row>
    <row r="25" spans="1:11" ht="15.75" x14ac:dyDescent="0.25">
      <c r="A25" s="349" t="s">
        <v>414</v>
      </c>
      <c r="B25" s="350">
        <v>5112621</v>
      </c>
      <c r="C25" s="351" t="s">
        <v>653</v>
      </c>
      <c r="D25" s="352">
        <f>10200000+1500000</f>
        <v>11700000</v>
      </c>
      <c r="E25" s="352">
        <f t="shared" si="2"/>
        <v>3159000</v>
      </c>
      <c r="F25" s="353">
        <f>+D25+E25</f>
        <v>14859000</v>
      </c>
      <c r="G25" s="352">
        <f>10200000+1500000</f>
        <v>11700000</v>
      </c>
      <c r="H25" s="352">
        <f t="shared" si="3"/>
        <v>3159000</v>
      </c>
      <c r="I25" s="353">
        <f t="shared" si="1"/>
        <v>14859000</v>
      </c>
      <c r="J25" s="354"/>
      <c r="K25" s="355"/>
    </row>
    <row r="26" spans="1:11" ht="15.75" x14ac:dyDescent="0.25">
      <c r="A26" s="349" t="s">
        <v>415</v>
      </c>
      <c r="B26" s="350">
        <v>5112622</v>
      </c>
      <c r="C26" s="351" t="s">
        <v>654</v>
      </c>
      <c r="D26" s="352">
        <v>650000</v>
      </c>
      <c r="E26" s="352">
        <f t="shared" si="2"/>
        <v>175500</v>
      </c>
      <c r="F26" s="353">
        <f>+D26+E26</f>
        <v>825500</v>
      </c>
      <c r="G26" s="352">
        <v>650000</v>
      </c>
      <c r="H26" s="352">
        <f t="shared" si="3"/>
        <v>175500</v>
      </c>
      <c r="I26" s="353">
        <f t="shared" si="1"/>
        <v>825500</v>
      </c>
      <c r="J26" s="354"/>
      <c r="K26" s="355"/>
    </row>
    <row r="27" spans="1:11" ht="15.75" x14ac:dyDescent="0.25">
      <c r="A27" s="349" t="s">
        <v>416</v>
      </c>
      <c r="B27" s="350">
        <v>5112623</v>
      </c>
      <c r="C27" s="351" t="s">
        <v>655</v>
      </c>
      <c r="D27" s="352">
        <v>9400000</v>
      </c>
      <c r="E27" s="352">
        <f t="shared" si="2"/>
        <v>2538000</v>
      </c>
      <c r="F27" s="353">
        <f>+D27+E27</f>
        <v>11938000</v>
      </c>
      <c r="G27" s="352">
        <v>9400000</v>
      </c>
      <c r="H27" s="352">
        <f t="shared" si="3"/>
        <v>2538000</v>
      </c>
      <c r="I27" s="353">
        <f t="shared" si="1"/>
        <v>11938000</v>
      </c>
      <c r="J27" s="354"/>
      <c r="K27" s="355"/>
    </row>
    <row r="28" spans="1:11" ht="15.75" x14ac:dyDescent="0.25">
      <c r="A28" s="349" t="s">
        <v>418</v>
      </c>
      <c r="B28" s="350">
        <v>5232624</v>
      </c>
      <c r="C28" s="351" t="s">
        <v>656</v>
      </c>
      <c r="D28" s="352">
        <v>40000000</v>
      </c>
      <c r="E28" s="352">
        <v>10000000</v>
      </c>
      <c r="F28" s="353">
        <f t="shared" si="0"/>
        <v>50000000</v>
      </c>
      <c r="G28" s="352">
        <f>40000000+1278181+1340000</f>
        <v>42618181</v>
      </c>
      <c r="H28" s="352">
        <f>10000000+345110+361800</f>
        <v>10706910</v>
      </c>
      <c r="I28" s="353">
        <f t="shared" si="1"/>
        <v>53325091</v>
      </c>
      <c r="J28" s="354">
        <v>1701800</v>
      </c>
      <c r="K28" s="355"/>
    </row>
    <row r="29" spans="1:11" ht="15.75" x14ac:dyDescent="0.25">
      <c r="A29" s="349" t="s">
        <v>419</v>
      </c>
      <c r="B29" s="350">
        <v>5232625</v>
      </c>
      <c r="C29" s="356" t="s">
        <v>657</v>
      </c>
      <c r="D29" s="352">
        <v>1181000</v>
      </c>
      <c r="E29" s="352">
        <v>319000</v>
      </c>
      <c r="F29" s="353">
        <f t="shared" si="0"/>
        <v>1500000</v>
      </c>
      <c r="G29" s="352">
        <v>1181000</v>
      </c>
      <c r="H29" s="352">
        <v>319000</v>
      </c>
      <c r="I29" s="353">
        <f t="shared" si="1"/>
        <v>1500000</v>
      </c>
      <c r="J29" s="354"/>
      <c r="K29" s="355"/>
    </row>
    <row r="30" spans="1:11" ht="15.75" x14ac:dyDescent="0.25">
      <c r="A30" s="349" t="s">
        <v>421</v>
      </c>
      <c r="B30" s="350">
        <v>5112628</v>
      </c>
      <c r="C30" s="356" t="s">
        <v>658</v>
      </c>
      <c r="D30" s="352"/>
      <c r="E30" s="352"/>
      <c r="F30" s="353">
        <f t="shared" si="0"/>
        <v>0</v>
      </c>
      <c r="G30" s="352">
        <f>150000+2100000</f>
        <v>2250000</v>
      </c>
      <c r="H30" s="352">
        <f>40500+567000</f>
        <v>607500</v>
      </c>
      <c r="I30" s="353">
        <f t="shared" si="1"/>
        <v>2857500</v>
      </c>
      <c r="J30" s="354">
        <v>2133600</v>
      </c>
      <c r="K30" s="355"/>
    </row>
    <row r="31" spans="1:11" ht="15.75" x14ac:dyDescent="0.25">
      <c r="A31" s="349" t="s">
        <v>423</v>
      </c>
      <c r="B31" s="350">
        <v>5112629</v>
      </c>
      <c r="C31" s="356" t="s">
        <v>659</v>
      </c>
      <c r="D31" s="352"/>
      <c r="E31" s="352"/>
      <c r="F31" s="353"/>
      <c r="G31" s="352">
        <v>38900925</v>
      </c>
      <c r="H31" s="352">
        <v>10503250</v>
      </c>
      <c r="I31" s="353">
        <f t="shared" si="1"/>
        <v>49404175</v>
      </c>
      <c r="J31" s="354">
        <v>49404174</v>
      </c>
      <c r="K31" s="355"/>
    </row>
    <row r="32" spans="1:11" ht="15.75" x14ac:dyDescent="0.25">
      <c r="A32" s="349" t="s">
        <v>425</v>
      </c>
      <c r="B32" s="350">
        <v>5112630</v>
      </c>
      <c r="C32" s="356" t="s">
        <v>660</v>
      </c>
      <c r="D32" s="352"/>
      <c r="E32" s="352"/>
      <c r="F32" s="353"/>
      <c r="G32" s="352">
        <v>7458000</v>
      </c>
      <c r="H32" s="352">
        <v>2013660</v>
      </c>
      <c r="I32" s="353">
        <f t="shared" si="1"/>
        <v>9471660</v>
      </c>
      <c r="J32" s="354">
        <v>9471660</v>
      </c>
      <c r="K32" s="355"/>
    </row>
    <row r="33" spans="1:12" ht="15.75" x14ac:dyDescent="0.25">
      <c r="A33" s="349" t="s">
        <v>427</v>
      </c>
      <c r="B33" s="350">
        <v>5112631</v>
      </c>
      <c r="C33" s="356" t="s">
        <v>661</v>
      </c>
      <c r="D33" s="352"/>
      <c r="E33" s="352"/>
      <c r="F33" s="353"/>
      <c r="G33" s="352"/>
      <c r="H33" s="352"/>
      <c r="I33" s="353">
        <f t="shared" si="1"/>
        <v>0</v>
      </c>
      <c r="J33" s="354">
        <v>857250</v>
      </c>
      <c r="K33" s="355"/>
    </row>
    <row r="34" spans="1:12" ht="15.75" x14ac:dyDescent="0.25">
      <c r="A34" s="349" t="s">
        <v>428</v>
      </c>
      <c r="B34" s="350">
        <v>5112632</v>
      </c>
      <c r="C34" s="356" t="s">
        <v>662</v>
      </c>
      <c r="D34" s="352"/>
      <c r="E34" s="352"/>
      <c r="F34" s="353"/>
      <c r="G34" s="352">
        <v>43000000</v>
      </c>
      <c r="H34" s="352">
        <v>11610000</v>
      </c>
      <c r="I34" s="353">
        <f t="shared" si="1"/>
        <v>54610000</v>
      </c>
      <c r="J34" s="354">
        <v>16383000</v>
      </c>
      <c r="K34" s="355"/>
    </row>
    <row r="35" spans="1:12" ht="15.75" x14ac:dyDescent="0.25">
      <c r="A35" s="349" t="s">
        <v>430</v>
      </c>
      <c r="B35" s="350">
        <v>5110</v>
      </c>
      <c r="C35" s="356" t="s">
        <v>663</v>
      </c>
      <c r="D35" s="352"/>
      <c r="E35" s="352"/>
      <c r="F35" s="353"/>
      <c r="G35" s="352"/>
      <c r="H35" s="352"/>
      <c r="I35" s="353">
        <f t="shared" si="1"/>
        <v>0</v>
      </c>
      <c r="J35" s="354">
        <v>2000822</v>
      </c>
      <c r="K35" s="355"/>
    </row>
    <row r="36" spans="1:12" ht="15.75" x14ac:dyDescent="0.25">
      <c r="A36" s="349" t="s">
        <v>433</v>
      </c>
      <c r="B36" s="350">
        <v>5232633</v>
      </c>
      <c r="C36" s="356" t="s">
        <v>664</v>
      </c>
      <c r="D36" s="352"/>
      <c r="E36" s="352"/>
      <c r="F36" s="353"/>
      <c r="G36" s="352"/>
      <c r="H36" s="352"/>
      <c r="I36" s="353">
        <f t="shared" si="1"/>
        <v>0</v>
      </c>
      <c r="J36" s="354">
        <v>990600</v>
      </c>
      <c r="K36" s="355"/>
    </row>
    <row r="37" spans="1:12" ht="15.75" x14ac:dyDescent="0.25">
      <c r="A37" s="349" t="s">
        <v>436</v>
      </c>
      <c r="B37" s="350">
        <v>5232634</v>
      </c>
      <c r="C37" s="356" t="s">
        <v>665</v>
      </c>
      <c r="D37" s="352"/>
      <c r="E37" s="352"/>
      <c r="F37" s="353"/>
      <c r="G37" s="352"/>
      <c r="H37" s="352"/>
      <c r="I37" s="353">
        <f t="shared" si="1"/>
        <v>0</v>
      </c>
      <c r="J37" s="354">
        <v>875665</v>
      </c>
      <c r="K37" s="355"/>
    </row>
    <row r="38" spans="1:12" ht="15.75" x14ac:dyDescent="0.25">
      <c r="A38" s="349" t="s">
        <v>438</v>
      </c>
      <c r="B38" s="350">
        <v>5232626</v>
      </c>
      <c r="C38" s="356" t="s">
        <v>666</v>
      </c>
      <c r="D38" s="352"/>
      <c r="E38" s="352"/>
      <c r="F38" s="353"/>
      <c r="G38" s="352">
        <f>2013189+2400000+17432327+50000+1650000</f>
        <v>23545516</v>
      </c>
      <c r="H38" s="352">
        <f>543561+5368228+445500</f>
        <v>6357289</v>
      </c>
      <c r="I38" s="353">
        <f t="shared" si="1"/>
        <v>29902805</v>
      </c>
      <c r="J38" s="354"/>
      <c r="K38" s="355"/>
    </row>
    <row r="39" spans="1:12" ht="15.75" x14ac:dyDescent="0.25">
      <c r="A39" s="349" t="s">
        <v>439</v>
      </c>
      <c r="B39" s="350"/>
      <c r="C39" s="356" t="s">
        <v>667</v>
      </c>
      <c r="D39" s="352"/>
      <c r="E39" s="352"/>
      <c r="F39" s="353"/>
      <c r="G39" s="352">
        <v>10474448</v>
      </c>
      <c r="H39" s="352">
        <v>2828100</v>
      </c>
      <c r="I39" s="353">
        <f t="shared" si="1"/>
        <v>13302548</v>
      </c>
      <c r="J39" s="354"/>
      <c r="K39" s="355"/>
    </row>
    <row r="40" spans="1:12" ht="15.75" x14ac:dyDescent="0.25">
      <c r="A40" s="349" t="s">
        <v>441</v>
      </c>
      <c r="B40" s="350"/>
      <c r="C40" s="356" t="s">
        <v>668</v>
      </c>
      <c r="D40" s="352"/>
      <c r="E40" s="352"/>
      <c r="F40" s="353"/>
      <c r="G40" s="352">
        <v>6925000</v>
      </c>
      <c r="H40" s="352">
        <v>1870000</v>
      </c>
      <c r="I40" s="353">
        <f t="shared" si="1"/>
        <v>8795000</v>
      </c>
      <c r="J40" s="354"/>
      <c r="K40" s="355"/>
    </row>
    <row r="41" spans="1:12" ht="15.75" x14ac:dyDescent="0.25">
      <c r="A41" s="349" t="s">
        <v>442</v>
      </c>
      <c r="B41" s="350"/>
      <c r="C41" s="356" t="s">
        <v>669</v>
      </c>
      <c r="D41" s="352"/>
      <c r="E41" s="352"/>
      <c r="F41" s="353"/>
      <c r="G41" s="352">
        <v>1889760</v>
      </c>
      <c r="H41" s="352">
        <v>510240</v>
      </c>
      <c r="I41" s="353">
        <f t="shared" si="1"/>
        <v>2400000</v>
      </c>
      <c r="J41" s="354"/>
      <c r="K41" s="355"/>
    </row>
    <row r="42" spans="1:12" ht="15.75" x14ac:dyDescent="0.25">
      <c r="A42" s="349" t="s">
        <v>443</v>
      </c>
      <c r="B42" s="350">
        <v>5232626</v>
      </c>
      <c r="C42" s="356" t="s">
        <v>670</v>
      </c>
      <c r="D42" s="352"/>
      <c r="E42" s="352"/>
      <c r="F42" s="353"/>
      <c r="G42" s="352">
        <v>1435000</v>
      </c>
      <c r="H42" s="352">
        <v>388000</v>
      </c>
      <c r="I42" s="353">
        <f t="shared" si="1"/>
        <v>1823000</v>
      </c>
      <c r="J42" s="354">
        <v>1822300</v>
      </c>
      <c r="K42" s="355"/>
    </row>
    <row r="43" spans="1:12" ht="15.75" x14ac:dyDescent="0.25">
      <c r="A43" s="349" t="s">
        <v>444</v>
      </c>
      <c r="B43" s="350">
        <v>5232627</v>
      </c>
      <c r="C43" s="356" t="s">
        <v>671</v>
      </c>
      <c r="D43" s="352"/>
      <c r="E43" s="352"/>
      <c r="F43" s="353"/>
      <c r="G43" s="352">
        <v>713800</v>
      </c>
      <c r="H43" s="352">
        <v>192726</v>
      </c>
      <c r="I43" s="353">
        <f t="shared" si="1"/>
        <v>906526</v>
      </c>
      <c r="J43" s="354"/>
      <c r="K43" s="355"/>
    </row>
    <row r="44" spans="1:12" ht="15.75" x14ac:dyDescent="0.25">
      <c r="A44" s="349" t="s">
        <v>446</v>
      </c>
      <c r="B44" s="350"/>
      <c r="C44" s="356" t="s">
        <v>672</v>
      </c>
      <c r="D44" s="352"/>
      <c r="E44" s="352"/>
      <c r="F44" s="353"/>
      <c r="G44" s="352">
        <v>0</v>
      </c>
      <c r="H44" s="352"/>
      <c r="I44" s="353">
        <f t="shared" si="1"/>
        <v>0</v>
      </c>
      <c r="J44" s="354"/>
      <c r="K44" s="355"/>
    </row>
    <row r="45" spans="1:12" ht="15.75" x14ac:dyDescent="0.25">
      <c r="A45" s="349" t="s">
        <v>448</v>
      </c>
      <c r="B45" s="350"/>
      <c r="C45" s="358" t="s">
        <v>666</v>
      </c>
      <c r="D45" s="352"/>
      <c r="E45" s="352"/>
      <c r="F45" s="352"/>
      <c r="G45" s="352">
        <f>1999458+1575450+160000+11311213</f>
        <v>15046121</v>
      </c>
      <c r="H45" s="352">
        <f>539856+425372+3097227</f>
        <v>4062455</v>
      </c>
      <c r="I45" s="353">
        <f t="shared" si="1"/>
        <v>19108576</v>
      </c>
      <c r="J45" s="354">
        <f>160290+451612+151930+255747+127000+265708+814795</f>
        <v>2227082</v>
      </c>
      <c r="K45" s="355"/>
    </row>
    <row r="46" spans="1:12" ht="16.5" x14ac:dyDescent="0.25">
      <c r="A46" s="359"/>
      <c r="C46" s="361" t="s">
        <v>673</v>
      </c>
      <c r="D46" s="362">
        <f t="shared" ref="D46:J46" si="4">SUM(D5:D45)</f>
        <v>896275007.87401569</v>
      </c>
      <c r="E46" s="362">
        <f t="shared" si="4"/>
        <v>240329342.12598425</v>
      </c>
      <c r="F46" s="363">
        <f t="shared" si="4"/>
        <v>1136604350</v>
      </c>
      <c r="G46" s="362">
        <f t="shared" si="4"/>
        <v>1080686558.8740158</v>
      </c>
      <c r="H46" s="362">
        <f t="shared" si="4"/>
        <v>290121268.12598425</v>
      </c>
      <c r="I46" s="363">
        <f t="shared" si="4"/>
        <v>1370807827</v>
      </c>
      <c r="J46" s="363">
        <f t="shared" si="4"/>
        <v>143822155</v>
      </c>
      <c r="K46" s="355"/>
      <c r="L46" s="355"/>
    </row>
    <row r="47" spans="1:12" ht="16.5" x14ac:dyDescent="0.25">
      <c r="A47" s="359"/>
      <c r="C47" s="359"/>
      <c r="D47" s="364"/>
      <c r="E47" s="364"/>
      <c r="F47" s="363"/>
      <c r="G47" s="364"/>
      <c r="H47" s="364"/>
      <c r="I47" s="363"/>
    </row>
    <row r="48" spans="1:12" ht="15.75" x14ac:dyDescent="0.25">
      <c r="A48" s="452" t="s">
        <v>674</v>
      </c>
      <c r="B48" s="452"/>
      <c r="C48" s="452"/>
      <c r="D48" s="452"/>
      <c r="E48" s="452"/>
      <c r="F48" s="452"/>
      <c r="G48" s="365"/>
      <c r="H48" s="365"/>
      <c r="I48" s="365"/>
      <c r="J48" s="366"/>
    </row>
    <row r="49" spans="1:11" ht="15.75" x14ac:dyDescent="0.25">
      <c r="A49" s="349" t="s">
        <v>11</v>
      </c>
      <c r="B49" s="350">
        <v>5120</v>
      </c>
      <c r="C49" s="351" t="s">
        <v>675</v>
      </c>
      <c r="D49" s="352">
        <v>49606300</v>
      </c>
      <c r="E49" s="357">
        <f>+D49*0.27-1</f>
        <v>13393700</v>
      </c>
      <c r="F49" s="353">
        <f t="shared" ref="F49:F59" si="5">+D49+E49</f>
        <v>63000000</v>
      </c>
      <c r="G49" s="352">
        <f>49606300-48031500</f>
        <v>1574800</v>
      </c>
      <c r="H49" s="357">
        <f>13393700-12968500</f>
        <v>425200</v>
      </c>
      <c r="I49" s="367">
        <f t="shared" ref="I49:I59" si="6">+G49+H49</f>
        <v>2000000</v>
      </c>
      <c r="J49" s="354"/>
      <c r="K49" s="355"/>
    </row>
    <row r="50" spans="1:11" ht="15.75" x14ac:dyDescent="0.25">
      <c r="A50" s="349" t="s">
        <v>14</v>
      </c>
      <c r="B50" s="350">
        <v>5112702</v>
      </c>
      <c r="C50" s="351" t="s">
        <v>676</v>
      </c>
      <c r="D50" s="352">
        <v>50100000</v>
      </c>
      <c r="E50" s="357">
        <v>13527000</v>
      </c>
      <c r="F50" s="353">
        <f t="shared" si="5"/>
        <v>63627000</v>
      </c>
      <c r="G50" s="352">
        <v>50100000</v>
      </c>
      <c r="H50" s="357">
        <v>13527000</v>
      </c>
      <c r="I50" s="353">
        <f t="shared" si="6"/>
        <v>63627000</v>
      </c>
      <c r="J50" s="354">
        <v>1490726</v>
      </c>
      <c r="K50" s="355"/>
    </row>
    <row r="51" spans="1:11" ht="15.75" x14ac:dyDescent="0.25">
      <c r="A51" s="349" t="s">
        <v>17</v>
      </c>
      <c r="B51" s="350">
        <v>5112703</v>
      </c>
      <c r="C51" s="351" t="s">
        <v>677</v>
      </c>
      <c r="D51" s="352">
        <v>2460000</v>
      </c>
      <c r="E51" s="357">
        <v>663500</v>
      </c>
      <c r="F51" s="353">
        <f t="shared" si="5"/>
        <v>3123500</v>
      </c>
      <c r="G51" s="352">
        <v>2460000</v>
      </c>
      <c r="H51" s="357">
        <v>663500</v>
      </c>
      <c r="I51" s="353">
        <f t="shared" si="6"/>
        <v>3123500</v>
      </c>
      <c r="J51" s="354"/>
      <c r="K51" s="355"/>
    </row>
    <row r="52" spans="1:11" ht="15.75" x14ac:dyDescent="0.25">
      <c r="A52" s="349" t="s">
        <v>20</v>
      </c>
      <c r="B52" s="350">
        <v>5112704</v>
      </c>
      <c r="C52" s="351" t="s">
        <v>678</v>
      </c>
      <c r="D52" s="352">
        <f>14228500/1.27</f>
        <v>11203543.307086615</v>
      </c>
      <c r="E52" s="357">
        <f>14228500-D52</f>
        <v>3024956.6929133851</v>
      </c>
      <c r="F52" s="353">
        <f t="shared" si="5"/>
        <v>14228500</v>
      </c>
      <c r="G52" s="352">
        <f>11203543+32677000</f>
        <v>43880543</v>
      </c>
      <c r="H52" s="357">
        <f>3024957+8823000</f>
        <v>11847957</v>
      </c>
      <c r="I52" s="353">
        <f t="shared" si="6"/>
        <v>55728500</v>
      </c>
      <c r="J52" s="354"/>
      <c r="K52" s="355"/>
    </row>
    <row r="53" spans="1:11" ht="15.75" x14ac:dyDescent="0.25">
      <c r="A53" s="349" t="s">
        <v>23</v>
      </c>
      <c r="B53" s="350">
        <v>5112705</v>
      </c>
      <c r="C53" s="358" t="s">
        <v>679</v>
      </c>
      <c r="D53" s="352">
        <v>24225000</v>
      </c>
      <c r="E53" s="357">
        <v>6540040</v>
      </c>
      <c r="F53" s="353">
        <f t="shared" si="5"/>
        <v>30765040</v>
      </c>
      <c r="G53" s="352">
        <v>24225000</v>
      </c>
      <c r="H53" s="357">
        <v>6540040</v>
      </c>
      <c r="I53" s="353">
        <f t="shared" si="6"/>
        <v>30765040</v>
      </c>
      <c r="J53" s="354">
        <v>2438390</v>
      </c>
      <c r="K53" s="355"/>
    </row>
    <row r="54" spans="1:11" ht="15.75" x14ac:dyDescent="0.25">
      <c r="A54" s="349" t="s">
        <v>377</v>
      </c>
      <c r="B54" s="350">
        <v>5112706</v>
      </c>
      <c r="C54" s="358" t="s">
        <v>680</v>
      </c>
      <c r="D54" s="352">
        <v>19685000</v>
      </c>
      <c r="E54" s="357">
        <v>5315000</v>
      </c>
      <c r="F54" s="353">
        <f t="shared" si="5"/>
        <v>25000000</v>
      </c>
      <c r="G54" s="352">
        <v>19685000</v>
      </c>
      <c r="H54" s="357">
        <v>5315000</v>
      </c>
      <c r="I54" s="353">
        <f t="shared" si="6"/>
        <v>25000000</v>
      </c>
      <c r="J54" s="354"/>
      <c r="K54" s="355"/>
    </row>
    <row r="55" spans="1:11" ht="15.75" x14ac:dyDescent="0.25">
      <c r="A55" s="349" t="s">
        <v>379</v>
      </c>
      <c r="B55" s="350">
        <v>5112707</v>
      </c>
      <c r="C55" s="358" t="s">
        <v>681</v>
      </c>
      <c r="D55" s="352">
        <v>4000000</v>
      </c>
      <c r="E55" s="357">
        <v>1000000</v>
      </c>
      <c r="F55" s="353">
        <f t="shared" si="5"/>
        <v>5000000</v>
      </c>
      <c r="G55" s="352">
        <v>4000000</v>
      </c>
      <c r="H55" s="357">
        <v>1000000</v>
      </c>
      <c r="I55" s="353">
        <f t="shared" si="6"/>
        <v>5000000</v>
      </c>
      <c r="J55" s="354"/>
      <c r="K55" s="355"/>
    </row>
    <row r="56" spans="1:11" ht="15.75" x14ac:dyDescent="0.25">
      <c r="A56" s="349" t="s">
        <v>381</v>
      </c>
      <c r="B56" s="350">
        <v>5112708</v>
      </c>
      <c r="C56" s="358" t="s">
        <v>682</v>
      </c>
      <c r="D56" s="352">
        <v>3740000</v>
      </c>
      <c r="E56" s="357">
        <v>1009800</v>
      </c>
      <c r="F56" s="353">
        <f t="shared" si="5"/>
        <v>4749800</v>
      </c>
      <c r="G56" s="352">
        <v>3740000</v>
      </c>
      <c r="H56" s="357">
        <v>1009800</v>
      </c>
      <c r="I56" s="353">
        <f t="shared" si="6"/>
        <v>4749800</v>
      </c>
      <c r="J56" s="354"/>
      <c r="K56" s="355"/>
    </row>
    <row r="57" spans="1:11" ht="15.75" x14ac:dyDescent="0.25">
      <c r="A57" s="349" t="s">
        <v>382</v>
      </c>
      <c r="B57" s="350">
        <v>5112709</v>
      </c>
      <c r="C57" s="358" t="s">
        <v>683</v>
      </c>
      <c r="D57" s="352">
        <v>4000000</v>
      </c>
      <c r="E57" s="357">
        <v>1000000</v>
      </c>
      <c r="F57" s="353">
        <f t="shared" si="5"/>
        <v>5000000</v>
      </c>
      <c r="G57" s="352">
        <v>4000000</v>
      </c>
      <c r="H57" s="357">
        <v>1000000</v>
      </c>
      <c r="I57" s="353">
        <f t="shared" si="6"/>
        <v>5000000</v>
      </c>
      <c r="J57" s="354"/>
      <c r="K57" s="355"/>
    </row>
    <row r="58" spans="1:11" ht="15.75" x14ac:dyDescent="0.25">
      <c r="A58" s="349" t="s">
        <v>384</v>
      </c>
      <c r="B58" s="350"/>
      <c r="C58" s="358" t="s">
        <v>684</v>
      </c>
      <c r="D58" s="352"/>
      <c r="E58" s="357"/>
      <c r="F58" s="353"/>
      <c r="G58" s="352">
        <v>3441600</v>
      </c>
      <c r="H58" s="357">
        <v>929232</v>
      </c>
      <c r="I58" s="353">
        <f t="shared" si="6"/>
        <v>4370832</v>
      </c>
      <c r="J58" s="354"/>
      <c r="K58" s="355"/>
    </row>
    <row r="59" spans="1:11" ht="15.75" x14ac:dyDescent="0.25">
      <c r="A59" s="349" t="s">
        <v>386</v>
      </c>
      <c r="B59" s="350">
        <v>5112710</v>
      </c>
      <c r="C59" s="358" t="s">
        <v>685</v>
      </c>
      <c r="D59" s="352">
        <v>800000</v>
      </c>
      <c r="E59" s="352">
        <v>216000</v>
      </c>
      <c r="F59" s="353">
        <f t="shared" si="5"/>
        <v>1016000</v>
      </c>
      <c r="G59" s="352">
        <v>800000</v>
      </c>
      <c r="H59" s="352">
        <v>216000</v>
      </c>
      <c r="I59" s="353">
        <f t="shared" si="6"/>
        <v>1016000</v>
      </c>
      <c r="J59" s="354"/>
      <c r="K59" s="355"/>
    </row>
    <row r="60" spans="1:11" ht="15.75" x14ac:dyDescent="0.25">
      <c r="A60" s="349" t="s">
        <v>388</v>
      </c>
      <c r="B60" s="350"/>
      <c r="C60" s="358" t="s">
        <v>686</v>
      </c>
      <c r="D60" s="352"/>
      <c r="E60" s="352"/>
      <c r="F60" s="353"/>
      <c r="G60" s="352"/>
      <c r="H60" s="352"/>
      <c r="I60" s="353"/>
      <c r="J60" s="354">
        <v>1497340</v>
      </c>
      <c r="K60" s="355"/>
    </row>
    <row r="61" spans="1:11" ht="15.75" x14ac:dyDescent="0.25">
      <c r="A61" s="349" t="s">
        <v>389</v>
      </c>
      <c r="B61" s="350"/>
      <c r="C61" s="356" t="s">
        <v>658</v>
      </c>
      <c r="D61" s="352"/>
      <c r="E61" s="352"/>
      <c r="F61" s="353"/>
      <c r="G61" s="352">
        <v>906250</v>
      </c>
      <c r="H61" s="352">
        <v>244687</v>
      </c>
      <c r="I61" s="353">
        <f t="shared" ref="I61:I62" si="7">+G61+H61</f>
        <v>1150937</v>
      </c>
      <c r="J61" s="354"/>
      <c r="K61" s="355"/>
    </row>
    <row r="62" spans="1:11" ht="15.75" x14ac:dyDescent="0.25">
      <c r="A62" s="349" t="s">
        <v>393</v>
      </c>
      <c r="B62" s="350"/>
      <c r="C62" s="358" t="s">
        <v>666</v>
      </c>
      <c r="D62" s="352"/>
      <c r="E62" s="352"/>
      <c r="F62" s="353"/>
      <c r="G62" s="352">
        <f>2444545+9661651+8161890+14000000</f>
        <v>34268086</v>
      </c>
      <c r="H62" s="352">
        <f>2608646+2203711+3780000</f>
        <v>8592357</v>
      </c>
      <c r="I62" s="353">
        <f t="shared" si="7"/>
        <v>42860443</v>
      </c>
      <c r="J62" s="354">
        <v>8138254</v>
      </c>
      <c r="K62" s="355"/>
    </row>
    <row r="63" spans="1:11" ht="15.75" x14ac:dyDescent="0.25">
      <c r="A63" s="349"/>
      <c r="B63" s="350"/>
      <c r="C63" s="358"/>
      <c r="D63" s="352"/>
      <c r="E63" s="352"/>
      <c r="F63" s="353"/>
      <c r="G63" s="352"/>
      <c r="H63" s="352"/>
      <c r="I63" s="353"/>
      <c r="J63" s="354"/>
    </row>
    <row r="64" spans="1:11" ht="16.5" x14ac:dyDescent="0.25">
      <c r="A64" s="359"/>
      <c r="C64" s="368" t="s">
        <v>687</v>
      </c>
      <c r="D64" s="362">
        <f>SUM(D49:D59)</f>
        <v>169819843.30708662</v>
      </c>
      <c r="E64" s="362">
        <f>SUM(E49:E59)</f>
        <v>45689996.692913383</v>
      </c>
      <c r="F64" s="363">
        <f>SUM(F49:F60)</f>
        <v>215509840</v>
      </c>
      <c r="G64" s="362">
        <f>SUM(G49:G63)</f>
        <v>193081279</v>
      </c>
      <c r="H64" s="362">
        <f>SUM(H49:H63)</f>
        <v>51310773</v>
      </c>
      <c r="I64" s="363">
        <f>SUM(I49:I63)</f>
        <v>244392052</v>
      </c>
      <c r="J64" s="363">
        <f>SUM(J49:J63)</f>
        <v>13564710</v>
      </c>
      <c r="K64" s="355"/>
    </row>
    <row r="65" spans="1:11" ht="16.5" x14ac:dyDescent="0.25">
      <c r="A65" s="359"/>
      <c r="C65" s="369"/>
      <c r="D65" s="362"/>
      <c r="E65" s="362"/>
      <c r="F65" s="363"/>
      <c r="G65" s="362"/>
      <c r="H65" s="362"/>
      <c r="I65" s="363"/>
    </row>
    <row r="66" spans="1:11" ht="16.5" x14ac:dyDescent="0.25">
      <c r="A66" s="453" t="s">
        <v>688</v>
      </c>
      <c r="B66" s="453"/>
      <c r="C66" s="453"/>
      <c r="D66" s="453"/>
      <c r="E66" s="370"/>
      <c r="F66" s="363">
        <f>+F64+F46</f>
        <v>1352114190</v>
      </c>
      <c r="G66" s="363"/>
      <c r="H66" s="370"/>
      <c r="I66" s="363">
        <f>+I64+I46</f>
        <v>1615199879</v>
      </c>
      <c r="J66" s="371">
        <f>+J46+J64</f>
        <v>157386865</v>
      </c>
    </row>
    <row r="67" spans="1:11" ht="15.75" x14ac:dyDescent="0.25">
      <c r="A67" s="372"/>
      <c r="B67" s="373"/>
      <c r="C67" s="372"/>
      <c r="D67" s="372"/>
      <c r="E67" s="370"/>
      <c r="F67" s="362"/>
      <c r="G67" s="372"/>
      <c r="H67" s="370"/>
      <c r="I67" s="362"/>
    </row>
    <row r="68" spans="1:11" ht="15.75" x14ac:dyDescent="0.25">
      <c r="A68" s="452" t="s">
        <v>689</v>
      </c>
      <c r="B68" s="452"/>
      <c r="C68" s="452"/>
      <c r="D68" s="452"/>
      <c r="E68" s="452"/>
      <c r="F68" s="452"/>
      <c r="G68" s="347"/>
      <c r="H68" s="347"/>
      <c r="I68" s="347"/>
      <c r="J68" s="347"/>
    </row>
    <row r="69" spans="1:11" ht="15.75" x14ac:dyDescent="0.25">
      <c r="A69" s="349" t="s">
        <v>11</v>
      </c>
      <c r="B69" s="350"/>
      <c r="C69" s="351" t="s">
        <v>690</v>
      </c>
      <c r="D69" s="352"/>
      <c r="E69" s="352"/>
      <c r="F69" s="352">
        <f>+'[6]3A PH'!F46</f>
        <v>8000000</v>
      </c>
      <c r="G69" s="352"/>
      <c r="H69" s="352"/>
      <c r="I69" s="352">
        <f>+'[6]3A PH'!J46</f>
        <v>8000000</v>
      </c>
      <c r="J69" s="352">
        <f>+'[6]3A PH'!K46</f>
        <v>869204</v>
      </c>
      <c r="K69" s="355"/>
    </row>
    <row r="70" spans="1:11" ht="34.15" customHeight="1" x14ac:dyDescent="0.25">
      <c r="A70" s="349" t="s">
        <v>14</v>
      </c>
      <c r="B70" s="350"/>
      <c r="C70" s="356" t="s">
        <v>691</v>
      </c>
      <c r="D70" s="352"/>
      <c r="E70" s="352"/>
      <c r="F70" s="352">
        <f>+'[6]4A Walla'!E43</f>
        <v>1270000</v>
      </c>
      <c r="G70" s="352"/>
      <c r="H70" s="352"/>
      <c r="I70" s="352">
        <f>+'[6]4A Walla'!H43</f>
        <v>1270000</v>
      </c>
      <c r="J70" s="352">
        <f>+'[6]4A Walla'!I43</f>
        <v>0</v>
      </c>
      <c r="K70" s="355"/>
    </row>
    <row r="71" spans="1:11" ht="15.75" x14ac:dyDescent="0.25">
      <c r="A71" s="349" t="s">
        <v>17</v>
      </c>
      <c r="B71" s="350"/>
      <c r="C71" s="356" t="s">
        <v>692</v>
      </c>
      <c r="D71" s="352"/>
      <c r="E71" s="352"/>
      <c r="F71" s="352">
        <f>+'[6]4B Nyitnikék'!E43</f>
        <v>1270000</v>
      </c>
      <c r="G71" s="352"/>
      <c r="H71" s="352"/>
      <c r="I71" s="352">
        <f>+'[6]4B Nyitnikék'!H43</f>
        <v>2273300</v>
      </c>
      <c r="J71" s="352">
        <f>+'[6]4B Nyitnikék'!I43</f>
        <v>7990</v>
      </c>
      <c r="K71" s="355"/>
    </row>
    <row r="72" spans="1:11" ht="15.75" x14ac:dyDescent="0.25">
      <c r="A72" s="349" t="s">
        <v>20</v>
      </c>
      <c r="B72" s="350"/>
      <c r="C72" s="356" t="s">
        <v>693</v>
      </c>
      <c r="D72" s="352"/>
      <c r="E72" s="352"/>
      <c r="F72" s="352">
        <f>+'[6]4C Bóbita'!E43</f>
        <v>1016000</v>
      </c>
      <c r="G72" s="352"/>
      <c r="H72" s="352"/>
      <c r="I72" s="352">
        <f>+'[6]4C Bóbita'!H43</f>
        <v>1016000</v>
      </c>
      <c r="J72" s="352">
        <f>+'[6]4C Bóbita'!I43</f>
        <v>90492</v>
      </c>
      <c r="K72" s="355"/>
    </row>
    <row r="73" spans="1:11" ht="15.75" x14ac:dyDescent="0.25">
      <c r="A73" s="349" t="s">
        <v>23</v>
      </c>
      <c r="B73" s="350"/>
      <c r="C73" s="356" t="s">
        <v>694</v>
      </c>
      <c r="D73" s="352"/>
      <c r="E73" s="352"/>
      <c r="F73" s="352">
        <f>+'[6]4D MMMH'!E43</f>
        <v>1270000</v>
      </c>
      <c r="G73" s="352"/>
      <c r="H73" s="352"/>
      <c r="I73" s="352">
        <f>+'[6]4D MMMH'!H43</f>
        <v>1270000</v>
      </c>
      <c r="J73" s="352">
        <f>+'[6]4D MMMH'!I43</f>
        <v>43730</v>
      </c>
      <c r="K73" s="355"/>
    </row>
    <row r="74" spans="1:11" ht="15.75" x14ac:dyDescent="0.25">
      <c r="A74" s="349" t="s">
        <v>377</v>
      </c>
      <c r="B74" s="350"/>
      <c r="C74" s="356" t="s">
        <v>695</v>
      </c>
      <c r="D74" s="352"/>
      <c r="E74" s="352"/>
      <c r="F74" s="352">
        <f>+'[6]4E Könyvtár'!E43</f>
        <v>2600000</v>
      </c>
      <c r="G74" s="352"/>
      <c r="H74" s="352"/>
      <c r="I74" s="352">
        <f>+'[6]4E Könyvtár'!H43</f>
        <v>2600000</v>
      </c>
      <c r="J74" s="352">
        <f>+'[6]4E Könyvtár'!I43</f>
        <v>639981</v>
      </c>
      <c r="K74" s="355"/>
    </row>
    <row r="75" spans="1:11" ht="15.75" x14ac:dyDescent="0.25">
      <c r="A75" s="349" t="s">
        <v>696</v>
      </c>
      <c r="B75" s="350"/>
      <c r="C75" s="356" t="s">
        <v>697</v>
      </c>
      <c r="D75" s="352"/>
      <c r="E75" s="352"/>
      <c r="F75" s="352">
        <f>+'[6]4F Segítő Kéz'!E43</f>
        <v>1270000</v>
      </c>
      <c r="G75" s="352"/>
      <c r="H75" s="352"/>
      <c r="I75" s="352">
        <f>+'[6]4F Segítő Kéz'!H43</f>
        <v>1270000</v>
      </c>
      <c r="J75" s="352">
        <f>+'[6]4F Segítő Kéz'!I43</f>
        <v>325723</v>
      </c>
      <c r="K75" s="355"/>
    </row>
    <row r="76" spans="1:11" ht="15.75" x14ac:dyDescent="0.25">
      <c r="A76" s="349" t="s">
        <v>381</v>
      </c>
      <c r="B76" s="350"/>
      <c r="C76" s="356" t="s">
        <v>698</v>
      </c>
      <c r="D76" s="352"/>
      <c r="E76" s="352"/>
      <c r="F76" s="352">
        <f>+'[6]4G Szérüskert'!E43</f>
        <v>1270000</v>
      </c>
      <c r="G76" s="352"/>
      <c r="H76" s="352"/>
      <c r="I76" s="352">
        <f>+'[6]4G Szérüskert'!H43</f>
        <v>1270000</v>
      </c>
      <c r="J76" s="352">
        <f>+'[6]4G Szérüskert'!I43</f>
        <v>698690</v>
      </c>
      <c r="K76" s="355"/>
    </row>
    <row r="77" spans="1:11" ht="15.75" x14ac:dyDescent="0.25">
      <c r="A77" s="349" t="s">
        <v>382</v>
      </c>
      <c r="B77" s="350"/>
      <c r="C77" s="356" t="s">
        <v>699</v>
      </c>
      <c r="D77" s="352"/>
      <c r="E77" s="352"/>
      <c r="F77" s="352">
        <f>+'[6]4H VG bev kiad'!E43</f>
        <v>1270000</v>
      </c>
      <c r="G77" s="352"/>
      <c r="H77" s="352"/>
      <c r="I77" s="352">
        <f>+'[6]4H VG bev kiad'!H43</f>
        <v>2690610</v>
      </c>
      <c r="J77" s="352">
        <f>+'[6]4H VG bev kiad'!I43</f>
        <v>2746948</v>
      </c>
      <c r="K77" s="355"/>
    </row>
    <row r="78" spans="1:11" ht="16.5" x14ac:dyDescent="0.25">
      <c r="C78" s="361" t="s">
        <v>700</v>
      </c>
      <c r="D78" s="362"/>
      <c r="E78" s="362"/>
      <c r="F78" s="374">
        <f>SUM(F69:F77)</f>
        <v>19236000</v>
      </c>
      <c r="G78" s="362"/>
      <c r="H78" s="362"/>
      <c r="I78" s="374">
        <f>SUM(I69:I77)</f>
        <v>21659910</v>
      </c>
      <c r="J78" s="374">
        <f>SUM(J69:J77)</f>
        <v>5422758</v>
      </c>
      <c r="K78" s="355"/>
    </row>
    <row r="79" spans="1:11" ht="16.5" x14ac:dyDescent="0.25">
      <c r="C79" s="361"/>
      <c r="D79" s="362"/>
      <c r="E79" s="362"/>
      <c r="F79" s="374"/>
      <c r="G79" s="362"/>
      <c r="H79" s="362"/>
      <c r="I79" s="374"/>
    </row>
    <row r="80" spans="1:11" ht="15.75" x14ac:dyDescent="0.25">
      <c r="A80" s="452" t="s">
        <v>701</v>
      </c>
      <c r="B80" s="452"/>
      <c r="C80" s="452"/>
      <c r="D80" s="452"/>
      <c r="E80" s="452"/>
      <c r="F80" s="452"/>
      <c r="G80" s="347"/>
      <c r="H80" s="347"/>
      <c r="I80" s="347"/>
      <c r="J80" s="347"/>
    </row>
    <row r="81" spans="1:11" ht="15.75" x14ac:dyDescent="0.25">
      <c r="A81" s="349" t="s">
        <v>11</v>
      </c>
      <c r="B81" s="350"/>
      <c r="C81" s="351" t="s">
        <v>702</v>
      </c>
      <c r="D81" s="352"/>
      <c r="E81" s="352"/>
      <c r="F81" s="352">
        <f>+'[6]3A PH'!F57</f>
        <v>0</v>
      </c>
      <c r="G81" s="352"/>
      <c r="H81" s="352"/>
      <c r="I81" s="352">
        <f>+'[6]5 GSZNR fel'!H197</f>
        <v>1813846</v>
      </c>
      <c r="J81" s="352">
        <f>+'[6]5 GSZNR fel'!I197</f>
        <v>724408</v>
      </c>
    </row>
    <row r="82" spans="1:11" ht="15.75" x14ac:dyDescent="0.25">
      <c r="A82" s="349"/>
      <c r="B82" s="350"/>
      <c r="C82" s="356"/>
      <c r="D82" s="352"/>
      <c r="E82" s="352"/>
      <c r="F82" s="352">
        <f>+'[6]4A Walla'!E54</f>
        <v>0</v>
      </c>
      <c r="G82" s="352"/>
      <c r="H82" s="352"/>
      <c r="I82" s="352"/>
    </row>
    <row r="83" spans="1:11" ht="16.5" x14ac:dyDescent="0.25">
      <c r="C83" s="361" t="s">
        <v>703</v>
      </c>
      <c r="D83" s="362"/>
      <c r="E83" s="362"/>
      <c r="F83" s="374"/>
      <c r="G83" s="362"/>
      <c r="H83" s="362"/>
      <c r="I83" s="374">
        <f>SUM(I81:I82)</f>
        <v>1813846</v>
      </c>
      <c r="J83" s="374">
        <f>SUM(J81:J82)</f>
        <v>724408</v>
      </c>
      <c r="K83" s="355"/>
    </row>
    <row r="84" spans="1:11" ht="16.5" x14ac:dyDescent="0.25">
      <c r="A84" s="359"/>
      <c r="C84" s="368"/>
      <c r="D84" s="362"/>
      <c r="E84" s="362"/>
      <c r="F84" s="375"/>
      <c r="G84" s="362"/>
      <c r="H84" s="362"/>
      <c r="I84" s="375"/>
    </row>
    <row r="85" spans="1:11" ht="16.5" x14ac:dyDescent="0.25">
      <c r="A85" s="454" t="s">
        <v>704</v>
      </c>
      <c r="B85" s="454"/>
      <c r="C85" s="454"/>
      <c r="D85" s="454"/>
      <c r="E85" s="454"/>
      <c r="F85" s="363">
        <f>+F78+F66</f>
        <v>1371350190</v>
      </c>
      <c r="G85" s="363"/>
      <c r="H85" s="363"/>
      <c r="I85" s="363">
        <f>+I78+I66+I83</f>
        <v>1638673635</v>
      </c>
      <c r="J85" s="363">
        <f>+J78+J66+J83</f>
        <v>163534031</v>
      </c>
    </row>
    <row r="86" spans="1:11" ht="16.5" x14ac:dyDescent="0.25">
      <c r="A86" s="376"/>
      <c r="B86" s="373"/>
      <c r="C86" s="376"/>
      <c r="D86" s="344" t="s">
        <v>705</v>
      </c>
      <c r="F86" s="362"/>
      <c r="G86" s="344" t="s">
        <v>705</v>
      </c>
      <c r="I86" s="362"/>
    </row>
    <row r="87" spans="1:11" x14ac:dyDescent="0.25">
      <c r="C87" s="451" t="s">
        <v>673</v>
      </c>
      <c r="D87" s="451"/>
      <c r="E87" s="355"/>
      <c r="F87" s="355">
        <f>+F46+F78</f>
        <v>1155840350</v>
      </c>
      <c r="G87" s="355"/>
      <c r="H87" s="355"/>
      <c r="I87" s="355">
        <f>+I46+I78</f>
        <v>1392467737</v>
      </c>
      <c r="J87" s="355">
        <f>+J46+J78</f>
        <v>149244913</v>
      </c>
      <c r="K87" s="355"/>
    </row>
    <row r="88" spans="1:11" x14ac:dyDescent="0.25">
      <c r="C88" s="451" t="s">
        <v>687</v>
      </c>
      <c r="D88" s="451"/>
      <c r="E88" s="355"/>
      <c r="F88" s="355">
        <f>+F64</f>
        <v>215509840</v>
      </c>
      <c r="G88" s="355"/>
      <c r="H88" s="355"/>
      <c r="I88" s="355">
        <f>+I64+I83</f>
        <v>246205898</v>
      </c>
      <c r="J88" s="355">
        <f>+J64+J83</f>
        <v>14289118</v>
      </c>
      <c r="K88" s="355"/>
    </row>
  </sheetData>
  <mergeCells count="14">
    <mergeCell ref="G2:I2"/>
    <mergeCell ref="A1:D1"/>
    <mergeCell ref="A2:A3"/>
    <mergeCell ref="B2:B3"/>
    <mergeCell ref="C2:C3"/>
    <mergeCell ref="D2:F2"/>
    <mergeCell ref="C87:D87"/>
    <mergeCell ref="C88:D88"/>
    <mergeCell ref="A4:F4"/>
    <mergeCell ref="A48:F48"/>
    <mergeCell ref="A66:D66"/>
    <mergeCell ref="A68:F68"/>
    <mergeCell ref="A80:F80"/>
    <mergeCell ref="A85:E85"/>
  </mergeCells>
  <pageMargins left="0.47244094488188981" right="0.39370078740157483" top="0.55118110236220474" bottom="0.55118110236220474" header="0.35433070866141736" footer="0.31496062992125984"/>
  <pageSetup paperSize="8" scale="65" orientation="portrait" r:id="rId1"/>
  <headerFooter>
    <oddHeader>&amp;L7. melléklet a ......./2020. (.................)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A987-7607-4BF6-AC69-60DAE0E1065C}">
  <dimension ref="A1:N32"/>
  <sheetViews>
    <sheetView view="pageLayout" zoomScaleNormal="100" zoomScaleSheetLayoutView="96" workbookViewId="0">
      <selection activeCell="C42" sqref="C42"/>
    </sheetView>
  </sheetViews>
  <sheetFormatPr defaultRowHeight="15" x14ac:dyDescent="0.25"/>
  <cols>
    <col min="2" max="2" width="55.140625" style="68" customWidth="1"/>
    <col min="3" max="3" width="18.28515625" customWidth="1"/>
    <col min="9" max="9" width="10" bestFit="1" customWidth="1"/>
    <col min="11" max="11" width="14.28515625" customWidth="1"/>
    <col min="12" max="12" width="14.7109375" bestFit="1" customWidth="1"/>
    <col min="13" max="13" width="14.7109375" customWidth="1"/>
    <col min="14" max="14" width="18.140625" customWidth="1"/>
    <col min="258" max="258" width="55.140625" customWidth="1"/>
    <col min="259" max="259" width="18.28515625" customWidth="1"/>
    <col min="265" max="265" width="10" bestFit="1" customWidth="1"/>
    <col min="267" max="267" width="14.28515625" customWidth="1"/>
    <col min="268" max="268" width="14.7109375" bestFit="1" customWidth="1"/>
    <col min="269" max="269" width="14.7109375" customWidth="1"/>
    <col min="270" max="270" width="18.140625" customWidth="1"/>
    <col min="514" max="514" width="55.140625" customWidth="1"/>
    <col min="515" max="515" width="18.28515625" customWidth="1"/>
    <col min="521" max="521" width="10" bestFit="1" customWidth="1"/>
    <col min="523" max="523" width="14.28515625" customWidth="1"/>
    <col min="524" max="524" width="14.7109375" bestFit="1" customWidth="1"/>
    <col min="525" max="525" width="14.7109375" customWidth="1"/>
    <col min="526" max="526" width="18.140625" customWidth="1"/>
    <col min="770" max="770" width="55.140625" customWidth="1"/>
    <col min="771" max="771" width="18.28515625" customWidth="1"/>
    <col min="777" max="777" width="10" bestFit="1" customWidth="1"/>
    <col min="779" max="779" width="14.28515625" customWidth="1"/>
    <col min="780" max="780" width="14.7109375" bestFit="1" customWidth="1"/>
    <col min="781" max="781" width="14.7109375" customWidth="1"/>
    <col min="782" max="782" width="18.140625" customWidth="1"/>
    <col min="1026" max="1026" width="55.140625" customWidth="1"/>
    <col min="1027" max="1027" width="18.28515625" customWidth="1"/>
    <col min="1033" max="1033" width="10" bestFit="1" customWidth="1"/>
    <col min="1035" max="1035" width="14.28515625" customWidth="1"/>
    <col min="1036" max="1036" width="14.7109375" bestFit="1" customWidth="1"/>
    <col min="1037" max="1037" width="14.7109375" customWidth="1"/>
    <col min="1038" max="1038" width="18.140625" customWidth="1"/>
    <col min="1282" max="1282" width="55.140625" customWidth="1"/>
    <col min="1283" max="1283" width="18.28515625" customWidth="1"/>
    <col min="1289" max="1289" width="10" bestFit="1" customWidth="1"/>
    <col min="1291" max="1291" width="14.28515625" customWidth="1"/>
    <col min="1292" max="1292" width="14.7109375" bestFit="1" customWidth="1"/>
    <col min="1293" max="1293" width="14.7109375" customWidth="1"/>
    <col min="1294" max="1294" width="18.140625" customWidth="1"/>
    <col min="1538" max="1538" width="55.140625" customWidth="1"/>
    <col min="1539" max="1539" width="18.28515625" customWidth="1"/>
    <col min="1545" max="1545" width="10" bestFit="1" customWidth="1"/>
    <col min="1547" max="1547" width="14.28515625" customWidth="1"/>
    <col min="1548" max="1548" width="14.7109375" bestFit="1" customWidth="1"/>
    <col min="1549" max="1549" width="14.7109375" customWidth="1"/>
    <col min="1550" max="1550" width="18.140625" customWidth="1"/>
    <col min="1794" max="1794" width="55.140625" customWidth="1"/>
    <col min="1795" max="1795" width="18.28515625" customWidth="1"/>
    <col min="1801" max="1801" width="10" bestFit="1" customWidth="1"/>
    <col min="1803" max="1803" width="14.28515625" customWidth="1"/>
    <col min="1804" max="1804" width="14.7109375" bestFit="1" customWidth="1"/>
    <col min="1805" max="1805" width="14.7109375" customWidth="1"/>
    <col min="1806" max="1806" width="18.140625" customWidth="1"/>
    <col min="2050" max="2050" width="55.140625" customWidth="1"/>
    <col min="2051" max="2051" width="18.28515625" customWidth="1"/>
    <col min="2057" max="2057" width="10" bestFit="1" customWidth="1"/>
    <col min="2059" max="2059" width="14.28515625" customWidth="1"/>
    <col min="2060" max="2060" width="14.7109375" bestFit="1" customWidth="1"/>
    <col min="2061" max="2061" width="14.7109375" customWidth="1"/>
    <col min="2062" max="2062" width="18.140625" customWidth="1"/>
    <col min="2306" max="2306" width="55.140625" customWidth="1"/>
    <col min="2307" max="2307" width="18.28515625" customWidth="1"/>
    <col min="2313" max="2313" width="10" bestFit="1" customWidth="1"/>
    <col min="2315" max="2315" width="14.28515625" customWidth="1"/>
    <col min="2316" max="2316" width="14.7109375" bestFit="1" customWidth="1"/>
    <col min="2317" max="2317" width="14.7109375" customWidth="1"/>
    <col min="2318" max="2318" width="18.140625" customWidth="1"/>
    <col min="2562" max="2562" width="55.140625" customWidth="1"/>
    <col min="2563" max="2563" width="18.28515625" customWidth="1"/>
    <col min="2569" max="2569" width="10" bestFit="1" customWidth="1"/>
    <col min="2571" max="2571" width="14.28515625" customWidth="1"/>
    <col min="2572" max="2572" width="14.7109375" bestFit="1" customWidth="1"/>
    <col min="2573" max="2573" width="14.7109375" customWidth="1"/>
    <col min="2574" max="2574" width="18.140625" customWidth="1"/>
    <col min="2818" max="2818" width="55.140625" customWidth="1"/>
    <col min="2819" max="2819" width="18.28515625" customWidth="1"/>
    <col min="2825" max="2825" width="10" bestFit="1" customWidth="1"/>
    <col min="2827" max="2827" width="14.28515625" customWidth="1"/>
    <col min="2828" max="2828" width="14.7109375" bestFit="1" customWidth="1"/>
    <col min="2829" max="2829" width="14.7109375" customWidth="1"/>
    <col min="2830" max="2830" width="18.140625" customWidth="1"/>
    <col min="3074" max="3074" width="55.140625" customWidth="1"/>
    <col min="3075" max="3075" width="18.28515625" customWidth="1"/>
    <col min="3081" max="3081" width="10" bestFit="1" customWidth="1"/>
    <col min="3083" max="3083" width="14.28515625" customWidth="1"/>
    <col min="3084" max="3084" width="14.7109375" bestFit="1" customWidth="1"/>
    <col min="3085" max="3085" width="14.7109375" customWidth="1"/>
    <col min="3086" max="3086" width="18.140625" customWidth="1"/>
    <col min="3330" max="3330" width="55.140625" customWidth="1"/>
    <col min="3331" max="3331" width="18.28515625" customWidth="1"/>
    <col min="3337" max="3337" width="10" bestFit="1" customWidth="1"/>
    <col min="3339" max="3339" width="14.28515625" customWidth="1"/>
    <col min="3340" max="3340" width="14.7109375" bestFit="1" customWidth="1"/>
    <col min="3341" max="3341" width="14.7109375" customWidth="1"/>
    <col min="3342" max="3342" width="18.140625" customWidth="1"/>
    <col min="3586" max="3586" width="55.140625" customWidth="1"/>
    <col min="3587" max="3587" width="18.28515625" customWidth="1"/>
    <col min="3593" max="3593" width="10" bestFit="1" customWidth="1"/>
    <col min="3595" max="3595" width="14.28515625" customWidth="1"/>
    <col min="3596" max="3596" width="14.7109375" bestFit="1" customWidth="1"/>
    <col min="3597" max="3597" width="14.7109375" customWidth="1"/>
    <col min="3598" max="3598" width="18.140625" customWidth="1"/>
    <col min="3842" max="3842" width="55.140625" customWidth="1"/>
    <col min="3843" max="3843" width="18.28515625" customWidth="1"/>
    <col min="3849" max="3849" width="10" bestFit="1" customWidth="1"/>
    <col min="3851" max="3851" width="14.28515625" customWidth="1"/>
    <col min="3852" max="3852" width="14.7109375" bestFit="1" customWidth="1"/>
    <col min="3853" max="3853" width="14.7109375" customWidth="1"/>
    <col min="3854" max="3854" width="18.140625" customWidth="1"/>
    <col min="4098" max="4098" width="55.140625" customWidth="1"/>
    <col min="4099" max="4099" width="18.28515625" customWidth="1"/>
    <col min="4105" max="4105" width="10" bestFit="1" customWidth="1"/>
    <col min="4107" max="4107" width="14.28515625" customWidth="1"/>
    <col min="4108" max="4108" width="14.7109375" bestFit="1" customWidth="1"/>
    <col min="4109" max="4109" width="14.7109375" customWidth="1"/>
    <col min="4110" max="4110" width="18.140625" customWidth="1"/>
    <col min="4354" max="4354" width="55.140625" customWidth="1"/>
    <col min="4355" max="4355" width="18.28515625" customWidth="1"/>
    <col min="4361" max="4361" width="10" bestFit="1" customWidth="1"/>
    <col min="4363" max="4363" width="14.28515625" customWidth="1"/>
    <col min="4364" max="4364" width="14.7109375" bestFit="1" customWidth="1"/>
    <col min="4365" max="4365" width="14.7109375" customWidth="1"/>
    <col min="4366" max="4366" width="18.140625" customWidth="1"/>
    <col min="4610" max="4610" width="55.140625" customWidth="1"/>
    <col min="4611" max="4611" width="18.28515625" customWidth="1"/>
    <col min="4617" max="4617" width="10" bestFit="1" customWidth="1"/>
    <col min="4619" max="4619" width="14.28515625" customWidth="1"/>
    <col min="4620" max="4620" width="14.7109375" bestFit="1" customWidth="1"/>
    <col min="4621" max="4621" width="14.7109375" customWidth="1"/>
    <col min="4622" max="4622" width="18.140625" customWidth="1"/>
    <col min="4866" max="4866" width="55.140625" customWidth="1"/>
    <col min="4867" max="4867" width="18.28515625" customWidth="1"/>
    <col min="4873" max="4873" width="10" bestFit="1" customWidth="1"/>
    <col min="4875" max="4875" width="14.28515625" customWidth="1"/>
    <col min="4876" max="4876" width="14.7109375" bestFit="1" customWidth="1"/>
    <col min="4877" max="4877" width="14.7109375" customWidth="1"/>
    <col min="4878" max="4878" width="18.140625" customWidth="1"/>
    <col min="5122" max="5122" width="55.140625" customWidth="1"/>
    <col min="5123" max="5123" width="18.28515625" customWidth="1"/>
    <col min="5129" max="5129" width="10" bestFit="1" customWidth="1"/>
    <col min="5131" max="5131" width="14.28515625" customWidth="1"/>
    <col min="5132" max="5132" width="14.7109375" bestFit="1" customWidth="1"/>
    <col min="5133" max="5133" width="14.7109375" customWidth="1"/>
    <col min="5134" max="5134" width="18.140625" customWidth="1"/>
    <col min="5378" max="5378" width="55.140625" customWidth="1"/>
    <col min="5379" max="5379" width="18.28515625" customWidth="1"/>
    <col min="5385" max="5385" width="10" bestFit="1" customWidth="1"/>
    <col min="5387" max="5387" width="14.28515625" customWidth="1"/>
    <col min="5388" max="5388" width="14.7109375" bestFit="1" customWidth="1"/>
    <col min="5389" max="5389" width="14.7109375" customWidth="1"/>
    <col min="5390" max="5390" width="18.140625" customWidth="1"/>
    <col min="5634" max="5634" width="55.140625" customWidth="1"/>
    <col min="5635" max="5635" width="18.28515625" customWidth="1"/>
    <col min="5641" max="5641" width="10" bestFit="1" customWidth="1"/>
    <col min="5643" max="5643" width="14.28515625" customWidth="1"/>
    <col min="5644" max="5644" width="14.7109375" bestFit="1" customWidth="1"/>
    <col min="5645" max="5645" width="14.7109375" customWidth="1"/>
    <col min="5646" max="5646" width="18.140625" customWidth="1"/>
    <col min="5890" max="5890" width="55.140625" customWidth="1"/>
    <col min="5891" max="5891" width="18.28515625" customWidth="1"/>
    <col min="5897" max="5897" width="10" bestFit="1" customWidth="1"/>
    <col min="5899" max="5899" width="14.28515625" customWidth="1"/>
    <col min="5900" max="5900" width="14.7109375" bestFit="1" customWidth="1"/>
    <col min="5901" max="5901" width="14.7109375" customWidth="1"/>
    <col min="5902" max="5902" width="18.140625" customWidth="1"/>
    <col min="6146" max="6146" width="55.140625" customWidth="1"/>
    <col min="6147" max="6147" width="18.28515625" customWidth="1"/>
    <col min="6153" max="6153" width="10" bestFit="1" customWidth="1"/>
    <col min="6155" max="6155" width="14.28515625" customWidth="1"/>
    <col min="6156" max="6156" width="14.7109375" bestFit="1" customWidth="1"/>
    <col min="6157" max="6157" width="14.7109375" customWidth="1"/>
    <col min="6158" max="6158" width="18.140625" customWidth="1"/>
    <col min="6402" max="6402" width="55.140625" customWidth="1"/>
    <col min="6403" max="6403" width="18.28515625" customWidth="1"/>
    <col min="6409" max="6409" width="10" bestFit="1" customWidth="1"/>
    <col min="6411" max="6411" width="14.28515625" customWidth="1"/>
    <col min="6412" max="6412" width="14.7109375" bestFit="1" customWidth="1"/>
    <col min="6413" max="6413" width="14.7109375" customWidth="1"/>
    <col min="6414" max="6414" width="18.140625" customWidth="1"/>
    <col min="6658" max="6658" width="55.140625" customWidth="1"/>
    <col min="6659" max="6659" width="18.28515625" customWidth="1"/>
    <col min="6665" max="6665" width="10" bestFit="1" customWidth="1"/>
    <col min="6667" max="6667" width="14.28515625" customWidth="1"/>
    <col min="6668" max="6668" width="14.7109375" bestFit="1" customWidth="1"/>
    <col min="6669" max="6669" width="14.7109375" customWidth="1"/>
    <col min="6670" max="6670" width="18.140625" customWidth="1"/>
    <col min="6914" max="6914" width="55.140625" customWidth="1"/>
    <col min="6915" max="6915" width="18.28515625" customWidth="1"/>
    <col min="6921" max="6921" width="10" bestFit="1" customWidth="1"/>
    <col min="6923" max="6923" width="14.28515625" customWidth="1"/>
    <col min="6924" max="6924" width="14.7109375" bestFit="1" customWidth="1"/>
    <col min="6925" max="6925" width="14.7109375" customWidth="1"/>
    <col min="6926" max="6926" width="18.140625" customWidth="1"/>
    <col min="7170" max="7170" width="55.140625" customWidth="1"/>
    <col min="7171" max="7171" width="18.28515625" customWidth="1"/>
    <col min="7177" max="7177" width="10" bestFit="1" customWidth="1"/>
    <col min="7179" max="7179" width="14.28515625" customWidth="1"/>
    <col min="7180" max="7180" width="14.7109375" bestFit="1" customWidth="1"/>
    <col min="7181" max="7181" width="14.7109375" customWidth="1"/>
    <col min="7182" max="7182" width="18.140625" customWidth="1"/>
    <col min="7426" max="7426" width="55.140625" customWidth="1"/>
    <col min="7427" max="7427" width="18.28515625" customWidth="1"/>
    <col min="7433" max="7433" width="10" bestFit="1" customWidth="1"/>
    <col min="7435" max="7435" width="14.28515625" customWidth="1"/>
    <col min="7436" max="7436" width="14.7109375" bestFit="1" customWidth="1"/>
    <col min="7437" max="7437" width="14.7109375" customWidth="1"/>
    <col min="7438" max="7438" width="18.140625" customWidth="1"/>
    <col min="7682" max="7682" width="55.140625" customWidth="1"/>
    <col min="7683" max="7683" width="18.28515625" customWidth="1"/>
    <col min="7689" max="7689" width="10" bestFit="1" customWidth="1"/>
    <col min="7691" max="7691" width="14.28515625" customWidth="1"/>
    <col min="7692" max="7692" width="14.7109375" bestFit="1" customWidth="1"/>
    <col min="7693" max="7693" width="14.7109375" customWidth="1"/>
    <col min="7694" max="7694" width="18.140625" customWidth="1"/>
    <col min="7938" max="7938" width="55.140625" customWidth="1"/>
    <col min="7939" max="7939" width="18.28515625" customWidth="1"/>
    <col min="7945" max="7945" width="10" bestFit="1" customWidth="1"/>
    <col min="7947" max="7947" width="14.28515625" customWidth="1"/>
    <col min="7948" max="7948" width="14.7109375" bestFit="1" customWidth="1"/>
    <col min="7949" max="7949" width="14.7109375" customWidth="1"/>
    <col min="7950" max="7950" width="18.140625" customWidth="1"/>
    <col min="8194" max="8194" width="55.140625" customWidth="1"/>
    <col min="8195" max="8195" width="18.28515625" customWidth="1"/>
    <col min="8201" max="8201" width="10" bestFit="1" customWidth="1"/>
    <col min="8203" max="8203" width="14.28515625" customWidth="1"/>
    <col min="8204" max="8204" width="14.7109375" bestFit="1" customWidth="1"/>
    <col min="8205" max="8205" width="14.7109375" customWidth="1"/>
    <col min="8206" max="8206" width="18.140625" customWidth="1"/>
    <col min="8450" max="8450" width="55.140625" customWidth="1"/>
    <col min="8451" max="8451" width="18.28515625" customWidth="1"/>
    <col min="8457" max="8457" width="10" bestFit="1" customWidth="1"/>
    <col min="8459" max="8459" width="14.28515625" customWidth="1"/>
    <col min="8460" max="8460" width="14.7109375" bestFit="1" customWidth="1"/>
    <col min="8461" max="8461" width="14.7109375" customWidth="1"/>
    <col min="8462" max="8462" width="18.140625" customWidth="1"/>
    <col min="8706" max="8706" width="55.140625" customWidth="1"/>
    <col min="8707" max="8707" width="18.28515625" customWidth="1"/>
    <col min="8713" max="8713" width="10" bestFit="1" customWidth="1"/>
    <col min="8715" max="8715" width="14.28515625" customWidth="1"/>
    <col min="8716" max="8716" width="14.7109375" bestFit="1" customWidth="1"/>
    <col min="8717" max="8717" width="14.7109375" customWidth="1"/>
    <col min="8718" max="8718" width="18.140625" customWidth="1"/>
    <col min="8962" max="8962" width="55.140625" customWidth="1"/>
    <col min="8963" max="8963" width="18.28515625" customWidth="1"/>
    <col min="8969" max="8969" width="10" bestFit="1" customWidth="1"/>
    <col min="8971" max="8971" width="14.28515625" customWidth="1"/>
    <col min="8972" max="8972" width="14.7109375" bestFit="1" customWidth="1"/>
    <col min="8973" max="8973" width="14.7109375" customWidth="1"/>
    <col min="8974" max="8974" width="18.140625" customWidth="1"/>
    <col min="9218" max="9218" width="55.140625" customWidth="1"/>
    <col min="9219" max="9219" width="18.28515625" customWidth="1"/>
    <col min="9225" max="9225" width="10" bestFit="1" customWidth="1"/>
    <col min="9227" max="9227" width="14.28515625" customWidth="1"/>
    <col min="9228" max="9228" width="14.7109375" bestFit="1" customWidth="1"/>
    <col min="9229" max="9229" width="14.7109375" customWidth="1"/>
    <col min="9230" max="9230" width="18.140625" customWidth="1"/>
    <col min="9474" max="9474" width="55.140625" customWidth="1"/>
    <col min="9475" max="9475" width="18.28515625" customWidth="1"/>
    <col min="9481" max="9481" width="10" bestFit="1" customWidth="1"/>
    <col min="9483" max="9483" width="14.28515625" customWidth="1"/>
    <col min="9484" max="9484" width="14.7109375" bestFit="1" customWidth="1"/>
    <col min="9485" max="9485" width="14.7109375" customWidth="1"/>
    <col min="9486" max="9486" width="18.140625" customWidth="1"/>
    <col min="9730" max="9730" width="55.140625" customWidth="1"/>
    <col min="9731" max="9731" width="18.28515625" customWidth="1"/>
    <col min="9737" max="9737" width="10" bestFit="1" customWidth="1"/>
    <col min="9739" max="9739" width="14.28515625" customWidth="1"/>
    <col min="9740" max="9740" width="14.7109375" bestFit="1" customWidth="1"/>
    <col min="9741" max="9741" width="14.7109375" customWidth="1"/>
    <col min="9742" max="9742" width="18.140625" customWidth="1"/>
    <col min="9986" max="9986" width="55.140625" customWidth="1"/>
    <col min="9987" max="9987" width="18.28515625" customWidth="1"/>
    <col min="9993" max="9993" width="10" bestFit="1" customWidth="1"/>
    <col min="9995" max="9995" width="14.28515625" customWidth="1"/>
    <col min="9996" max="9996" width="14.7109375" bestFit="1" customWidth="1"/>
    <col min="9997" max="9997" width="14.7109375" customWidth="1"/>
    <col min="9998" max="9998" width="18.140625" customWidth="1"/>
    <col min="10242" max="10242" width="55.140625" customWidth="1"/>
    <col min="10243" max="10243" width="18.28515625" customWidth="1"/>
    <col min="10249" max="10249" width="10" bestFit="1" customWidth="1"/>
    <col min="10251" max="10251" width="14.28515625" customWidth="1"/>
    <col min="10252" max="10252" width="14.7109375" bestFit="1" customWidth="1"/>
    <col min="10253" max="10253" width="14.7109375" customWidth="1"/>
    <col min="10254" max="10254" width="18.140625" customWidth="1"/>
    <col min="10498" max="10498" width="55.140625" customWidth="1"/>
    <col min="10499" max="10499" width="18.28515625" customWidth="1"/>
    <col min="10505" max="10505" width="10" bestFit="1" customWidth="1"/>
    <col min="10507" max="10507" width="14.28515625" customWidth="1"/>
    <col min="10508" max="10508" width="14.7109375" bestFit="1" customWidth="1"/>
    <col min="10509" max="10509" width="14.7109375" customWidth="1"/>
    <col min="10510" max="10510" width="18.140625" customWidth="1"/>
    <col min="10754" max="10754" width="55.140625" customWidth="1"/>
    <col min="10755" max="10755" width="18.28515625" customWidth="1"/>
    <col min="10761" max="10761" width="10" bestFit="1" customWidth="1"/>
    <col min="10763" max="10763" width="14.28515625" customWidth="1"/>
    <col min="10764" max="10764" width="14.7109375" bestFit="1" customWidth="1"/>
    <col min="10765" max="10765" width="14.7109375" customWidth="1"/>
    <col min="10766" max="10766" width="18.140625" customWidth="1"/>
    <col min="11010" max="11010" width="55.140625" customWidth="1"/>
    <col min="11011" max="11011" width="18.28515625" customWidth="1"/>
    <col min="11017" max="11017" width="10" bestFit="1" customWidth="1"/>
    <col min="11019" max="11019" width="14.28515625" customWidth="1"/>
    <col min="11020" max="11020" width="14.7109375" bestFit="1" customWidth="1"/>
    <col min="11021" max="11021" width="14.7109375" customWidth="1"/>
    <col min="11022" max="11022" width="18.140625" customWidth="1"/>
    <col min="11266" max="11266" width="55.140625" customWidth="1"/>
    <col min="11267" max="11267" width="18.28515625" customWidth="1"/>
    <col min="11273" max="11273" width="10" bestFit="1" customWidth="1"/>
    <col min="11275" max="11275" width="14.28515625" customWidth="1"/>
    <col min="11276" max="11276" width="14.7109375" bestFit="1" customWidth="1"/>
    <col min="11277" max="11277" width="14.7109375" customWidth="1"/>
    <col min="11278" max="11278" width="18.140625" customWidth="1"/>
    <col min="11522" max="11522" width="55.140625" customWidth="1"/>
    <col min="11523" max="11523" width="18.28515625" customWidth="1"/>
    <col min="11529" max="11529" width="10" bestFit="1" customWidth="1"/>
    <col min="11531" max="11531" width="14.28515625" customWidth="1"/>
    <col min="11532" max="11532" width="14.7109375" bestFit="1" customWidth="1"/>
    <col min="11533" max="11533" width="14.7109375" customWidth="1"/>
    <col min="11534" max="11534" width="18.140625" customWidth="1"/>
    <col min="11778" max="11778" width="55.140625" customWidth="1"/>
    <col min="11779" max="11779" width="18.28515625" customWidth="1"/>
    <col min="11785" max="11785" width="10" bestFit="1" customWidth="1"/>
    <col min="11787" max="11787" width="14.28515625" customWidth="1"/>
    <col min="11788" max="11788" width="14.7109375" bestFit="1" customWidth="1"/>
    <col min="11789" max="11789" width="14.7109375" customWidth="1"/>
    <col min="11790" max="11790" width="18.140625" customWidth="1"/>
    <col min="12034" max="12034" width="55.140625" customWidth="1"/>
    <col min="12035" max="12035" width="18.28515625" customWidth="1"/>
    <col min="12041" max="12041" width="10" bestFit="1" customWidth="1"/>
    <col min="12043" max="12043" width="14.28515625" customWidth="1"/>
    <col min="12044" max="12044" width="14.7109375" bestFit="1" customWidth="1"/>
    <col min="12045" max="12045" width="14.7109375" customWidth="1"/>
    <col min="12046" max="12046" width="18.140625" customWidth="1"/>
    <col min="12290" max="12290" width="55.140625" customWidth="1"/>
    <col min="12291" max="12291" width="18.28515625" customWidth="1"/>
    <col min="12297" max="12297" width="10" bestFit="1" customWidth="1"/>
    <col min="12299" max="12299" width="14.28515625" customWidth="1"/>
    <col min="12300" max="12300" width="14.7109375" bestFit="1" customWidth="1"/>
    <col min="12301" max="12301" width="14.7109375" customWidth="1"/>
    <col min="12302" max="12302" width="18.140625" customWidth="1"/>
    <col min="12546" max="12546" width="55.140625" customWidth="1"/>
    <col min="12547" max="12547" width="18.28515625" customWidth="1"/>
    <col min="12553" max="12553" width="10" bestFit="1" customWidth="1"/>
    <col min="12555" max="12555" width="14.28515625" customWidth="1"/>
    <col min="12556" max="12556" width="14.7109375" bestFit="1" customWidth="1"/>
    <col min="12557" max="12557" width="14.7109375" customWidth="1"/>
    <col min="12558" max="12558" width="18.140625" customWidth="1"/>
    <col min="12802" max="12802" width="55.140625" customWidth="1"/>
    <col min="12803" max="12803" width="18.28515625" customWidth="1"/>
    <col min="12809" max="12809" width="10" bestFit="1" customWidth="1"/>
    <col min="12811" max="12811" width="14.28515625" customWidth="1"/>
    <col min="12812" max="12812" width="14.7109375" bestFit="1" customWidth="1"/>
    <col min="12813" max="12813" width="14.7109375" customWidth="1"/>
    <col min="12814" max="12814" width="18.140625" customWidth="1"/>
    <col min="13058" max="13058" width="55.140625" customWidth="1"/>
    <col min="13059" max="13059" width="18.28515625" customWidth="1"/>
    <col min="13065" max="13065" width="10" bestFit="1" customWidth="1"/>
    <col min="13067" max="13067" width="14.28515625" customWidth="1"/>
    <col min="13068" max="13068" width="14.7109375" bestFit="1" customWidth="1"/>
    <col min="13069" max="13069" width="14.7109375" customWidth="1"/>
    <col min="13070" max="13070" width="18.140625" customWidth="1"/>
    <col min="13314" max="13314" width="55.140625" customWidth="1"/>
    <col min="13315" max="13315" width="18.28515625" customWidth="1"/>
    <col min="13321" max="13321" width="10" bestFit="1" customWidth="1"/>
    <col min="13323" max="13323" width="14.28515625" customWidth="1"/>
    <col min="13324" max="13324" width="14.7109375" bestFit="1" customWidth="1"/>
    <col min="13325" max="13325" width="14.7109375" customWidth="1"/>
    <col min="13326" max="13326" width="18.140625" customWidth="1"/>
    <col min="13570" max="13570" width="55.140625" customWidth="1"/>
    <col min="13571" max="13571" width="18.28515625" customWidth="1"/>
    <col min="13577" max="13577" width="10" bestFit="1" customWidth="1"/>
    <col min="13579" max="13579" width="14.28515625" customWidth="1"/>
    <col min="13580" max="13580" width="14.7109375" bestFit="1" customWidth="1"/>
    <col min="13581" max="13581" width="14.7109375" customWidth="1"/>
    <col min="13582" max="13582" width="18.140625" customWidth="1"/>
    <col min="13826" max="13826" width="55.140625" customWidth="1"/>
    <col min="13827" max="13827" width="18.28515625" customWidth="1"/>
    <col min="13833" max="13833" width="10" bestFit="1" customWidth="1"/>
    <col min="13835" max="13835" width="14.28515625" customWidth="1"/>
    <col min="13836" max="13836" width="14.7109375" bestFit="1" customWidth="1"/>
    <col min="13837" max="13837" width="14.7109375" customWidth="1"/>
    <col min="13838" max="13838" width="18.140625" customWidth="1"/>
    <col min="14082" max="14082" width="55.140625" customWidth="1"/>
    <col min="14083" max="14083" width="18.28515625" customWidth="1"/>
    <col min="14089" max="14089" width="10" bestFit="1" customWidth="1"/>
    <col min="14091" max="14091" width="14.28515625" customWidth="1"/>
    <col min="14092" max="14092" width="14.7109375" bestFit="1" customWidth="1"/>
    <col min="14093" max="14093" width="14.7109375" customWidth="1"/>
    <col min="14094" max="14094" width="18.140625" customWidth="1"/>
    <col min="14338" max="14338" width="55.140625" customWidth="1"/>
    <col min="14339" max="14339" width="18.28515625" customWidth="1"/>
    <col min="14345" max="14345" width="10" bestFit="1" customWidth="1"/>
    <col min="14347" max="14347" width="14.28515625" customWidth="1"/>
    <col min="14348" max="14348" width="14.7109375" bestFit="1" customWidth="1"/>
    <col min="14349" max="14349" width="14.7109375" customWidth="1"/>
    <col min="14350" max="14350" width="18.140625" customWidth="1"/>
    <col min="14594" max="14594" width="55.140625" customWidth="1"/>
    <col min="14595" max="14595" width="18.28515625" customWidth="1"/>
    <col min="14601" max="14601" width="10" bestFit="1" customWidth="1"/>
    <col min="14603" max="14603" width="14.28515625" customWidth="1"/>
    <col min="14604" max="14604" width="14.7109375" bestFit="1" customWidth="1"/>
    <col min="14605" max="14605" width="14.7109375" customWidth="1"/>
    <col min="14606" max="14606" width="18.140625" customWidth="1"/>
    <col min="14850" max="14850" width="55.140625" customWidth="1"/>
    <col min="14851" max="14851" width="18.28515625" customWidth="1"/>
    <col min="14857" max="14857" width="10" bestFit="1" customWidth="1"/>
    <col min="14859" max="14859" width="14.28515625" customWidth="1"/>
    <col min="14860" max="14860" width="14.7109375" bestFit="1" customWidth="1"/>
    <col min="14861" max="14861" width="14.7109375" customWidth="1"/>
    <col min="14862" max="14862" width="18.140625" customWidth="1"/>
    <col min="15106" max="15106" width="55.140625" customWidth="1"/>
    <col min="15107" max="15107" width="18.28515625" customWidth="1"/>
    <col min="15113" max="15113" width="10" bestFit="1" customWidth="1"/>
    <col min="15115" max="15115" width="14.28515625" customWidth="1"/>
    <col min="15116" max="15116" width="14.7109375" bestFit="1" customWidth="1"/>
    <col min="15117" max="15117" width="14.7109375" customWidth="1"/>
    <col min="15118" max="15118" width="18.140625" customWidth="1"/>
    <col min="15362" max="15362" width="55.140625" customWidth="1"/>
    <col min="15363" max="15363" width="18.28515625" customWidth="1"/>
    <col min="15369" max="15369" width="10" bestFit="1" customWidth="1"/>
    <col min="15371" max="15371" width="14.28515625" customWidth="1"/>
    <col min="15372" max="15372" width="14.7109375" bestFit="1" customWidth="1"/>
    <col min="15373" max="15373" width="14.7109375" customWidth="1"/>
    <col min="15374" max="15374" width="18.140625" customWidth="1"/>
    <col min="15618" max="15618" width="55.140625" customWidth="1"/>
    <col min="15619" max="15619" width="18.28515625" customWidth="1"/>
    <col min="15625" max="15625" width="10" bestFit="1" customWidth="1"/>
    <col min="15627" max="15627" width="14.28515625" customWidth="1"/>
    <col min="15628" max="15628" width="14.7109375" bestFit="1" customWidth="1"/>
    <col min="15629" max="15629" width="14.7109375" customWidth="1"/>
    <col min="15630" max="15630" width="18.140625" customWidth="1"/>
    <col min="15874" max="15874" width="55.140625" customWidth="1"/>
    <col min="15875" max="15875" width="18.28515625" customWidth="1"/>
    <col min="15881" max="15881" width="10" bestFit="1" customWidth="1"/>
    <col min="15883" max="15883" width="14.28515625" customWidth="1"/>
    <col min="15884" max="15884" width="14.7109375" bestFit="1" customWidth="1"/>
    <col min="15885" max="15885" width="14.7109375" customWidth="1"/>
    <col min="15886" max="15886" width="18.140625" customWidth="1"/>
    <col min="16130" max="16130" width="55.140625" customWidth="1"/>
    <col min="16131" max="16131" width="18.28515625" customWidth="1"/>
    <col min="16137" max="16137" width="10" bestFit="1" customWidth="1"/>
    <col min="16139" max="16139" width="14.28515625" customWidth="1"/>
    <col min="16140" max="16140" width="14.7109375" bestFit="1" customWidth="1"/>
    <col min="16141" max="16141" width="14.7109375" customWidth="1"/>
    <col min="16142" max="16142" width="18.140625" customWidth="1"/>
  </cols>
  <sheetData>
    <row r="1" spans="1:13" ht="75.75" customHeight="1" x14ac:dyDescent="0.25">
      <c r="A1" s="463" t="s">
        <v>706</v>
      </c>
      <c r="B1" s="463"/>
      <c r="C1" s="463"/>
    </row>
    <row r="2" spans="1:13" ht="18.75" customHeight="1" x14ac:dyDescent="0.25">
      <c r="A2" s="377"/>
      <c r="B2" s="377"/>
      <c r="C2" s="378" t="s">
        <v>707</v>
      </c>
      <c r="K2" s="379"/>
      <c r="L2" s="379"/>
      <c r="M2" s="379"/>
    </row>
    <row r="3" spans="1:13" x14ac:dyDescent="0.25">
      <c r="A3" s="380" t="s">
        <v>708</v>
      </c>
      <c r="B3" s="380" t="s">
        <v>128</v>
      </c>
      <c r="C3" s="380" t="s">
        <v>615</v>
      </c>
    </row>
    <row r="4" spans="1:13" x14ac:dyDescent="0.25">
      <c r="A4" s="381" t="s">
        <v>709</v>
      </c>
      <c r="B4" s="12" t="s">
        <v>710</v>
      </c>
      <c r="C4" s="13">
        <f>+'[5]1A. Fő bev'!F11+'[5]1A. Fő bev'!F12+'[5]1A. Fő bev'!F14+'[5]1A. Fő bev'!F15-'[5]2A Önk bev'!F31</f>
        <v>3569000000</v>
      </c>
      <c r="K4" s="382"/>
      <c r="L4" s="382"/>
      <c r="M4" s="382"/>
    </row>
    <row r="5" spans="1:13" x14ac:dyDescent="0.25">
      <c r="A5" s="381" t="s">
        <v>711</v>
      </c>
      <c r="B5" s="12" t="s">
        <v>712</v>
      </c>
      <c r="C5" s="13">
        <f>+'[5]1A. Fő bev'!F20</f>
        <v>34245000</v>
      </c>
      <c r="K5" s="379"/>
      <c r="L5" s="379"/>
      <c r="M5" s="379"/>
    </row>
    <row r="6" spans="1:13" x14ac:dyDescent="0.25">
      <c r="A6" s="381" t="s">
        <v>713</v>
      </c>
      <c r="B6" s="12" t="s">
        <v>714</v>
      </c>
      <c r="C6" s="13">
        <f>+'[5]1A. Fő bev'!F16</f>
        <v>0</v>
      </c>
    </row>
    <row r="7" spans="1:13" ht="30" x14ac:dyDescent="0.25">
      <c r="A7" s="381" t="s">
        <v>715</v>
      </c>
      <c r="B7" s="12" t="s">
        <v>716</v>
      </c>
      <c r="C7" s="13">
        <f>+'[5]1A. Fő bev'!F34</f>
        <v>110000000</v>
      </c>
      <c r="M7" s="379"/>
    </row>
    <row r="8" spans="1:13" ht="30" x14ac:dyDescent="0.25">
      <c r="A8" s="381" t="s">
        <v>717</v>
      </c>
      <c r="B8" s="12" t="s">
        <v>718</v>
      </c>
      <c r="C8" s="13"/>
    </row>
    <row r="9" spans="1:13" x14ac:dyDescent="0.25">
      <c r="A9" s="381" t="s">
        <v>719</v>
      </c>
      <c r="B9" s="12" t="s">
        <v>720</v>
      </c>
      <c r="C9" s="13"/>
      <c r="M9" s="382"/>
    </row>
    <row r="10" spans="1:13" x14ac:dyDescent="0.25">
      <c r="A10" s="381" t="s">
        <v>721</v>
      </c>
      <c r="B10" s="12" t="s">
        <v>722</v>
      </c>
      <c r="C10" s="13"/>
      <c r="M10" s="379"/>
    </row>
    <row r="11" spans="1:13" x14ac:dyDescent="0.25">
      <c r="A11" s="383" t="s">
        <v>723</v>
      </c>
      <c r="B11" s="384" t="s">
        <v>724</v>
      </c>
      <c r="C11" s="385">
        <f>SUM(C4:C10)</f>
        <v>3713245000</v>
      </c>
    </row>
    <row r="12" spans="1:13" x14ac:dyDescent="0.25">
      <c r="A12" s="386" t="s">
        <v>725</v>
      </c>
      <c r="B12" s="387" t="s">
        <v>726</v>
      </c>
      <c r="C12" s="388">
        <f>C11*0.5</f>
        <v>1856622500</v>
      </c>
      <c r="M12" s="379"/>
    </row>
    <row r="13" spans="1:13" ht="25.5" x14ac:dyDescent="0.25">
      <c r="A13" s="383" t="s">
        <v>727</v>
      </c>
      <c r="B13" s="384" t="s">
        <v>728</v>
      </c>
      <c r="C13" s="385">
        <f>SUM(C14:C21)</f>
        <v>203677000</v>
      </c>
    </row>
    <row r="14" spans="1:13" x14ac:dyDescent="0.25">
      <c r="A14" s="381" t="s">
        <v>729</v>
      </c>
      <c r="B14" s="389" t="s">
        <v>730</v>
      </c>
      <c r="C14" s="137">
        <f>+'[5]2C Önk bev kiad fel'!E220+23032000</f>
        <v>203677000</v>
      </c>
      <c r="M14" s="382"/>
    </row>
    <row r="15" spans="1:13" x14ac:dyDescent="0.25">
      <c r="A15" s="381" t="s">
        <v>731</v>
      </c>
      <c r="B15" s="389" t="s">
        <v>732</v>
      </c>
      <c r="C15" s="13"/>
      <c r="M15" s="379"/>
    </row>
    <row r="16" spans="1:13" ht="30" x14ac:dyDescent="0.25">
      <c r="A16" s="381" t="s">
        <v>733</v>
      </c>
      <c r="B16" s="389" t="s">
        <v>734</v>
      </c>
      <c r="C16" s="13"/>
    </row>
    <row r="17" spans="1:14" x14ac:dyDescent="0.25">
      <c r="A17" s="381" t="s">
        <v>735</v>
      </c>
      <c r="B17" s="389" t="s">
        <v>736</v>
      </c>
      <c r="C17" s="13"/>
      <c r="M17" s="379"/>
      <c r="N17" s="379"/>
    </row>
    <row r="18" spans="1:14" x14ac:dyDescent="0.25">
      <c r="A18" s="381" t="s">
        <v>737</v>
      </c>
      <c r="B18" s="389" t="s">
        <v>738</v>
      </c>
      <c r="C18" s="13"/>
    </row>
    <row r="19" spans="1:14" x14ac:dyDescent="0.25">
      <c r="A19" s="381" t="s">
        <v>739</v>
      </c>
      <c r="B19" s="389" t="s">
        <v>740</v>
      </c>
      <c r="C19" s="13"/>
    </row>
    <row r="20" spans="1:14" x14ac:dyDescent="0.25">
      <c r="A20" s="381" t="s">
        <v>741</v>
      </c>
      <c r="B20" s="389" t="s">
        <v>742</v>
      </c>
      <c r="C20" s="13"/>
      <c r="M20" s="382"/>
      <c r="N20" s="382"/>
    </row>
    <row r="21" spans="1:14" ht="30" x14ac:dyDescent="0.25">
      <c r="A21" s="381" t="s">
        <v>743</v>
      </c>
      <c r="B21" s="389" t="s">
        <v>744</v>
      </c>
      <c r="C21" s="390"/>
      <c r="M21" s="379"/>
      <c r="N21" s="379"/>
    </row>
    <row r="22" spans="1:14" ht="25.5" x14ac:dyDescent="0.25">
      <c r="A22" s="383">
        <v>19</v>
      </c>
      <c r="B22" s="391" t="s">
        <v>745</v>
      </c>
      <c r="C22" s="385">
        <f>SUM(C23:C30)</f>
        <v>19645000</v>
      </c>
      <c r="N22" s="392"/>
    </row>
    <row r="23" spans="1:14" x14ac:dyDescent="0.25">
      <c r="A23" s="381" t="s">
        <v>746</v>
      </c>
      <c r="B23" s="389" t="s">
        <v>730</v>
      </c>
      <c r="C23" s="13"/>
    </row>
    <row r="24" spans="1:14" x14ac:dyDescent="0.25">
      <c r="A24" s="381" t="s">
        <v>747</v>
      </c>
      <c r="B24" s="389" t="s">
        <v>732</v>
      </c>
      <c r="C24" s="13"/>
    </row>
    <row r="25" spans="1:14" ht="30" x14ac:dyDescent="0.25">
      <c r="A25" s="381" t="s">
        <v>748</v>
      </c>
      <c r="B25" s="389" t="s">
        <v>734</v>
      </c>
      <c r="C25" s="13"/>
    </row>
    <row r="26" spans="1:14" x14ac:dyDescent="0.25">
      <c r="A26" s="381" t="s">
        <v>749</v>
      </c>
      <c r="B26" s="389" t="s">
        <v>736</v>
      </c>
      <c r="C26" s="13"/>
    </row>
    <row r="27" spans="1:14" x14ac:dyDescent="0.25">
      <c r="A27" s="381" t="s">
        <v>750</v>
      </c>
      <c r="B27" s="389" t="s">
        <v>738</v>
      </c>
      <c r="C27" s="13">
        <f>+'[5]7. Fejlesztések'!D9+'[5]7. Fejlesztések'!E9</f>
        <v>19645000</v>
      </c>
    </row>
    <row r="28" spans="1:14" x14ac:dyDescent="0.25">
      <c r="A28" s="381" t="s">
        <v>751</v>
      </c>
      <c r="B28" s="389" t="s">
        <v>740</v>
      </c>
      <c r="C28" s="13"/>
    </row>
    <row r="29" spans="1:14" x14ac:dyDescent="0.25">
      <c r="A29" s="381" t="s">
        <v>752</v>
      </c>
      <c r="B29" s="389" t="s">
        <v>742</v>
      </c>
      <c r="C29" s="13"/>
    </row>
    <row r="30" spans="1:14" ht="30" x14ac:dyDescent="0.25">
      <c r="A30" s="381" t="s">
        <v>753</v>
      </c>
      <c r="B30" s="389" t="s">
        <v>744</v>
      </c>
      <c r="C30" s="13"/>
    </row>
    <row r="31" spans="1:14" x14ac:dyDescent="0.25">
      <c r="A31" s="386">
        <v>28</v>
      </c>
      <c r="B31" s="387" t="s">
        <v>754</v>
      </c>
      <c r="C31" s="388">
        <f>C13+C22</f>
        <v>223322000</v>
      </c>
    </row>
    <row r="32" spans="1:14" x14ac:dyDescent="0.25">
      <c r="A32" s="393">
        <v>29</v>
      </c>
      <c r="B32" s="394" t="s">
        <v>755</v>
      </c>
      <c r="C32" s="395">
        <f>C12-C31</f>
        <v>1633300500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&amp;L8. melléklet a 2/2020. (III.16.) önkormányzati rendelethez</oddHeader>
    <oddFooter>&amp;C&amp;P</oddFooter>
  </headerFooter>
  <colBreaks count="1" manualBreakCount="1">
    <brk id="3" max="2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C410-7124-462F-8ECD-CE54CD222C2B}">
  <sheetPr>
    <pageSetUpPr fitToPage="1"/>
  </sheetPr>
  <dimension ref="A1:I7"/>
  <sheetViews>
    <sheetView tabSelected="1" view="pageLayout" zoomScaleNormal="100" zoomScaleSheetLayoutView="80" workbookViewId="0">
      <selection activeCell="A2" sqref="A2:A3"/>
    </sheetView>
  </sheetViews>
  <sheetFormatPr defaultRowHeight="15" x14ac:dyDescent="0.25"/>
  <cols>
    <col min="1" max="1" width="20.28515625" customWidth="1"/>
    <col min="2" max="2" width="14.7109375" style="379" bestFit="1" customWidth="1"/>
    <col min="3" max="3" width="16.28515625" style="379" customWidth="1"/>
    <col min="4" max="4" width="14.7109375" style="379" bestFit="1" customWidth="1"/>
    <col min="5" max="5" width="15.7109375" style="379" customWidth="1"/>
    <col min="6" max="6" width="14.7109375" style="379" bestFit="1" customWidth="1"/>
    <col min="7" max="7" width="13.28515625" style="379" customWidth="1"/>
    <col min="8" max="8" width="15.7109375" style="379" bestFit="1" customWidth="1"/>
    <col min="9" max="9" width="17" style="396" bestFit="1" customWidth="1"/>
    <col min="257" max="257" width="20.28515625" customWidth="1"/>
    <col min="258" max="258" width="14.7109375" bestFit="1" customWidth="1"/>
    <col min="259" max="259" width="16.28515625" customWidth="1"/>
    <col min="260" max="260" width="14.7109375" bestFit="1" customWidth="1"/>
    <col min="261" max="261" width="15.7109375" customWidth="1"/>
    <col min="262" max="262" width="14.7109375" bestFit="1" customWidth="1"/>
    <col min="263" max="263" width="13.28515625" customWidth="1"/>
    <col min="264" max="264" width="15.7109375" bestFit="1" customWidth="1"/>
    <col min="265" max="265" width="17" bestFit="1" customWidth="1"/>
    <col min="513" max="513" width="20.28515625" customWidth="1"/>
    <col min="514" max="514" width="14.7109375" bestFit="1" customWidth="1"/>
    <col min="515" max="515" width="16.28515625" customWidth="1"/>
    <col min="516" max="516" width="14.7109375" bestFit="1" customWidth="1"/>
    <col min="517" max="517" width="15.7109375" customWidth="1"/>
    <col min="518" max="518" width="14.7109375" bestFit="1" customWidth="1"/>
    <col min="519" max="519" width="13.28515625" customWidth="1"/>
    <col min="520" max="520" width="15.7109375" bestFit="1" customWidth="1"/>
    <col min="521" max="521" width="17" bestFit="1" customWidth="1"/>
    <col min="769" max="769" width="20.28515625" customWidth="1"/>
    <col min="770" max="770" width="14.7109375" bestFit="1" customWidth="1"/>
    <col min="771" max="771" width="16.28515625" customWidth="1"/>
    <col min="772" max="772" width="14.7109375" bestFit="1" customWidth="1"/>
    <col min="773" max="773" width="15.7109375" customWidth="1"/>
    <col min="774" max="774" width="14.7109375" bestFit="1" customWidth="1"/>
    <col min="775" max="775" width="13.28515625" customWidth="1"/>
    <col min="776" max="776" width="15.7109375" bestFit="1" customWidth="1"/>
    <col min="777" max="777" width="17" bestFit="1" customWidth="1"/>
    <col min="1025" max="1025" width="20.28515625" customWidth="1"/>
    <col min="1026" max="1026" width="14.7109375" bestFit="1" customWidth="1"/>
    <col min="1027" max="1027" width="16.28515625" customWidth="1"/>
    <col min="1028" max="1028" width="14.7109375" bestFit="1" customWidth="1"/>
    <col min="1029" max="1029" width="15.7109375" customWidth="1"/>
    <col min="1030" max="1030" width="14.7109375" bestFit="1" customWidth="1"/>
    <col min="1031" max="1031" width="13.28515625" customWidth="1"/>
    <col min="1032" max="1032" width="15.7109375" bestFit="1" customWidth="1"/>
    <col min="1033" max="1033" width="17" bestFit="1" customWidth="1"/>
    <col min="1281" max="1281" width="20.28515625" customWidth="1"/>
    <col min="1282" max="1282" width="14.7109375" bestFit="1" customWidth="1"/>
    <col min="1283" max="1283" width="16.28515625" customWidth="1"/>
    <col min="1284" max="1284" width="14.7109375" bestFit="1" customWidth="1"/>
    <col min="1285" max="1285" width="15.7109375" customWidth="1"/>
    <col min="1286" max="1286" width="14.7109375" bestFit="1" customWidth="1"/>
    <col min="1287" max="1287" width="13.28515625" customWidth="1"/>
    <col min="1288" max="1288" width="15.7109375" bestFit="1" customWidth="1"/>
    <col min="1289" max="1289" width="17" bestFit="1" customWidth="1"/>
    <col min="1537" max="1537" width="20.28515625" customWidth="1"/>
    <col min="1538" max="1538" width="14.7109375" bestFit="1" customWidth="1"/>
    <col min="1539" max="1539" width="16.28515625" customWidth="1"/>
    <col min="1540" max="1540" width="14.7109375" bestFit="1" customWidth="1"/>
    <col min="1541" max="1541" width="15.7109375" customWidth="1"/>
    <col min="1542" max="1542" width="14.7109375" bestFit="1" customWidth="1"/>
    <col min="1543" max="1543" width="13.28515625" customWidth="1"/>
    <col min="1544" max="1544" width="15.7109375" bestFit="1" customWidth="1"/>
    <col min="1545" max="1545" width="17" bestFit="1" customWidth="1"/>
    <col min="1793" max="1793" width="20.28515625" customWidth="1"/>
    <col min="1794" max="1794" width="14.7109375" bestFit="1" customWidth="1"/>
    <col min="1795" max="1795" width="16.28515625" customWidth="1"/>
    <col min="1796" max="1796" width="14.7109375" bestFit="1" customWidth="1"/>
    <col min="1797" max="1797" width="15.7109375" customWidth="1"/>
    <col min="1798" max="1798" width="14.7109375" bestFit="1" customWidth="1"/>
    <col min="1799" max="1799" width="13.28515625" customWidth="1"/>
    <col min="1800" max="1800" width="15.7109375" bestFit="1" customWidth="1"/>
    <col min="1801" max="1801" width="17" bestFit="1" customWidth="1"/>
    <col min="2049" max="2049" width="20.28515625" customWidth="1"/>
    <col min="2050" max="2050" width="14.7109375" bestFit="1" customWidth="1"/>
    <col min="2051" max="2051" width="16.28515625" customWidth="1"/>
    <col min="2052" max="2052" width="14.7109375" bestFit="1" customWidth="1"/>
    <col min="2053" max="2053" width="15.7109375" customWidth="1"/>
    <col min="2054" max="2054" width="14.7109375" bestFit="1" customWidth="1"/>
    <col min="2055" max="2055" width="13.28515625" customWidth="1"/>
    <col min="2056" max="2056" width="15.7109375" bestFit="1" customWidth="1"/>
    <col min="2057" max="2057" width="17" bestFit="1" customWidth="1"/>
    <col min="2305" max="2305" width="20.28515625" customWidth="1"/>
    <col min="2306" max="2306" width="14.7109375" bestFit="1" customWidth="1"/>
    <col min="2307" max="2307" width="16.28515625" customWidth="1"/>
    <col min="2308" max="2308" width="14.7109375" bestFit="1" customWidth="1"/>
    <col min="2309" max="2309" width="15.7109375" customWidth="1"/>
    <col min="2310" max="2310" width="14.7109375" bestFit="1" customWidth="1"/>
    <col min="2311" max="2311" width="13.28515625" customWidth="1"/>
    <col min="2312" max="2312" width="15.7109375" bestFit="1" customWidth="1"/>
    <col min="2313" max="2313" width="17" bestFit="1" customWidth="1"/>
    <col min="2561" max="2561" width="20.28515625" customWidth="1"/>
    <col min="2562" max="2562" width="14.7109375" bestFit="1" customWidth="1"/>
    <col min="2563" max="2563" width="16.28515625" customWidth="1"/>
    <col min="2564" max="2564" width="14.7109375" bestFit="1" customWidth="1"/>
    <col min="2565" max="2565" width="15.7109375" customWidth="1"/>
    <col min="2566" max="2566" width="14.7109375" bestFit="1" customWidth="1"/>
    <col min="2567" max="2567" width="13.28515625" customWidth="1"/>
    <col min="2568" max="2568" width="15.7109375" bestFit="1" customWidth="1"/>
    <col min="2569" max="2569" width="17" bestFit="1" customWidth="1"/>
    <col min="2817" max="2817" width="20.28515625" customWidth="1"/>
    <col min="2818" max="2818" width="14.7109375" bestFit="1" customWidth="1"/>
    <col min="2819" max="2819" width="16.28515625" customWidth="1"/>
    <col min="2820" max="2820" width="14.7109375" bestFit="1" customWidth="1"/>
    <col min="2821" max="2821" width="15.7109375" customWidth="1"/>
    <col min="2822" max="2822" width="14.7109375" bestFit="1" customWidth="1"/>
    <col min="2823" max="2823" width="13.28515625" customWidth="1"/>
    <col min="2824" max="2824" width="15.7109375" bestFit="1" customWidth="1"/>
    <col min="2825" max="2825" width="17" bestFit="1" customWidth="1"/>
    <col min="3073" max="3073" width="20.28515625" customWidth="1"/>
    <col min="3074" max="3074" width="14.7109375" bestFit="1" customWidth="1"/>
    <col min="3075" max="3075" width="16.28515625" customWidth="1"/>
    <col min="3076" max="3076" width="14.7109375" bestFit="1" customWidth="1"/>
    <col min="3077" max="3077" width="15.7109375" customWidth="1"/>
    <col min="3078" max="3078" width="14.7109375" bestFit="1" customWidth="1"/>
    <col min="3079" max="3079" width="13.28515625" customWidth="1"/>
    <col min="3080" max="3080" width="15.7109375" bestFit="1" customWidth="1"/>
    <col min="3081" max="3081" width="17" bestFit="1" customWidth="1"/>
    <col min="3329" max="3329" width="20.28515625" customWidth="1"/>
    <col min="3330" max="3330" width="14.7109375" bestFit="1" customWidth="1"/>
    <col min="3331" max="3331" width="16.28515625" customWidth="1"/>
    <col min="3332" max="3332" width="14.7109375" bestFit="1" customWidth="1"/>
    <col min="3333" max="3333" width="15.7109375" customWidth="1"/>
    <col min="3334" max="3334" width="14.7109375" bestFit="1" customWidth="1"/>
    <col min="3335" max="3335" width="13.28515625" customWidth="1"/>
    <col min="3336" max="3336" width="15.7109375" bestFit="1" customWidth="1"/>
    <col min="3337" max="3337" width="17" bestFit="1" customWidth="1"/>
    <col min="3585" max="3585" width="20.28515625" customWidth="1"/>
    <col min="3586" max="3586" width="14.7109375" bestFit="1" customWidth="1"/>
    <col min="3587" max="3587" width="16.28515625" customWidth="1"/>
    <col min="3588" max="3588" width="14.7109375" bestFit="1" customWidth="1"/>
    <col min="3589" max="3589" width="15.7109375" customWidth="1"/>
    <col min="3590" max="3590" width="14.7109375" bestFit="1" customWidth="1"/>
    <col min="3591" max="3591" width="13.28515625" customWidth="1"/>
    <col min="3592" max="3592" width="15.7109375" bestFit="1" customWidth="1"/>
    <col min="3593" max="3593" width="17" bestFit="1" customWidth="1"/>
    <col min="3841" max="3841" width="20.28515625" customWidth="1"/>
    <col min="3842" max="3842" width="14.7109375" bestFit="1" customWidth="1"/>
    <col min="3843" max="3843" width="16.28515625" customWidth="1"/>
    <col min="3844" max="3844" width="14.7109375" bestFit="1" customWidth="1"/>
    <col min="3845" max="3845" width="15.7109375" customWidth="1"/>
    <col min="3846" max="3846" width="14.7109375" bestFit="1" customWidth="1"/>
    <col min="3847" max="3847" width="13.28515625" customWidth="1"/>
    <col min="3848" max="3848" width="15.7109375" bestFit="1" customWidth="1"/>
    <col min="3849" max="3849" width="17" bestFit="1" customWidth="1"/>
    <col min="4097" max="4097" width="20.28515625" customWidth="1"/>
    <col min="4098" max="4098" width="14.7109375" bestFit="1" customWidth="1"/>
    <col min="4099" max="4099" width="16.28515625" customWidth="1"/>
    <col min="4100" max="4100" width="14.7109375" bestFit="1" customWidth="1"/>
    <col min="4101" max="4101" width="15.7109375" customWidth="1"/>
    <col min="4102" max="4102" width="14.7109375" bestFit="1" customWidth="1"/>
    <col min="4103" max="4103" width="13.28515625" customWidth="1"/>
    <col min="4104" max="4104" width="15.7109375" bestFit="1" customWidth="1"/>
    <col min="4105" max="4105" width="17" bestFit="1" customWidth="1"/>
    <col min="4353" max="4353" width="20.28515625" customWidth="1"/>
    <col min="4354" max="4354" width="14.7109375" bestFit="1" customWidth="1"/>
    <col min="4355" max="4355" width="16.28515625" customWidth="1"/>
    <col min="4356" max="4356" width="14.7109375" bestFit="1" customWidth="1"/>
    <col min="4357" max="4357" width="15.7109375" customWidth="1"/>
    <col min="4358" max="4358" width="14.7109375" bestFit="1" customWidth="1"/>
    <col min="4359" max="4359" width="13.28515625" customWidth="1"/>
    <col min="4360" max="4360" width="15.7109375" bestFit="1" customWidth="1"/>
    <col min="4361" max="4361" width="17" bestFit="1" customWidth="1"/>
    <col min="4609" max="4609" width="20.28515625" customWidth="1"/>
    <col min="4610" max="4610" width="14.7109375" bestFit="1" customWidth="1"/>
    <col min="4611" max="4611" width="16.28515625" customWidth="1"/>
    <col min="4612" max="4612" width="14.7109375" bestFit="1" customWidth="1"/>
    <col min="4613" max="4613" width="15.7109375" customWidth="1"/>
    <col min="4614" max="4614" width="14.7109375" bestFit="1" customWidth="1"/>
    <col min="4615" max="4615" width="13.28515625" customWidth="1"/>
    <col min="4616" max="4616" width="15.7109375" bestFit="1" customWidth="1"/>
    <col min="4617" max="4617" width="17" bestFit="1" customWidth="1"/>
    <col min="4865" max="4865" width="20.28515625" customWidth="1"/>
    <col min="4866" max="4866" width="14.7109375" bestFit="1" customWidth="1"/>
    <col min="4867" max="4867" width="16.28515625" customWidth="1"/>
    <col min="4868" max="4868" width="14.7109375" bestFit="1" customWidth="1"/>
    <col min="4869" max="4869" width="15.7109375" customWidth="1"/>
    <col min="4870" max="4870" width="14.7109375" bestFit="1" customWidth="1"/>
    <col min="4871" max="4871" width="13.28515625" customWidth="1"/>
    <col min="4872" max="4872" width="15.7109375" bestFit="1" customWidth="1"/>
    <col min="4873" max="4873" width="17" bestFit="1" customWidth="1"/>
    <col min="5121" max="5121" width="20.28515625" customWidth="1"/>
    <col min="5122" max="5122" width="14.7109375" bestFit="1" customWidth="1"/>
    <col min="5123" max="5123" width="16.28515625" customWidth="1"/>
    <col min="5124" max="5124" width="14.7109375" bestFit="1" customWidth="1"/>
    <col min="5125" max="5125" width="15.7109375" customWidth="1"/>
    <col min="5126" max="5126" width="14.7109375" bestFit="1" customWidth="1"/>
    <col min="5127" max="5127" width="13.28515625" customWidth="1"/>
    <col min="5128" max="5128" width="15.7109375" bestFit="1" customWidth="1"/>
    <col min="5129" max="5129" width="17" bestFit="1" customWidth="1"/>
    <col min="5377" max="5377" width="20.28515625" customWidth="1"/>
    <col min="5378" max="5378" width="14.7109375" bestFit="1" customWidth="1"/>
    <col min="5379" max="5379" width="16.28515625" customWidth="1"/>
    <col min="5380" max="5380" width="14.7109375" bestFit="1" customWidth="1"/>
    <col min="5381" max="5381" width="15.7109375" customWidth="1"/>
    <col min="5382" max="5382" width="14.7109375" bestFit="1" customWidth="1"/>
    <col min="5383" max="5383" width="13.28515625" customWidth="1"/>
    <col min="5384" max="5384" width="15.7109375" bestFit="1" customWidth="1"/>
    <col min="5385" max="5385" width="17" bestFit="1" customWidth="1"/>
    <col min="5633" max="5633" width="20.28515625" customWidth="1"/>
    <col min="5634" max="5634" width="14.7109375" bestFit="1" customWidth="1"/>
    <col min="5635" max="5635" width="16.28515625" customWidth="1"/>
    <col min="5636" max="5636" width="14.7109375" bestFit="1" customWidth="1"/>
    <col min="5637" max="5637" width="15.7109375" customWidth="1"/>
    <col min="5638" max="5638" width="14.7109375" bestFit="1" customWidth="1"/>
    <col min="5639" max="5639" width="13.28515625" customWidth="1"/>
    <col min="5640" max="5640" width="15.7109375" bestFit="1" customWidth="1"/>
    <col min="5641" max="5641" width="17" bestFit="1" customWidth="1"/>
    <col min="5889" max="5889" width="20.28515625" customWidth="1"/>
    <col min="5890" max="5890" width="14.7109375" bestFit="1" customWidth="1"/>
    <col min="5891" max="5891" width="16.28515625" customWidth="1"/>
    <col min="5892" max="5892" width="14.7109375" bestFit="1" customWidth="1"/>
    <col min="5893" max="5893" width="15.7109375" customWidth="1"/>
    <col min="5894" max="5894" width="14.7109375" bestFit="1" customWidth="1"/>
    <col min="5895" max="5895" width="13.28515625" customWidth="1"/>
    <col min="5896" max="5896" width="15.7109375" bestFit="1" customWidth="1"/>
    <col min="5897" max="5897" width="17" bestFit="1" customWidth="1"/>
    <col min="6145" max="6145" width="20.28515625" customWidth="1"/>
    <col min="6146" max="6146" width="14.7109375" bestFit="1" customWidth="1"/>
    <col min="6147" max="6147" width="16.28515625" customWidth="1"/>
    <col min="6148" max="6148" width="14.7109375" bestFit="1" customWidth="1"/>
    <col min="6149" max="6149" width="15.7109375" customWidth="1"/>
    <col min="6150" max="6150" width="14.7109375" bestFit="1" customWidth="1"/>
    <col min="6151" max="6151" width="13.28515625" customWidth="1"/>
    <col min="6152" max="6152" width="15.7109375" bestFit="1" customWidth="1"/>
    <col min="6153" max="6153" width="17" bestFit="1" customWidth="1"/>
    <col min="6401" max="6401" width="20.28515625" customWidth="1"/>
    <col min="6402" max="6402" width="14.7109375" bestFit="1" customWidth="1"/>
    <col min="6403" max="6403" width="16.28515625" customWidth="1"/>
    <col min="6404" max="6404" width="14.7109375" bestFit="1" customWidth="1"/>
    <col min="6405" max="6405" width="15.7109375" customWidth="1"/>
    <col min="6406" max="6406" width="14.7109375" bestFit="1" customWidth="1"/>
    <col min="6407" max="6407" width="13.28515625" customWidth="1"/>
    <col min="6408" max="6408" width="15.7109375" bestFit="1" customWidth="1"/>
    <col min="6409" max="6409" width="17" bestFit="1" customWidth="1"/>
    <col min="6657" max="6657" width="20.28515625" customWidth="1"/>
    <col min="6658" max="6658" width="14.7109375" bestFit="1" customWidth="1"/>
    <col min="6659" max="6659" width="16.28515625" customWidth="1"/>
    <col min="6660" max="6660" width="14.7109375" bestFit="1" customWidth="1"/>
    <col min="6661" max="6661" width="15.7109375" customWidth="1"/>
    <col min="6662" max="6662" width="14.7109375" bestFit="1" customWidth="1"/>
    <col min="6663" max="6663" width="13.28515625" customWidth="1"/>
    <col min="6664" max="6664" width="15.7109375" bestFit="1" customWidth="1"/>
    <col min="6665" max="6665" width="17" bestFit="1" customWidth="1"/>
    <col min="6913" max="6913" width="20.28515625" customWidth="1"/>
    <col min="6914" max="6914" width="14.7109375" bestFit="1" customWidth="1"/>
    <col min="6915" max="6915" width="16.28515625" customWidth="1"/>
    <col min="6916" max="6916" width="14.7109375" bestFit="1" customWidth="1"/>
    <col min="6917" max="6917" width="15.7109375" customWidth="1"/>
    <col min="6918" max="6918" width="14.7109375" bestFit="1" customWidth="1"/>
    <col min="6919" max="6919" width="13.28515625" customWidth="1"/>
    <col min="6920" max="6920" width="15.7109375" bestFit="1" customWidth="1"/>
    <col min="6921" max="6921" width="17" bestFit="1" customWidth="1"/>
    <col min="7169" max="7169" width="20.28515625" customWidth="1"/>
    <col min="7170" max="7170" width="14.7109375" bestFit="1" customWidth="1"/>
    <col min="7171" max="7171" width="16.28515625" customWidth="1"/>
    <col min="7172" max="7172" width="14.7109375" bestFit="1" customWidth="1"/>
    <col min="7173" max="7173" width="15.7109375" customWidth="1"/>
    <col min="7174" max="7174" width="14.7109375" bestFit="1" customWidth="1"/>
    <col min="7175" max="7175" width="13.28515625" customWidth="1"/>
    <col min="7176" max="7176" width="15.7109375" bestFit="1" customWidth="1"/>
    <col min="7177" max="7177" width="17" bestFit="1" customWidth="1"/>
    <col min="7425" max="7425" width="20.28515625" customWidth="1"/>
    <col min="7426" max="7426" width="14.7109375" bestFit="1" customWidth="1"/>
    <col min="7427" max="7427" width="16.28515625" customWidth="1"/>
    <col min="7428" max="7428" width="14.7109375" bestFit="1" customWidth="1"/>
    <col min="7429" max="7429" width="15.7109375" customWidth="1"/>
    <col min="7430" max="7430" width="14.7109375" bestFit="1" customWidth="1"/>
    <col min="7431" max="7431" width="13.28515625" customWidth="1"/>
    <col min="7432" max="7432" width="15.7109375" bestFit="1" customWidth="1"/>
    <col min="7433" max="7433" width="17" bestFit="1" customWidth="1"/>
    <col min="7681" max="7681" width="20.28515625" customWidth="1"/>
    <col min="7682" max="7682" width="14.7109375" bestFit="1" customWidth="1"/>
    <col min="7683" max="7683" width="16.28515625" customWidth="1"/>
    <col min="7684" max="7684" width="14.7109375" bestFit="1" customWidth="1"/>
    <col min="7685" max="7685" width="15.7109375" customWidth="1"/>
    <col min="7686" max="7686" width="14.7109375" bestFit="1" customWidth="1"/>
    <col min="7687" max="7687" width="13.28515625" customWidth="1"/>
    <col min="7688" max="7688" width="15.7109375" bestFit="1" customWidth="1"/>
    <col min="7689" max="7689" width="17" bestFit="1" customWidth="1"/>
    <col min="7937" max="7937" width="20.28515625" customWidth="1"/>
    <col min="7938" max="7938" width="14.7109375" bestFit="1" customWidth="1"/>
    <col min="7939" max="7939" width="16.28515625" customWidth="1"/>
    <col min="7940" max="7940" width="14.7109375" bestFit="1" customWidth="1"/>
    <col min="7941" max="7941" width="15.7109375" customWidth="1"/>
    <col min="7942" max="7942" width="14.7109375" bestFit="1" customWidth="1"/>
    <col min="7943" max="7943" width="13.28515625" customWidth="1"/>
    <col min="7944" max="7944" width="15.7109375" bestFit="1" customWidth="1"/>
    <col min="7945" max="7945" width="17" bestFit="1" customWidth="1"/>
    <col min="8193" max="8193" width="20.28515625" customWidth="1"/>
    <col min="8194" max="8194" width="14.7109375" bestFit="1" customWidth="1"/>
    <col min="8195" max="8195" width="16.28515625" customWidth="1"/>
    <col min="8196" max="8196" width="14.7109375" bestFit="1" customWidth="1"/>
    <col min="8197" max="8197" width="15.7109375" customWidth="1"/>
    <col min="8198" max="8198" width="14.7109375" bestFit="1" customWidth="1"/>
    <col min="8199" max="8199" width="13.28515625" customWidth="1"/>
    <col min="8200" max="8200" width="15.7109375" bestFit="1" customWidth="1"/>
    <col min="8201" max="8201" width="17" bestFit="1" customWidth="1"/>
    <col min="8449" max="8449" width="20.28515625" customWidth="1"/>
    <col min="8450" max="8450" width="14.7109375" bestFit="1" customWidth="1"/>
    <col min="8451" max="8451" width="16.28515625" customWidth="1"/>
    <col min="8452" max="8452" width="14.7109375" bestFit="1" customWidth="1"/>
    <col min="8453" max="8453" width="15.7109375" customWidth="1"/>
    <col min="8454" max="8454" width="14.7109375" bestFit="1" customWidth="1"/>
    <col min="8455" max="8455" width="13.28515625" customWidth="1"/>
    <col min="8456" max="8456" width="15.7109375" bestFit="1" customWidth="1"/>
    <col min="8457" max="8457" width="17" bestFit="1" customWidth="1"/>
    <col min="8705" max="8705" width="20.28515625" customWidth="1"/>
    <col min="8706" max="8706" width="14.7109375" bestFit="1" customWidth="1"/>
    <col min="8707" max="8707" width="16.28515625" customWidth="1"/>
    <col min="8708" max="8708" width="14.7109375" bestFit="1" customWidth="1"/>
    <col min="8709" max="8709" width="15.7109375" customWidth="1"/>
    <col min="8710" max="8710" width="14.7109375" bestFit="1" customWidth="1"/>
    <col min="8711" max="8711" width="13.28515625" customWidth="1"/>
    <col min="8712" max="8712" width="15.7109375" bestFit="1" customWidth="1"/>
    <col min="8713" max="8713" width="17" bestFit="1" customWidth="1"/>
    <col min="8961" max="8961" width="20.28515625" customWidth="1"/>
    <col min="8962" max="8962" width="14.7109375" bestFit="1" customWidth="1"/>
    <col min="8963" max="8963" width="16.28515625" customWidth="1"/>
    <col min="8964" max="8964" width="14.7109375" bestFit="1" customWidth="1"/>
    <col min="8965" max="8965" width="15.7109375" customWidth="1"/>
    <col min="8966" max="8966" width="14.7109375" bestFit="1" customWidth="1"/>
    <col min="8967" max="8967" width="13.28515625" customWidth="1"/>
    <col min="8968" max="8968" width="15.7109375" bestFit="1" customWidth="1"/>
    <col min="8969" max="8969" width="17" bestFit="1" customWidth="1"/>
    <col min="9217" max="9217" width="20.28515625" customWidth="1"/>
    <col min="9218" max="9218" width="14.7109375" bestFit="1" customWidth="1"/>
    <col min="9219" max="9219" width="16.28515625" customWidth="1"/>
    <col min="9220" max="9220" width="14.7109375" bestFit="1" customWidth="1"/>
    <col min="9221" max="9221" width="15.7109375" customWidth="1"/>
    <col min="9222" max="9222" width="14.7109375" bestFit="1" customWidth="1"/>
    <col min="9223" max="9223" width="13.28515625" customWidth="1"/>
    <col min="9224" max="9224" width="15.7109375" bestFit="1" customWidth="1"/>
    <col min="9225" max="9225" width="17" bestFit="1" customWidth="1"/>
    <col min="9473" max="9473" width="20.28515625" customWidth="1"/>
    <col min="9474" max="9474" width="14.7109375" bestFit="1" customWidth="1"/>
    <col min="9475" max="9475" width="16.28515625" customWidth="1"/>
    <col min="9476" max="9476" width="14.7109375" bestFit="1" customWidth="1"/>
    <col min="9477" max="9477" width="15.7109375" customWidth="1"/>
    <col min="9478" max="9478" width="14.7109375" bestFit="1" customWidth="1"/>
    <col min="9479" max="9479" width="13.28515625" customWidth="1"/>
    <col min="9480" max="9480" width="15.7109375" bestFit="1" customWidth="1"/>
    <col min="9481" max="9481" width="17" bestFit="1" customWidth="1"/>
    <col min="9729" max="9729" width="20.28515625" customWidth="1"/>
    <col min="9730" max="9730" width="14.7109375" bestFit="1" customWidth="1"/>
    <col min="9731" max="9731" width="16.28515625" customWidth="1"/>
    <col min="9732" max="9732" width="14.7109375" bestFit="1" customWidth="1"/>
    <col min="9733" max="9733" width="15.7109375" customWidth="1"/>
    <col min="9734" max="9734" width="14.7109375" bestFit="1" customWidth="1"/>
    <col min="9735" max="9735" width="13.28515625" customWidth="1"/>
    <col min="9736" max="9736" width="15.7109375" bestFit="1" customWidth="1"/>
    <col min="9737" max="9737" width="17" bestFit="1" customWidth="1"/>
    <col min="9985" max="9985" width="20.28515625" customWidth="1"/>
    <col min="9986" max="9986" width="14.7109375" bestFit="1" customWidth="1"/>
    <col min="9987" max="9987" width="16.28515625" customWidth="1"/>
    <col min="9988" max="9988" width="14.7109375" bestFit="1" customWidth="1"/>
    <col min="9989" max="9989" width="15.7109375" customWidth="1"/>
    <col min="9990" max="9990" width="14.7109375" bestFit="1" customWidth="1"/>
    <col min="9991" max="9991" width="13.28515625" customWidth="1"/>
    <col min="9992" max="9992" width="15.7109375" bestFit="1" customWidth="1"/>
    <col min="9993" max="9993" width="17" bestFit="1" customWidth="1"/>
    <col min="10241" max="10241" width="20.28515625" customWidth="1"/>
    <col min="10242" max="10242" width="14.7109375" bestFit="1" customWidth="1"/>
    <col min="10243" max="10243" width="16.28515625" customWidth="1"/>
    <col min="10244" max="10244" width="14.7109375" bestFit="1" customWidth="1"/>
    <col min="10245" max="10245" width="15.7109375" customWidth="1"/>
    <col min="10246" max="10246" width="14.7109375" bestFit="1" customWidth="1"/>
    <col min="10247" max="10247" width="13.28515625" customWidth="1"/>
    <col min="10248" max="10248" width="15.7109375" bestFit="1" customWidth="1"/>
    <col min="10249" max="10249" width="17" bestFit="1" customWidth="1"/>
    <col min="10497" max="10497" width="20.28515625" customWidth="1"/>
    <col min="10498" max="10498" width="14.7109375" bestFit="1" customWidth="1"/>
    <col min="10499" max="10499" width="16.28515625" customWidth="1"/>
    <col min="10500" max="10500" width="14.7109375" bestFit="1" customWidth="1"/>
    <col min="10501" max="10501" width="15.7109375" customWidth="1"/>
    <col min="10502" max="10502" width="14.7109375" bestFit="1" customWidth="1"/>
    <col min="10503" max="10503" width="13.28515625" customWidth="1"/>
    <col min="10504" max="10504" width="15.7109375" bestFit="1" customWidth="1"/>
    <col min="10505" max="10505" width="17" bestFit="1" customWidth="1"/>
    <col min="10753" max="10753" width="20.28515625" customWidth="1"/>
    <col min="10754" max="10754" width="14.7109375" bestFit="1" customWidth="1"/>
    <col min="10755" max="10755" width="16.28515625" customWidth="1"/>
    <col min="10756" max="10756" width="14.7109375" bestFit="1" customWidth="1"/>
    <col min="10757" max="10757" width="15.7109375" customWidth="1"/>
    <col min="10758" max="10758" width="14.7109375" bestFit="1" customWidth="1"/>
    <col min="10759" max="10759" width="13.28515625" customWidth="1"/>
    <col min="10760" max="10760" width="15.7109375" bestFit="1" customWidth="1"/>
    <col min="10761" max="10761" width="17" bestFit="1" customWidth="1"/>
    <col min="11009" max="11009" width="20.28515625" customWidth="1"/>
    <col min="11010" max="11010" width="14.7109375" bestFit="1" customWidth="1"/>
    <col min="11011" max="11011" width="16.28515625" customWidth="1"/>
    <col min="11012" max="11012" width="14.7109375" bestFit="1" customWidth="1"/>
    <col min="11013" max="11013" width="15.7109375" customWidth="1"/>
    <col min="11014" max="11014" width="14.7109375" bestFit="1" customWidth="1"/>
    <col min="11015" max="11015" width="13.28515625" customWidth="1"/>
    <col min="11016" max="11016" width="15.7109375" bestFit="1" customWidth="1"/>
    <col min="11017" max="11017" width="17" bestFit="1" customWidth="1"/>
    <col min="11265" max="11265" width="20.28515625" customWidth="1"/>
    <col min="11266" max="11266" width="14.7109375" bestFit="1" customWidth="1"/>
    <col min="11267" max="11267" width="16.28515625" customWidth="1"/>
    <col min="11268" max="11268" width="14.7109375" bestFit="1" customWidth="1"/>
    <col min="11269" max="11269" width="15.7109375" customWidth="1"/>
    <col min="11270" max="11270" width="14.7109375" bestFit="1" customWidth="1"/>
    <col min="11271" max="11271" width="13.28515625" customWidth="1"/>
    <col min="11272" max="11272" width="15.7109375" bestFit="1" customWidth="1"/>
    <col min="11273" max="11273" width="17" bestFit="1" customWidth="1"/>
    <col min="11521" max="11521" width="20.28515625" customWidth="1"/>
    <col min="11522" max="11522" width="14.7109375" bestFit="1" customWidth="1"/>
    <col min="11523" max="11523" width="16.28515625" customWidth="1"/>
    <col min="11524" max="11524" width="14.7109375" bestFit="1" customWidth="1"/>
    <col min="11525" max="11525" width="15.7109375" customWidth="1"/>
    <col min="11526" max="11526" width="14.7109375" bestFit="1" customWidth="1"/>
    <col min="11527" max="11527" width="13.28515625" customWidth="1"/>
    <col min="11528" max="11528" width="15.7109375" bestFit="1" customWidth="1"/>
    <col min="11529" max="11529" width="17" bestFit="1" customWidth="1"/>
    <col min="11777" max="11777" width="20.28515625" customWidth="1"/>
    <col min="11778" max="11778" width="14.7109375" bestFit="1" customWidth="1"/>
    <col min="11779" max="11779" width="16.28515625" customWidth="1"/>
    <col min="11780" max="11780" width="14.7109375" bestFit="1" customWidth="1"/>
    <col min="11781" max="11781" width="15.7109375" customWidth="1"/>
    <col min="11782" max="11782" width="14.7109375" bestFit="1" customWidth="1"/>
    <col min="11783" max="11783" width="13.28515625" customWidth="1"/>
    <col min="11784" max="11784" width="15.7109375" bestFit="1" customWidth="1"/>
    <col min="11785" max="11785" width="17" bestFit="1" customWidth="1"/>
    <col min="12033" max="12033" width="20.28515625" customWidth="1"/>
    <col min="12034" max="12034" width="14.7109375" bestFit="1" customWidth="1"/>
    <col min="12035" max="12035" width="16.28515625" customWidth="1"/>
    <col min="12036" max="12036" width="14.7109375" bestFit="1" customWidth="1"/>
    <col min="12037" max="12037" width="15.7109375" customWidth="1"/>
    <col min="12038" max="12038" width="14.7109375" bestFit="1" customWidth="1"/>
    <col min="12039" max="12039" width="13.28515625" customWidth="1"/>
    <col min="12040" max="12040" width="15.7109375" bestFit="1" customWidth="1"/>
    <col min="12041" max="12041" width="17" bestFit="1" customWidth="1"/>
    <col min="12289" max="12289" width="20.28515625" customWidth="1"/>
    <col min="12290" max="12290" width="14.7109375" bestFit="1" customWidth="1"/>
    <col min="12291" max="12291" width="16.28515625" customWidth="1"/>
    <col min="12292" max="12292" width="14.7109375" bestFit="1" customWidth="1"/>
    <col min="12293" max="12293" width="15.7109375" customWidth="1"/>
    <col min="12294" max="12294" width="14.7109375" bestFit="1" customWidth="1"/>
    <col min="12295" max="12295" width="13.28515625" customWidth="1"/>
    <col min="12296" max="12296" width="15.7109375" bestFit="1" customWidth="1"/>
    <col min="12297" max="12297" width="17" bestFit="1" customWidth="1"/>
    <col min="12545" max="12545" width="20.28515625" customWidth="1"/>
    <col min="12546" max="12546" width="14.7109375" bestFit="1" customWidth="1"/>
    <col min="12547" max="12547" width="16.28515625" customWidth="1"/>
    <col min="12548" max="12548" width="14.7109375" bestFit="1" customWidth="1"/>
    <col min="12549" max="12549" width="15.7109375" customWidth="1"/>
    <col min="12550" max="12550" width="14.7109375" bestFit="1" customWidth="1"/>
    <col min="12551" max="12551" width="13.28515625" customWidth="1"/>
    <col min="12552" max="12552" width="15.7109375" bestFit="1" customWidth="1"/>
    <col min="12553" max="12553" width="17" bestFit="1" customWidth="1"/>
    <col min="12801" max="12801" width="20.28515625" customWidth="1"/>
    <col min="12802" max="12802" width="14.7109375" bestFit="1" customWidth="1"/>
    <col min="12803" max="12803" width="16.28515625" customWidth="1"/>
    <col min="12804" max="12804" width="14.7109375" bestFit="1" customWidth="1"/>
    <col min="12805" max="12805" width="15.7109375" customWidth="1"/>
    <col min="12806" max="12806" width="14.7109375" bestFit="1" customWidth="1"/>
    <col min="12807" max="12807" width="13.28515625" customWidth="1"/>
    <col min="12808" max="12808" width="15.7109375" bestFit="1" customWidth="1"/>
    <col min="12809" max="12809" width="17" bestFit="1" customWidth="1"/>
    <col min="13057" max="13057" width="20.28515625" customWidth="1"/>
    <col min="13058" max="13058" width="14.7109375" bestFit="1" customWidth="1"/>
    <col min="13059" max="13059" width="16.28515625" customWidth="1"/>
    <col min="13060" max="13060" width="14.7109375" bestFit="1" customWidth="1"/>
    <col min="13061" max="13061" width="15.7109375" customWidth="1"/>
    <col min="13062" max="13062" width="14.7109375" bestFit="1" customWidth="1"/>
    <col min="13063" max="13063" width="13.28515625" customWidth="1"/>
    <col min="13064" max="13064" width="15.7109375" bestFit="1" customWidth="1"/>
    <col min="13065" max="13065" width="17" bestFit="1" customWidth="1"/>
    <col min="13313" max="13313" width="20.28515625" customWidth="1"/>
    <col min="13314" max="13314" width="14.7109375" bestFit="1" customWidth="1"/>
    <col min="13315" max="13315" width="16.28515625" customWidth="1"/>
    <col min="13316" max="13316" width="14.7109375" bestFit="1" customWidth="1"/>
    <col min="13317" max="13317" width="15.7109375" customWidth="1"/>
    <col min="13318" max="13318" width="14.7109375" bestFit="1" customWidth="1"/>
    <col min="13319" max="13319" width="13.28515625" customWidth="1"/>
    <col min="13320" max="13320" width="15.7109375" bestFit="1" customWidth="1"/>
    <col min="13321" max="13321" width="17" bestFit="1" customWidth="1"/>
    <col min="13569" max="13569" width="20.28515625" customWidth="1"/>
    <col min="13570" max="13570" width="14.7109375" bestFit="1" customWidth="1"/>
    <col min="13571" max="13571" width="16.28515625" customWidth="1"/>
    <col min="13572" max="13572" width="14.7109375" bestFit="1" customWidth="1"/>
    <col min="13573" max="13573" width="15.7109375" customWidth="1"/>
    <col min="13574" max="13574" width="14.7109375" bestFit="1" customWidth="1"/>
    <col min="13575" max="13575" width="13.28515625" customWidth="1"/>
    <col min="13576" max="13576" width="15.7109375" bestFit="1" customWidth="1"/>
    <col min="13577" max="13577" width="17" bestFit="1" customWidth="1"/>
    <col min="13825" max="13825" width="20.28515625" customWidth="1"/>
    <col min="13826" max="13826" width="14.7109375" bestFit="1" customWidth="1"/>
    <col min="13827" max="13827" width="16.28515625" customWidth="1"/>
    <col min="13828" max="13828" width="14.7109375" bestFit="1" customWidth="1"/>
    <col min="13829" max="13829" width="15.7109375" customWidth="1"/>
    <col min="13830" max="13830" width="14.7109375" bestFit="1" customWidth="1"/>
    <col min="13831" max="13831" width="13.28515625" customWidth="1"/>
    <col min="13832" max="13832" width="15.7109375" bestFit="1" customWidth="1"/>
    <col min="13833" max="13833" width="17" bestFit="1" customWidth="1"/>
    <col min="14081" max="14081" width="20.28515625" customWidth="1"/>
    <col min="14082" max="14082" width="14.7109375" bestFit="1" customWidth="1"/>
    <col min="14083" max="14083" width="16.28515625" customWidth="1"/>
    <col min="14084" max="14084" width="14.7109375" bestFit="1" customWidth="1"/>
    <col min="14085" max="14085" width="15.7109375" customWidth="1"/>
    <col min="14086" max="14086" width="14.7109375" bestFit="1" customWidth="1"/>
    <col min="14087" max="14087" width="13.28515625" customWidth="1"/>
    <col min="14088" max="14088" width="15.7109375" bestFit="1" customWidth="1"/>
    <col min="14089" max="14089" width="17" bestFit="1" customWidth="1"/>
    <col min="14337" max="14337" width="20.28515625" customWidth="1"/>
    <col min="14338" max="14338" width="14.7109375" bestFit="1" customWidth="1"/>
    <col min="14339" max="14339" width="16.28515625" customWidth="1"/>
    <col min="14340" max="14340" width="14.7109375" bestFit="1" customWidth="1"/>
    <col min="14341" max="14341" width="15.7109375" customWidth="1"/>
    <col min="14342" max="14342" width="14.7109375" bestFit="1" customWidth="1"/>
    <col min="14343" max="14343" width="13.28515625" customWidth="1"/>
    <col min="14344" max="14344" width="15.7109375" bestFit="1" customWidth="1"/>
    <col min="14345" max="14345" width="17" bestFit="1" customWidth="1"/>
    <col min="14593" max="14593" width="20.28515625" customWidth="1"/>
    <col min="14594" max="14594" width="14.7109375" bestFit="1" customWidth="1"/>
    <col min="14595" max="14595" width="16.28515625" customWidth="1"/>
    <col min="14596" max="14596" width="14.7109375" bestFit="1" customWidth="1"/>
    <col min="14597" max="14597" width="15.7109375" customWidth="1"/>
    <col min="14598" max="14598" width="14.7109375" bestFit="1" customWidth="1"/>
    <col min="14599" max="14599" width="13.28515625" customWidth="1"/>
    <col min="14600" max="14600" width="15.7109375" bestFit="1" customWidth="1"/>
    <col min="14601" max="14601" width="17" bestFit="1" customWidth="1"/>
    <col min="14849" max="14849" width="20.28515625" customWidth="1"/>
    <col min="14850" max="14850" width="14.7109375" bestFit="1" customWidth="1"/>
    <col min="14851" max="14851" width="16.28515625" customWidth="1"/>
    <col min="14852" max="14852" width="14.7109375" bestFit="1" customWidth="1"/>
    <col min="14853" max="14853" width="15.7109375" customWidth="1"/>
    <col min="14854" max="14854" width="14.7109375" bestFit="1" customWidth="1"/>
    <col min="14855" max="14855" width="13.28515625" customWidth="1"/>
    <col min="14856" max="14856" width="15.7109375" bestFit="1" customWidth="1"/>
    <col min="14857" max="14857" width="17" bestFit="1" customWidth="1"/>
    <col min="15105" max="15105" width="20.28515625" customWidth="1"/>
    <col min="15106" max="15106" width="14.7109375" bestFit="1" customWidth="1"/>
    <col min="15107" max="15107" width="16.28515625" customWidth="1"/>
    <col min="15108" max="15108" width="14.7109375" bestFit="1" customWidth="1"/>
    <col min="15109" max="15109" width="15.7109375" customWidth="1"/>
    <col min="15110" max="15110" width="14.7109375" bestFit="1" customWidth="1"/>
    <col min="15111" max="15111" width="13.28515625" customWidth="1"/>
    <col min="15112" max="15112" width="15.7109375" bestFit="1" customWidth="1"/>
    <col min="15113" max="15113" width="17" bestFit="1" customWidth="1"/>
    <col min="15361" max="15361" width="20.28515625" customWidth="1"/>
    <col min="15362" max="15362" width="14.7109375" bestFit="1" customWidth="1"/>
    <col min="15363" max="15363" width="16.28515625" customWidth="1"/>
    <col min="15364" max="15364" width="14.7109375" bestFit="1" customWidth="1"/>
    <col min="15365" max="15365" width="15.7109375" customWidth="1"/>
    <col min="15366" max="15366" width="14.7109375" bestFit="1" customWidth="1"/>
    <col min="15367" max="15367" width="13.28515625" customWidth="1"/>
    <col min="15368" max="15368" width="15.7109375" bestFit="1" customWidth="1"/>
    <col min="15369" max="15369" width="17" bestFit="1" customWidth="1"/>
    <col min="15617" max="15617" width="20.28515625" customWidth="1"/>
    <col min="15618" max="15618" width="14.7109375" bestFit="1" customWidth="1"/>
    <col min="15619" max="15619" width="16.28515625" customWidth="1"/>
    <col min="15620" max="15620" width="14.7109375" bestFit="1" customWidth="1"/>
    <col min="15621" max="15621" width="15.7109375" customWidth="1"/>
    <col min="15622" max="15622" width="14.7109375" bestFit="1" customWidth="1"/>
    <col min="15623" max="15623" width="13.28515625" customWidth="1"/>
    <col min="15624" max="15624" width="15.7109375" bestFit="1" customWidth="1"/>
    <col min="15625" max="15625" width="17" bestFit="1" customWidth="1"/>
    <col min="15873" max="15873" width="20.28515625" customWidth="1"/>
    <col min="15874" max="15874" width="14.7109375" bestFit="1" customWidth="1"/>
    <col min="15875" max="15875" width="16.28515625" customWidth="1"/>
    <col min="15876" max="15876" width="14.7109375" bestFit="1" customWidth="1"/>
    <col min="15877" max="15877" width="15.7109375" customWidth="1"/>
    <col min="15878" max="15878" width="14.7109375" bestFit="1" customWidth="1"/>
    <col min="15879" max="15879" width="13.28515625" customWidth="1"/>
    <col min="15880" max="15880" width="15.7109375" bestFit="1" customWidth="1"/>
    <col min="15881" max="15881" width="17" bestFit="1" customWidth="1"/>
    <col min="16129" max="16129" width="20.28515625" customWidth="1"/>
    <col min="16130" max="16130" width="14.7109375" bestFit="1" customWidth="1"/>
    <col min="16131" max="16131" width="16.28515625" customWidth="1"/>
    <col min="16132" max="16132" width="14.7109375" bestFit="1" customWidth="1"/>
    <col min="16133" max="16133" width="15.7109375" customWidth="1"/>
    <col min="16134" max="16134" width="14.7109375" bestFit="1" customWidth="1"/>
    <col min="16135" max="16135" width="13.28515625" customWidth="1"/>
    <col min="16136" max="16136" width="15.7109375" bestFit="1" customWidth="1"/>
    <col min="16137" max="16137" width="17" bestFit="1" customWidth="1"/>
  </cols>
  <sheetData>
    <row r="1" spans="1:9" x14ac:dyDescent="0.25">
      <c r="I1" s="396" t="s">
        <v>756</v>
      </c>
    </row>
    <row r="2" spans="1:9" ht="21.4" customHeight="1" x14ac:dyDescent="0.25">
      <c r="A2" s="464" t="s">
        <v>757</v>
      </c>
      <c r="B2" s="465" t="s">
        <v>2</v>
      </c>
      <c r="C2" s="465"/>
      <c r="D2" s="465"/>
      <c r="E2" s="465" t="s">
        <v>7</v>
      </c>
      <c r="F2" s="465"/>
      <c r="G2" s="465"/>
      <c r="H2" s="465"/>
      <c r="I2" s="465"/>
    </row>
    <row r="3" spans="1:9" ht="30" x14ac:dyDescent="0.25">
      <c r="A3" s="464"/>
      <c r="B3" s="397" t="s">
        <v>758</v>
      </c>
      <c r="C3" s="397" t="s">
        <v>759</v>
      </c>
      <c r="D3" s="398" t="s">
        <v>760</v>
      </c>
      <c r="E3" s="397" t="s">
        <v>761</v>
      </c>
      <c r="F3" s="397" t="s">
        <v>762</v>
      </c>
      <c r="G3" s="397" t="s">
        <v>763</v>
      </c>
      <c r="H3" s="397" t="s">
        <v>764</v>
      </c>
      <c r="I3" s="397" t="s">
        <v>765</v>
      </c>
    </row>
    <row r="4" spans="1:9" ht="31.9" hidden="1" customHeight="1" x14ac:dyDescent="0.25">
      <c r="A4" s="399" t="s">
        <v>766</v>
      </c>
      <c r="B4" s="400"/>
      <c r="C4" s="400"/>
      <c r="D4" s="401"/>
      <c r="E4" s="400"/>
      <c r="F4" s="401"/>
      <c r="G4" s="400"/>
      <c r="H4" s="400"/>
      <c r="I4" s="402">
        <f>SUM(E4:G4)</f>
        <v>0</v>
      </c>
    </row>
    <row r="5" spans="1:9" ht="30.4" customHeight="1" x14ac:dyDescent="0.25">
      <c r="A5" s="466"/>
      <c r="B5" s="400"/>
      <c r="C5" s="400"/>
      <c r="D5" s="400"/>
      <c r="E5" s="400"/>
      <c r="F5" s="400"/>
      <c r="G5" s="400"/>
      <c r="H5" s="400"/>
      <c r="I5" s="402"/>
    </row>
    <row r="6" spans="1:9" x14ac:dyDescent="0.25">
      <c r="A6" s="467"/>
      <c r="B6" s="400"/>
      <c r="C6" s="400"/>
      <c r="D6" s="400"/>
      <c r="E6" s="400"/>
      <c r="F6" s="400"/>
      <c r="G6" s="400"/>
      <c r="H6" s="400"/>
      <c r="I6" s="402"/>
    </row>
    <row r="7" spans="1:9" s="139" customFormat="1" x14ac:dyDescent="0.25">
      <c r="A7" s="403" t="s">
        <v>64</v>
      </c>
      <c r="B7" s="404">
        <f>SUM(B4:B6)</f>
        <v>0</v>
      </c>
      <c r="C7" s="404">
        <f t="shared" ref="C7:I7" si="0">SUM(C4:C6)</f>
        <v>0</v>
      </c>
      <c r="D7" s="404">
        <f t="shared" si="0"/>
        <v>0</v>
      </c>
      <c r="E7" s="404">
        <f t="shared" si="0"/>
        <v>0</v>
      </c>
      <c r="F7" s="404">
        <f t="shared" si="0"/>
        <v>0</v>
      </c>
      <c r="G7" s="404">
        <f t="shared" si="0"/>
        <v>0</v>
      </c>
      <c r="H7" s="404">
        <f t="shared" si="0"/>
        <v>0</v>
      </c>
      <c r="I7" s="405">
        <f t="shared" si="0"/>
        <v>0</v>
      </c>
    </row>
  </sheetData>
  <mergeCells count="4">
    <mergeCell ref="A2:A3"/>
    <mergeCell ref="B2:D2"/>
    <mergeCell ref="E2:I2"/>
    <mergeCell ref="A5:A6"/>
  </mergeCells>
  <pageMargins left="0.70866141732283472" right="0.70866141732283472" top="1.1417322834645669" bottom="0.74803149606299213" header="0.31496062992125984" footer="0.31496062992125984"/>
  <pageSetup paperSize="9" scale="91" orientation="landscape" r:id="rId1"/>
  <headerFooter>
    <oddHeader>&amp;L9. melléklet a 2/2020. (III.16.) önkormányzati rendelethez
&amp;C&amp;"-,Félkövér"&amp;16
Törökbálint Város Önkormányzata 2020. évi európai uniós támogatási programjai</oddHead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C3E63-176E-4A82-9B45-0C15143DC5D8}">
  <sheetPr>
    <pageSetUpPr fitToPage="1"/>
  </sheetPr>
  <dimension ref="A1:IV143"/>
  <sheetViews>
    <sheetView showZeros="0" view="pageLayout" zoomScaleNormal="100" zoomScaleSheetLayoutView="79" workbookViewId="0">
      <selection sqref="A1:C1"/>
    </sheetView>
  </sheetViews>
  <sheetFormatPr defaultColWidth="12.28515625" defaultRowHeight="15" x14ac:dyDescent="0.2"/>
  <cols>
    <col min="1" max="1" width="12.28515625" style="411"/>
    <col min="2" max="2" width="12.28515625" style="417"/>
    <col min="3" max="3" width="59.7109375" style="411" customWidth="1"/>
    <col min="4" max="258" width="12.28515625" style="411"/>
    <col min="259" max="259" width="59.7109375" style="411" customWidth="1"/>
    <col min="260" max="514" width="12.28515625" style="411"/>
    <col min="515" max="515" width="59.7109375" style="411" customWidth="1"/>
    <col min="516" max="770" width="12.28515625" style="411"/>
    <col min="771" max="771" width="59.7109375" style="411" customWidth="1"/>
    <col min="772" max="1026" width="12.28515625" style="411"/>
    <col min="1027" max="1027" width="59.7109375" style="411" customWidth="1"/>
    <col min="1028" max="1282" width="12.28515625" style="411"/>
    <col min="1283" max="1283" width="59.7109375" style="411" customWidth="1"/>
    <col min="1284" max="1538" width="12.28515625" style="411"/>
    <col min="1539" max="1539" width="59.7109375" style="411" customWidth="1"/>
    <col min="1540" max="1794" width="12.28515625" style="411"/>
    <col min="1795" max="1795" width="59.7109375" style="411" customWidth="1"/>
    <col min="1796" max="2050" width="12.28515625" style="411"/>
    <col min="2051" max="2051" width="59.7109375" style="411" customWidth="1"/>
    <col min="2052" max="2306" width="12.28515625" style="411"/>
    <col min="2307" max="2307" width="59.7109375" style="411" customWidth="1"/>
    <col min="2308" max="2562" width="12.28515625" style="411"/>
    <col min="2563" max="2563" width="59.7109375" style="411" customWidth="1"/>
    <col min="2564" max="2818" width="12.28515625" style="411"/>
    <col min="2819" max="2819" width="59.7109375" style="411" customWidth="1"/>
    <col min="2820" max="3074" width="12.28515625" style="411"/>
    <col min="3075" max="3075" width="59.7109375" style="411" customWidth="1"/>
    <col min="3076" max="3330" width="12.28515625" style="411"/>
    <col min="3331" max="3331" width="59.7109375" style="411" customWidth="1"/>
    <col min="3332" max="3586" width="12.28515625" style="411"/>
    <col min="3587" max="3587" width="59.7109375" style="411" customWidth="1"/>
    <col min="3588" max="3842" width="12.28515625" style="411"/>
    <col min="3843" max="3843" width="59.7109375" style="411" customWidth="1"/>
    <col min="3844" max="4098" width="12.28515625" style="411"/>
    <col min="4099" max="4099" width="59.7109375" style="411" customWidth="1"/>
    <col min="4100" max="4354" width="12.28515625" style="411"/>
    <col min="4355" max="4355" width="59.7109375" style="411" customWidth="1"/>
    <col min="4356" max="4610" width="12.28515625" style="411"/>
    <col min="4611" max="4611" width="59.7109375" style="411" customWidth="1"/>
    <col min="4612" max="4866" width="12.28515625" style="411"/>
    <col min="4867" max="4867" width="59.7109375" style="411" customWidth="1"/>
    <col min="4868" max="5122" width="12.28515625" style="411"/>
    <col min="5123" max="5123" width="59.7109375" style="411" customWidth="1"/>
    <col min="5124" max="5378" width="12.28515625" style="411"/>
    <col min="5379" max="5379" width="59.7109375" style="411" customWidth="1"/>
    <col min="5380" max="5634" width="12.28515625" style="411"/>
    <col min="5635" max="5635" width="59.7109375" style="411" customWidth="1"/>
    <col min="5636" max="5890" width="12.28515625" style="411"/>
    <col min="5891" max="5891" width="59.7109375" style="411" customWidth="1"/>
    <col min="5892" max="6146" width="12.28515625" style="411"/>
    <col min="6147" max="6147" width="59.7109375" style="411" customWidth="1"/>
    <col min="6148" max="6402" width="12.28515625" style="411"/>
    <col min="6403" max="6403" width="59.7109375" style="411" customWidth="1"/>
    <col min="6404" max="6658" width="12.28515625" style="411"/>
    <col min="6659" max="6659" width="59.7109375" style="411" customWidth="1"/>
    <col min="6660" max="6914" width="12.28515625" style="411"/>
    <col min="6915" max="6915" width="59.7109375" style="411" customWidth="1"/>
    <col min="6916" max="7170" width="12.28515625" style="411"/>
    <col min="7171" max="7171" width="59.7109375" style="411" customWidth="1"/>
    <col min="7172" max="7426" width="12.28515625" style="411"/>
    <col min="7427" max="7427" width="59.7109375" style="411" customWidth="1"/>
    <col min="7428" max="7682" width="12.28515625" style="411"/>
    <col min="7683" max="7683" width="59.7109375" style="411" customWidth="1"/>
    <col min="7684" max="7938" width="12.28515625" style="411"/>
    <col min="7939" max="7939" width="59.7109375" style="411" customWidth="1"/>
    <col min="7940" max="8194" width="12.28515625" style="411"/>
    <col min="8195" max="8195" width="59.7109375" style="411" customWidth="1"/>
    <col min="8196" max="8450" width="12.28515625" style="411"/>
    <col min="8451" max="8451" width="59.7109375" style="411" customWidth="1"/>
    <col min="8452" max="8706" width="12.28515625" style="411"/>
    <col min="8707" max="8707" width="59.7109375" style="411" customWidth="1"/>
    <col min="8708" max="8962" width="12.28515625" style="411"/>
    <col min="8963" max="8963" width="59.7109375" style="411" customWidth="1"/>
    <col min="8964" max="9218" width="12.28515625" style="411"/>
    <col min="9219" max="9219" width="59.7109375" style="411" customWidth="1"/>
    <col min="9220" max="9474" width="12.28515625" style="411"/>
    <col min="9475" max="9475" width="59.7109375" style="411" customWidth="1"/>
    <col min="9476" max="9730" width="12.28515625" style="411"/>
    <col min="9731" max="9731" width="59.7109375" style="411" customWidth="1"/>
    <col min="9732" max="9986" width="12.28515625" style="411"/>
    <col min="9987" max="9987" width="59.7109375" style="411" customWidth="1"/>
    <col min="9988" max="10242" width="12.28515625" style="411"/>
    <col min="10243" max="10243" width="59.7109375" style="411" customWidth="1"/>
    <col min="10244" max="10498" width="12.28515625" style="411"/>
    <col min="10499" max="10499" width="59.7109375" style="411" customWidth="1"/>
    <col min="10500" max="10754" width="12.28515625" style="411"/>
    <col min="10755" max="10755" width="59.7109375" style="411" customWidth="1"/>
    <col min="10756" max="11010" width="12.28515625" style="411"/>
    <col min="11011" max="11011" width="59.7109375" style="411" customWidth="1"/>
    <col min="11012" max="11266" width="12.28515625" style="411"/>
    <col min="11267" max="11267" width="59.7109375" style="411" customWidth="1"/>
    <col min="11268" max="11522" width="12.28515625" style="411"/>
    <col min="11523" max="11523" width="59.7109375" style="411" customWidth="1"/>
    <col min="11524" max="11778" width="12.28515625" style="411"/>
    <col min="11779" max="11779" width="59.7109375" style="411" customWidth="1"/>
    <col min="11780" max="12034" width="12.28515625" style="411"/>
    <col min="12035" max="12035" width="59.7109375" style="411" customWidth="1"/>
    <col min="12036" max="12290" width="12.28515625" style="411"/>
    <col min="12291" max="12291" width="59.7109375" style="411" customWidth="1"/>
    <col min="12292" max="12546" width="12.28515625" style="411"/>
    <col min="12547" max="12547" width="59.7109375" style="411" customWidth="1"/>
    <col min="12548" max="12802" width="12.28515625" style="411"/>
    <col min="12803" max="12803" width="59.7109375" style="411" customWidth="1"/>
    <col min="12804" max="13058" width="12.28515625" style="411"/>
    <col min="13059" max="13059" width="59.7109375" style="411" customWidth="1"/>
    <col min="13060" max="13314" width="12.28515625" style="411"/>
    <col min="13315" max="13315" width="59.7109375" style="411" customWidth="1"/>
    <col min="13316" max="13570" width="12.28515625" style="411"/>
    <col min="13571" max="13571" width="59.7109375" style="411" customWidth="1"/>
    <col min="13572" max="13826" width="12.28515625" style="411"/>
    <col min="13827" max="13827" width="59.7109375" style="411" customWidth="1"/>
    <col min="13828" max="14082" width="12.28515625" style="411"/>
    <col min="14083" max="14083" width="59.7109375" style="411" customWidth="1"/>
    <col min="14084" max="14338" width="12.28515625" style="411"/>
    <col min="14339" max="14339" width="59.7109375" style="411" customWidth="1"/>
    <col min="14340" max="14594" width="12.28515625" style="411"/>
    <col min="14595" max="14595" width="59.7109375" style="411" customWidth="1"/>
    <col min="14596" max="14850" width="12.28515625" style="411"/>
    <col min="14851" max="14851" width="59.7109375" style="411" customWidth="1"/>
    <col min="14852" max="15106" width="12.28515625" style="411"/>
    <col min="15107" max="15107" width="59.7109375" style="411" customWidth="1"/>
    <col min="15108" max="15362" width="12.28515625" style="411"/>
    <col min="15363" max="15363" width="59.7109375" style="411" customWidth="1"/>
    <col min="15364" max="15618" width="12.28515625" style="411"/>
    <col min="15619" max="15619" width="59.7109375" style="411" customWidth="1"/>
    <col min="15620" max="15874" width="12.28515625" style="411"/>
    <col min="15875" max="15875" width="59.7109375" style="411" customWidth="1"/>
    <col min="15876" max="16130" width="12.28515625" style="411"/>
    <col min="16131" max="16131" width="59.7109375" style="411" customWidth="1"/>
    <col min="16132" max="16384" width="12.28515625" style="411"/>
  </cols>
  <sheetData>
    <row r="1" spans="1:256" s="406" customFormat="1" ht="15.75" x14ac:dyDescent="0.25">
      <c r="A1" s="468" t="s">
        <v>767</v>
      </c>
      <c r="B1" s="468"/>
      <c r="C1" s="468"/>
      <c r="IV1" s="407"/>
    </row>
    <row r="2" spans="1:256" s="410" customFormat="1" ht="42.6" customHeight="1" x14ac:dyDescent="0.25">
      <c r="A2" s="408"/>
      <c r="B2" s="409"/>
      <c r="IV2" s="411"/>
    </row>
    <row r="3" spans="1:256" s="406" customFormat="1" ht="20.85" customHeight="1" x14ac:dyDescent="0.25">
      <c r="A3" s="412" t="s">
        <v>768</v>
      </c>
      <c r="B3" s="413" t="s">
        <v>769</v>
      </c>
      <c r="C3" s="412" t="s">
        <v>128</v>
      </c>
      <c r="IV3" s="407"/>
    </row>
    <row r="4" spans="1:256" s="410" customFormat="1" ht="22.9" customHeight="1" x14ac:dyDescent="0.2">
      <c r="A4" s="414">
        <v>1</v>
      </c>
      <c r="B4" s="415"/>
      <c r="C4" s="416" t="s">
        <v>618</v>
      </c>
      <c r="IV4" s="411"/>
    </row>
    <row r="5" spans="1:256" s="410" customFormat="1" ht="22.9" customHeight="1" x14ac:dyDescent="0.2">
      <c r="A5" s="414"/>
      <c r="B5" s="415" t="s">
        <v>770</v>
      </c>
      <c r="C5" s="416" t="s">
        <v>771</v>
      </c>
      <c r="IV5" s="411"/>
    </row>
    <row r="6" spans="1:256" s="410" customFormat="1" ht="22.9" customHeight="1" x14ac:dyDescent="0.2">
      <c r="A6" s="414"/>
      <c r="B6" s="415" t="s">
        <v>772</v>
      </c>
      <c r="C6" s="416" t="s">
        <v>773</v>
      </c>
      <c r="IV6" s="411"/>
    </row>
    <row r="7" spans="1:256" s="410" customFormat="1" ht="22.9" customHeight="1" x14ac:dyDescent="0.2">
      <c r="A7" s="414">
        <v>2</v>
      </c>
      <c r="B7" s="415"/>
      <c r="C7" s="416" t="s">
        <v>619</v>
      </c>
      <c r="IV7" s="411"/>
    </row>
    <row r="8" spans="1:256" s="410" customFormat="1" ht="22.9" customHeight="1" x14ac:dyDescent="0.2">
      <c r="A8" s="414">
        <v>3</v>
      </c>
      <c r="B8" s="415"/>
      <c r="C8" s="416" t="s">
        <v>620</v>
      </c>
      <c r="D8" s="416"/>
      <c r="IV8" s="411"/>
    </row>
    <row r="9" spans="1:256" s="410" customFormat="1" ht="22.9" customHeight="1" x14ac:dyDescent="0.2">
      <c r="A9" s="414"/>
      <c r="B9" s="415" t="s">
        <v>770</v>
      </c>
      <c r="C9" s="416" t="s">
        <v>572</v>
      </c>
      <c r="IV9" s="411"/>
    </row>
    <row r="10" spans="1:256" s="410" customFormat="1" ht="22.9" customHeight="1" x14ac:dyDescent="0.2">
      <c r="A10" s="414"/>
      <c r="B10" s="415" t="s">
        <v>772</v>
      </c>
      <c r="C10" s="416" t="s">
        <v>576</v>
      </c>
      <c r="IV10" s="411"/>
    </row>
    <row r="11" spans="1:256" s="410" customFormat="1" ht="22.9" customHeight="1" x14ac:dyDescent="0.2">
      <c r="A11" s="414"/>
      <c r="B11" s="415" t="s">
        <v>774</v>
      </c>
      <c r="C11" s="416" t="s">
        <v>578</v>
      </c>
      <c r="IV11" s="411"/>
    </row>
    <row r="12" spans="1:256" s="410" customFormat="1" ht="22.9" customHeight="1" x14ac:dyDescent="0.2">
      <c r="A12" s="414"/>
      <c r="B12" s="415" t="s">
        <v>775</v>
      </c>
      <c r="C12" s="416" t="s">
        <v>580</v>
      </c>
      <c r="IV12" s="411"/>
    </row>
    <row r="13" spans="1:256" s="410" customFormat="1" ht="22.9" customHeight="1" x14ac:dyDescent="0.2">
      <c r="A13" s="414"/>
      <c r="B13" s="415" t="s">
        <v>776</v>
      </c>
      <c r="C13" s="416" t="s">
        <v>621</v>
      </c>
      <c r="IV13" s="411"/>
    </row>
    <row r="14" spans="1:256" s="410" customFormat="1" ht="22.9" customHeight="1" x14ac:dyDescent="0.2">
      <c r="A14" s="414"/>
      <c r="B14" s="415" t="s">
        <v>777</v>
      </c>
      <c r="C14" s="416" t="s">
        <v>588</v>
      </c>
      <c r="IV14" s="411"/>
    </row>
    <row r="15" spans="1:256" s="410" customFormat="1" ht="22.9" customHeight="1" x14ac:dyDescent="0.2">
      <c r="A15" s="414"/>
      <c r="B15" s="415" t="s">
        <v>778</v>
      </c>
      <c r="C15" s="416" t="s">
        <v>590</v>
      </c>
      <c r="IV15" s="411"/>
    </row>
    <row r="16" spans="1:256" s="410" customFormat="1" ht="22.9" customHeight="1" x14ac:dyDescent="0.2">
      <c r="A16" s="414"/>
      <c r="B16" s="415" t="s">
        <v>779</v>
      </c>
      <c r="C16" s="416" t="s">
        <v>622</v>
      </c>
      <c r="IV16" s="411"/>
    </row>
    <row r="17" spans="1:256" s="410" customFormat="1" x14ac:dyDescent="0.2">
      <c r="A17" s="417"/>
      <c r="B17" s="409"/>
      <c r="IV17" s="411"/>
    </row>
    <row r="18" spans="1:256" s="410" customFormat="1" x14ac:dyDescent="0.2">
      <c r="A18" s="417"/>
      <c r="B18" s="409"/>
      <c r="IV18" s="411"/>
    </row>
    <row r="19" spans="1:256" s="410" customFormat="1" x14ac:dyDescent="0.2">
      <c r="A19" s="417"/>
      <c r="B19" s="409"/>
      <c r="IV19" s="411"/>
    </row>
    <row r="20" spans="1:256" s="410" customFormat="1" x14ac:dyDescent="0.2">
      <c r="A20" s="417"/>
      <c r="B20" s="409"/>
      <c r="IV20" s="411"/>
    </row>
    <row r="21" spans="1:256" s="410" customFormat="1" x14ac:dyDescent="0.2">
      <c r="A21" s="417"/>
      <c r="B21" s="409"/>
      <c r="IV21" s="411"/>
    </row>
    <row r="22" spans="1:256" s="410" customFormat="1" x14ac:dyDescent="0.2">
      <c r="A22" s="417"/>
      <c r="B22" s="409"/>
      <c r="IV22" s="411"/>
    </row>
    <row r="23" spans="1:256" s="410" customFormat="1" x14ac:dyDescent="0.2">
      <c r="A23" s="417"/>
      <c r="B23" s="409"/>
      <c r="IV23" s="411"/>
    </row>
    <row r="24" spans="1:256" s="410" customFormat="1" x14ac:dyDescent="0.2">
      <c r="A24" s="417"/>
      <c r="B24" s="409"/>
      <c r="IV24" s="411"/>
    </row>
    <row r="25" spans="1:256" s="410" customFormat="1" x14ac:dyDescent="0.2">
      <c r="A25" s="417"/>
      <c r="B25" s="409"/>
      <c r="IV25" s="411"/>
    </row>
    <row r="26" spans="1:256" s="410" customFormat="1" x14ac:dyDescent="0.2">
      <c r="A26" s="417"/>
      <c r="B26" s="409"/>
      <c r="IV26" s="411"/>
    </row>
    <row r="27" spans="1:256" s="410" customFormat="1" x14ac:dyDescent="0.2">
      <c r="A27" s="417"/>
      <c r="B27" s="409"/>
      <c r="IV27" s="411"/>
    </row>
    <row r="28" spans="1:256" s="410" customFormat="1" x14ac:dyDescent="0.2">
      <c r="A28" s="417"/>
      <c r="B28" s="409"/>
      <c r="IV28" s="411"/>
    </row>
    <row r="29" spans="1:256" s="410" customFormat="1" x14ac:dyDescent="0.2">
      <c r="A29" s="417"/>
      <c r="B29" s="409"/>
      <c r="IV29" s="411"/>
    </row>
    <row r="30" spans="1:256" s="410" customFormat="1" x14ac:dyDescent="0.2">
      <c r="A30" s="417"/>
      <c r="B30" s="409"/>
      <c r="IV30" s="411"/>
    </row>
    <row r="31" spans="1:256" s="410" customFormat="1" x14ac:dyDescent="0.2">
      <c r="A31" s="417"/>
      <c r="B31" s="409"/>
      <c r="IV31" s="411"/>
    </row>
    <row r="32" spans="1:256" s="410" customFormat="1" x14ac:dyDescent="0.2">
      <c r="A32" s="417"/>
      <c r="B32" s="409"/>
      <c r="IV32" s="411"/>
    </row>
    <row r="33" spans="1:256" s="410" customFormat="1" x14ac:dyDescent="0.2">
      <c r="A33" s="417"/>
      <c r="B33" s="409"/>
      <c r="IV33" s="411"/>
    </row>
    <row r="34" spans="1:256" s="410" customFormat="1" x14ac:dyDescent="0.2">
      <c r="A34" s="417"/>
      <c r="B34" s="409"/>
      <c r="IV34" s="411"/>
    </row>
    <row r="35" spans="1:256" s="410" customFormat="1" x14ac:dyDescent="0.2">
      <c r="A35" s="417"/>
      <c r="B35" s="409"/>
      <c r="IV35" s="411"/>
    </row>
    <row r="36" spans="1:256" s="410" customFormat="1" x14ac:dyDescent="0.2">
      <c r="A36" s="417"/>
      <c r="B36" s="409"/>
      <c r="IV36" s="411"/>
    </row>
    <row r="37" spans="1:256" s="410" customFormat="1" x14ac:dyDescent="0.2">
      <c r="A37" s="417"/>
      <c r="B37" s="409"/>
      <c r="IV37" s="411"/>
    </row>
    <row r="38" spans="1:256" s="410" customFormat="1" x14ac:dyDescent="0.2">
      <c r="A38" s="417"/>
      <c r="B38" s="409"/>
      <c r="IV38" s="411"/>
    </row>
    <row r="39" spans="1:256" s="410" customFormat="1" x14ac:dyDescent="0.2">
      <c r="A39" s="417"/>
      <c r="B39" s="409"/>
      <c r="IV39" s="411"/>
    </row>
    <row r="40" spans="1:256" s="410" customFormat="1" x14ac:dyDescent="0.2">
      <c r="A40" s="417"/>
      <c r="B40" s="409"/>
      <c r="IV40" s="411"/>
    </row>
    <row r="41" spans="1:256" s="410" customFormat="1" x14ac:dyDescent="0.2">
      <c r="A41" s="417"/>
      <c r="B41" s="409"/>
      <c r="IV41" s="411"/>
    </row>
    <row r="42" spans="1:256" s="410" customFormat="1" x14ac:dyDescent="0.2">
      <c r="A42" s="417"/>
      <c r="B42" s="409"/>
      <c r="IV42" s="411"/>
    </row>
    <row r="43" spans="1:256" s="410" customFormat="1" x14ac:dyDescent="0.2">
      <c r="A43" s="417"/>
      <c r="B43" s="409"/>
      <c r="IV43" s="411"/>
    </row>
    <row r="44" spans="1:256" s="410" customFormat="1" x14ac:dyDescent="0.2">
      <c r="A44" s="417"/>
      <c r="B44" s="409"/>
      <c r="IV44" s="411"/>
    </row>
    <row r="45" spans="1:256" s="410" customFormat="1" x14ac:dyDescent="0.2">
      <c r="A45" s="417"/>
      <c r="B45" s="409"/>
      <c r="IV45" s="411"/>
    </row>
    <row r="46" spans="1:256" s="410" customFormat="1" x14ac:dyDescent="0.2">
      <c r="A46" s="417"/>
      <c r="B46" s="409"/>
      <c r="IV46" s="411"/>
    </row>
    <row r="47" spans="1:256" s="410" customFormat="1" x14ac:dyDescent="0.2">
      <c r="A47" s="417"/>
      <c r="B47" s="409"/>
      <c r="IV47" s="411"/>
    </row>
    <row r="48" spans="1:256" s="410" customFormat="1" x14ac:dyDescent="0.2">
      <c r="A48" s="417"/>
      <c r="B48" s="409"/>
      <c r="IV48" s="411"/>
    </row>
    <row r="49" spans="1:256" s="410" customFormat="1" x14ac:dyDescent="0.2">
      <c r="A49" s="417"/>
      <c r="B49" s="409"/>
      <c r="IV49" s="411"/>
    </row>
    <row r="50" spans="1:256" s="410" customFormat="1" x14ac:dyDescent="0.2">
      <c r="A50" s="417"/>
      <c r="B50" s="409"/>
      <c r="IV50" s="411"/>
    </row>
    <row r="51" spans="1:256" s="410" customFormat="1" x14ac:dyDescent="0.2">
      <c r="A51" s="417"/>
      <c r="B51" s="409"/>
      <c r="IV51" s="411"/>
    </row>
    <row r="52" spans="1:256" s="410" customFormat="1" x14ac:dyDescent="0.2">
      <c r="A52" s="417"/>
      <c r="B52" s="409"/>
      <c r="IV52" s="411"/>
    </row>
    <row r="53" spans="1:256" s="410" customFormat="1" x14ac:dyDescent="0.2">
      <c r="A53" s="417"/>
      <c r="B53" s="409"/>
      <c r="IV53" s="411"/>
    </row>
    <row r="54" spans="1:256" s="410" customFormat="1" x14ac:dyDescent="0.2">
      <c r="A54" s="417"/>
      <c r="B54" s="409"/>
      <c r="IV54" s="411"/>
    </row>
    <row r="55" spans="1:256" s="410" customFormat="1" x14ac:dyDescent="0.2">
      <c r="A55" s="417"/>
      <c r="B55" s="409"/>
      <c r="IV55" s="411"/>
    </row>
    <row r="56" spans="1:256" s="410" customFormat="1" x14ac:dyDescent="0.2">
      <c r="A56" s="417"/>
      <c r="B56" s="409"/>
      <c r="IV56" s="411"/>
    </row>
    <row r="57" spans="1:256" s="410" customFormat="1" x14ac:dyDescent="0.2">
      <c r="A57" s="417"/>
      <c r="B57" s="409"/>
      <c r="IV57" s="411"/>
    </row>
    <row r="58" spans="1:256" s="410" customFormat="1" x14ac:dyDescent="0.2">
      <c r="A58" s="417"/>
      <c r="B58" s="409"/>
      <c r="IV58" s="411"/>
    </row>
    <row r="59" spans="1:256" s="410" customFormat="1" x14ac:dyDescent="0.2">
      <c r="A59" s="417"/>
      <c r="B59" s="409"/>
      <c r="IV59" s="411"/>
    </row>
    <row r="60" spans="1:256" s="410" customFormat="1" x14ac:dyDescent="0.2">
      <c r="A60" s="417"/>
      <c r="B60" s="409"/>
      <c r="IV60" s="411"/>
    </row>
    <row r="61" spans="1:256" s="410" customFormat="1" x14ac:dyDescent="0.2">
      <c r="A61" s="417"/>
      <c r="B61" s="409"/>
      <c r="IV61" s="411"/>
    </row>
    <row r="62" spans="1:256" s="410" customFormat="1" x14ac:dyDescent="0.2">
      <c r="A62" s="417"/>
      <c r="B62" s="409"/>
      <c r="IV62" s="411"/>
    </row>
    <row r="63" spans="1:256" s="410" customFormat="1" x14ac:dyDescent="0.2">
      <c r="A63" s="417"/>
      <c r="B63" s="409"/>
      <c r="IV63" s="411"/>
    </row>
    <row r="64" spans="1:256" s="410" customFormat="1" x14ac:dyDescent="0.2">
      <c r="A64" s="417"/>
      <c r="B64" s="409"/>
      <c r="IV64" s="411"/>
    </row>
    <row r="65" spans="1:256" s="410" customFormat="1" x14ac:dyDescent="0.2">
      <c r="A65" s="417"/>
      <c r="B65" s="409"/>
      <c r="IV65" s="411"/>
    </row>
    <row r="66" spans="1:256" s="410" customFormat="1" x14ac:dyDescent="0.2">
      <c r="A66" s="417"/>
      <c r="B66" s="409"/>
      <c r="IV66" s="411"/>
    </row>
    <row r="67" spans="1:256" s="410" customFormat="1" x14ac:dyDescent="0.2">
      <c r="A67" s="417"/>
      <c r="B67" s="409"/>
      <c r="IV67" s="411"/>
    </row>
    <row r="68" spans="1:256" s="410" customFormat="1" x14ac:dyDescent="0.2">
      <c r="A68" s="417"/>
      <c r="B68" s="409"/>
      <c r="IV68" s="411"/>
    </row>
    <row r="69" spans="1:256" s="410" customFormat="1" x14ac:dyDescent="0.2">
      <c r="A69" s="417"/>
      <c r="B69" s="409"/>
      <c r="IV69" s="411"/>
    </row>
    <row r="70" spans="1:256" s="410" customFormat="1" x14ac:dyDescent="0.2">
      <c r="A70" s="417"/>
      <c r="B70" s="409"/>
      <c r="IV70" s="411"/>
    </row>
    <row r="71" spans="1:256" s="410" customFormat="1" x14ac:dyDescent="0.2">
      <c r="A71" s="417"/>
      <c r="B71" s="409"/>
      <c r="IV71" s="411"/>
    </row>
    <row r="72" spans="1:256" s="410" customFormat="1" x14ac:dyDescent="0.2">
      <c r="A72" s="417"/>
      <c r="B72" s="409"/>
      <c r="IV72" s="411"/>
    </row>
    <row r="73" spans="1:256" s="410" customFormat="1" x14ac:dyDescent="0.2">
      <c r="A73" s="417"/>
      <c r="B73" s="409"/>
      <c r="IV73" s="411"/>
    </row>
    <row r="74" spans="1:256" s="410" customFormat="1" x14ac:dyDescent="0.2">
      <c r="A74" s="417"/>
      <c r="B74" s="409"/>
      <c r="IV74" s="411"/>
    </row>
    <row r="75" spans="1:256" s="410" customFormat="1" x14ac:dyDescent="0.2">
      <c r="A75" s="417"/>
      <c r="B75" s="409"/>
      <c r="IV75" s="411"/>
    </row>
    <row r="76" spans="1:256" s="410" customFormat="1" x14ac:dyDescent="0.2">
      <c r="A76" s="417"/>
      <c r="B76" s="409"/>
      <c r="IV76" s="411"/>
    </row>
    <row r="77" spans="1:256" s="410" customFormat="1" x14ac:dyDescent="0.2">
      <c r="A77" s="417"/>
      <c r="B77" s="409"/>
      <c r="IV77" s="411"/>
    </row>
    <row r="78" spans="1:256" s="410" customFormat="1" x14ac:dyDescent="0.2">
      <c r="A78" s="417"/>
      <c r="B78" s="409"/>
      <c r="IV78" s="411"/>
    </row>
    <row r="79" spans="1:256" s="410" customFormat="1" x14ac:dyDescent="0.2">
      <c r="A79" s="417"/>
      <c r="B79" s="409"/>
      <c r="IV79" s="411"/>
    </row>
    <row r="80" spans="1:256" s="410" customFormat="1" x14ac:dyDescent="0.2">
      <c r="A80" s="417"/>
      <c r="B80" s="409"/>
      <c r="IV80" s="411"/>
    </row>
    <row r="81" spans="1:256" s="410" customFormat="1" x14ac:dyDescent="0.2">
      <c r="A81" s="417"/>
      <c r="B81" s="409"/>
      <c r="IV81" s="411"/>
    </row>
    <row r="82" spans="1:256" s="410" customFormat="1" x14ac:dyDescent="0.2">
      <c r="A82" s="417"/>
      <c r="B82" s="409"/>
      <c r="IV82" s="411"/>
    </row>
    <row r="83" spans="1:256" s="410" customFormat="1" x14ac:dyDescent="0.2">
      <c r="A83" s="417"/>
      <c r="B83" s="409"/>
      <c r="IV83" s="411"/>
    </row>
    <row r="84" spans="1:256" s="410" customFormat="1" x14ac:dyDescent="0.2">
      <c r="A84" s="417"/>
      <c r="B84" s="409"/>
      <c r="IV84" s="411"/>
    </row>
    <row r="85" spans="1:256" s="410" customFormat="1" x14ac:dyDescent="0.2">
      <c r="A85" s="417"/>
      <c r="B85" s="409"/>
      <c r="IV85" s="411"/>
    </row>
    <row r="86" spans="1:256" s="410" customFormat="1" x14ac:dyDescent="0.2">
      <c r="A86" s="417"/>
      <c r="B86" s="409"/>
      <c r="IV86" s="411"/>
    </row>
    <row r="87" spans="1:256" s="410" customFormat="1" x14ac:dyDescent="0.2">
      <c r="A87" s="417"/>
      <c r="B87" s="409"/>
      <c r="IV87" s="411"/>
    </row>
    <row r="88" spans="1:256" s="410" customFormat="1" x14ac:dyDescent="0.2">
      <c r="A88" s="417"/>
      <c r="B88" s="409"/>
      <c r="IV88" s="411"/>
    </row>
    <row r="89" spans="1:256" s="410" customFormat="1" x14ac:dyDescent="0.2">
      <c r="A89" s="417"/>
      <c r="B89" s="409"/>
      <c r="IV89" s="411"/>
    </row>
    <row r="90" spans="1:256" s="410" customFormat="1" x14ac:dyDescent="0.2">
      <c r="A90" s="417"/>
      <c r="B90" s="409"/>
      <c r="IV90" s="411"/>
    </row>
    <row r="91" spans="1:256" s="410" customFormat="1" x14ac:dyDescent="0.2">
      <c r="A91" s="417"/>
      <c r="B91" s="409"/>
      <c r="IV91" s="411"/>
    </row>
    <row r="92" spans="1:256" s="410" customFormat="1" x14ac:dyDescent="0.2">
      <c r="A92" s="417"/>
      <c r="B92" s="409"/>
      <c r="IV92" s="411"/>
    </row>
    <row r="93" spans="1:256" s="410" customFormat="1" x14ac:dyDescent="0.2">
      <c r="A93" s="417"/>
      <c r="B93" s="409"/>
      <c r="IV93" s="411"/>
    </row>
    <row r="94" spans="1:256" s="410" customFormat="1" x14ac:dyDescent="0.2">
      <c r="A94" s="417"/>
      <c r="B94" s="409"/>
      <c r="IV94" s="411"/>
    </row>
    <row r="95" spans="1:256" s="410" customFormat="1" x14ac:dyDescent="0.2">
      <c r="A95" s="417"/>
      <c r="B95" s="409"/>
      <c r="IV95" s="411"/>
    </row>
    <row r="96" spans="1:256" s="410" customFormat="1" x14ac:dyDescent="0.2">
      <c r="A96" s="417"/>
      <c r="B96" s="409"/>
      <c r="IV96" s="411"/>
    </row>
    <row r="97" spans="1:256" s="410" customFormat="1" x14ac:dyDescent="0.2">
      <c r="A97" s="417"/>
      <c r="B97" s="409"/>
      <c r="IV97" s="411"/>
    </row>
    <row r="98" spans="1:256" s="410" customFormat="1" x14ac:dyDescent="0.2">
      <c r="A98" s="417"/>
      <c r="B98" s="409"/>
      <c r="IV98" s="411"/>
    </row>
    <row r="99" spans="1:256" s="410" customFormat="1" x14ac:dyDescent="0.2">
      <c r="A99" s="417"/>
      <c r="B99" s="409"/>
      <c r="IV99" s="411"/>
    </row>
    <row r="100" spans="1:256" s="410" customFormat="1" x14ac:dyDescent="0.2">
      <c r="A100" s="417"/>
      <c r="B100" s="409"/>
      <c r="IV100" s="411"/>
    </row>
    <row r="101" spans="1:256" s="410" customFormat="1" x14ac:dyDescent="0.2">
      <c r="A101" s="417"/>
      <c r="B101" s="409"/>
      <c r="IV101" s="411"/>
    </row>
    <row r="102" spans="1:256" s="410" customFormat="1" x14ac:dyDescent="0.2">
      <c r="A102" s="417"/>
      <c r="B102" s="409"/>
      <c r="IV102" s="411"/>
    </row>
    <row r="103" spans="1:256" s="410" customFormat="1" x14ac:dyDescent="0.2">
      <c r="A103" s="417"/>
      <c r="B103" s="409"/>
      <c r="IV103" s="411"/>
    </row>
    <row r="104" spans="1:256" s="410" customFormat="1" x14ac:dyDescent="0.2">
      <c r="A104" s="417"/>
      <c r="B104" s="409"/>
      <c r="IV104" s="411"/>
    </row>
    <row r="105" spans="1:256" s="410" customFormat="1" x14ac:dyDescent="0.2">
      <c r="A105" s="417"/>
      <c r="B105" s="409"/>
      <c r="IV105" s="411"/>
    </row>
    <row r="106" spans="1:256" s="410" customFormat="1" x14ac:dyDescent="0.2">
      <c r="A106" s="417"/>
      <c r="B106" s="409"/>
      <c r="IV106" s="411"/>
    </row>
    <row r="107" spans="1:256" s="410" customFormat="1" x14ac:dyDescent="0.2">
      <c r="A107" s="417"/>
      <c r="B107" s="409"/>
      <c r="IV107" s="411"/>
    </row>
    <row r="108" spans="1:256" s="410" customFormat="1" x14ac:dyDescent="0.2">
      <c r="A108" s="417"/>
      <c r="B108" s="409"/>
      <c r="IV108" s="411"/>
    </row>
    <row r="109" spans="1:256" s="410" customFormat="1" x14ac:dyDescent="0.2">
      <c r="A109" s="417"/>
      <c r="B109" s="409"/>
      <c r="IV109" s="411"/>
    </row>
    <row r="110" spans="1:256" s="410" customFormat="1" x14ac:dyDescent="0.2">
      <c r="A110" s="417"/>
      <c r="B110" s="409"/>
      <c r="IV110" s="411"/>
    </row>
    <row r="111" spans="1:256" s="410" customFormat="1" x14ac:dyDescent="0.2">
      <c r="A111" s="417"/>
      <c r="B111" s="409"/>
      <c r="IV111" s="411"/>
    </row>
    <row r="112" spans="1:256" s="410" customFormat="1" x14ac:dyDescent="0.2">
      <c r="A112" s="417"/>
      <c r="B112" s="409"/>
      <c r="IV112" s="411"/>
    </row>
    <row r="113" spans="1:256" s="410" customFormat="1" x14ac:dyDescent="0.2">
      <c r="A113" s="417"/>
      <c r="B113" s="409"/>
      <c r="IV113" s="411"/>
    </row>
    <row r="114" spans="1:256" s="410" customFormat="1" x14ac:dyDescent="0.2">
      <c r="A114" s="417"/>
      <c r="B114" s="409"/>
      <c r="IV114" s="411"/>
    </row>
    <row r="115" spans="1:256" s="410" customFormat="1" x14ac:dyDescent="0.2">
      <c r="A115" s="417"/>
      <c r="B115" s="409"/>
      <c r="IV115" s="411"/>
    </row>
    <row r="116" spans="1:256" s="410" customFormat="1" x14ac:dyDescent="0.2">
      <c r="A116" s="417"/>
      <c r="B116" s="409"/>
      <c r="IV116" s="411"/>
    </row>
    <row r="117" spans="1:256" s="410" customFormat="1" x14ac:dyDescent="0.2">
      <c r="A117" s="417"/>
      <c r="B117" s="409"/>
      <c r="IV117" s="411"/>
    </row>
    <row r="118" spans="1:256" s="410" customFormat="1" x14ac:dyDescent="0.2">
      <c r="A118" s="417"/>
      <c r="B118" s="409"/>
      <c r="IV118" s="411"/>
    </row>
    <row r="119" spans="1:256" s="410" customFormat="1" x14ac:dyDescent="0.2">
      <c r="A119" s="417"/>
      <c r="B119" s="409"/>
      <c r="IV119" s="411"/>
    </row>
    <row r="120" spans="1:256" s="410" customFormat="1" x14ac:dyDescent="0.2">
      <c r="A120" s="417"/>
      <c r="B120" s="409"/>
      <c r="IV120" s="411"/>
    </row>
    <row r="121" spans="1:256" s="410" customFormat="1" x14ac:dyDescent="0.2">
      <c r="A121" s="417"/>
      <c r="B121" s="409"/>
      <c r="IV121" s="411"/>
    </row>
    <row r="122" spans="1:256" s="410" customFormat="1" x14ac:dyDescent="0.2">
      <c r="A122" s="417"/>
      <c r="B122" s="409"/>
      <c r="IV122" s="411"/>
    </row>
    <row r="123" spans="1:256" s="410" customFormat="1" x14ac:dyDescent="0.2">
      <c r="A123" s="417"/>
      <c r="B123" s="409"/>
      <c r="IV123" s="411"/>
    </row>
    <row r="124" spans="1:256" s="410" customFormat="1" x14ac:dyDescent="0.2">
      <c r="A124" s="417"/>
      <c r="B124" s="409"/>
      <c r="IV124" s="411"/>
    </row>
    <row r="125" spans="1:256" s="410" customFormat="1" x14ac:dyDescent="0.2">
      <c r="A125" s="417"/>
      <c r="B125" s="409"/>
      <c r="IV125" s="411"/>
    </row>
    <row r="126" spans="1:256" s="410" customFormat="1" x14ac:dyDescent="0.2">
      <c r="A126" s="417"/>
      <c r="B126" s="409"/>
      <c r="IV126" s="411"/>
    </row>
    <row r="127" spans="1:256" s="410" customFormat="1" x14ac:dyDescent="0.2">
      <c r="A127" s="417"/>
      <c r="B127" s="409"/>
      <c r="IV127" s="411"/>
    </row>
    <row r="128" spans="1:256" s="410" customFormat="1" x14ac:dyDescent="0.2">
      <c r="A128" s="417"/>
      <c r="B128" s="409"/>
      <c r="IV128" s="411"/>
    </row>
    <row r="129" spans="1:256" s="410" customFormat="1" x14ac:dyDescent="0.2">
      <c r="A129" s="417"/>
      <c r="B129" s="409"/>
      <c r="IV129" s="411"/>
    </row>
    <row r="130" spans="1:256" s="410" customFormat="1" x14ac:dyDescent="0.2">
      <c r="A130" s="417"/>
      <c r="B130" s="409"/>
      <c r="IV130" s="411"/>
    </row>
    <row r="131" spans="1:256" s="410" customFormat="1" x14ac:dyDescent="0.2">
      <c r="A131" s="417"/>
      <c r="B131" s="409"/>
      <c r="IV131" s="411"/>
    </row>
    <row r="132" spans="1:256" s="410" customFormat="1" x14ac:dyDescent="0.2">
      <c r="A132" s="417"/>
      <c r="B132" s="409"/>
      <c r="IV132" s="411"/>
    </row>
    <row r="133" spans="1:256" s="410" customFormat="1" x14ac:dyDescent="0.2">
      <c r="A133" s="417"/>
      <c r="B133" s="409"/>
      <c r="IV133" s="411"/>
    </row>
    <row r="134" spans="1:256" s="410" customFormat="1" x14ac:dyDescent="0.2">
      <c r="A134" s="417"/>
      <c r="B134" s="409"/>
      <c r="IV134" s="411"/>
    </row>
    <row r="135" spans="1:256" s="410" customFormat="1" x14ac:dyDescent="0.2">
      <c r="A135" s="417"/>
      <c r="B135" s="409"/>
      <c r="IV135" s="411"/>
    </row>
    <row r="136" spans="1:256" s="410" customFormat="1" x14ac:dyDescent="0.2">
      <c r="A136" s="417"/>
      <c r="B136" s="409"/>
      <c r="IV136" s="411"/>
    </row>
    <row r="137" spans="1:256" s="410" customFormat="1" x14ac:dyDescent="0.2">
      <c r="A137" s="417"/>
      <c r="B137" s="409"/>
      <c r="IV137" s="411"/>
    </row>
    <row r="138" spans="1:256" s="410" customFormat="1" x14ac:dyDescent="0.2">
      <c r="A138" s="417"/>
      <c r="B138" s="409"/>
      <c r="IV138" s="411"/>
    </row>
    <row r="139" spans="1:256" s="410" customFormat="1" x14ac:dyDescent="0.2">
      <c r="A139" s="417"/>
      <c r="B139" s="409"/>
      <c r="IV139" s="411"/>
    </row>
    <row r="140" spans="1:256" s="410" customFormat="1" x14ac:dyDescent="0.2">
      <c r="A140" s="417"/>
      <c r="B140" s="409"/>
      <c r="IV140" s="411"/>
    </row>
    <row r="141" spans="1:256" s="410" customFormat="1" x14ac:dyDescent="0.2">
      <c r="A141" s="417"/>
      <c r="B141" s="409"/>
      <c r="IV141" s="411"/>
    </row>
    <row r="142" spans="1:256" s="410" customFormat="1" x14ac:dyDescent="0.2">
      <c r="A142" s="417"/>
      <c r="B142" s="409"/>
      <c r="IV142" s="411"/>
    </row>
    <row r="143" spans="1:256" s="410" customFormat="1" x14ac:dyDescent="0.2">
      <c r="A143" s="417"/>
      <c r="B143" s="409"/>
      <c r="IV143" s="411"/>
    </row>
  </sheetData>
  <mergeCells count="1">
    <mergeCell ref="A1:C1"/>
  </mergeCells>
  <pageMargins left="0.78740157480314965" right="0.78740157480314965" top="1.1417322834645669" bottom="1.0236220472440944" header="0.78740157480314965" footer="0.78740157480314965"/>
  <pageSetup paperSize="9" firstPageNumber="0" orientation="portrait" r:id="rId1"/>
  <headerFooter alignWithMargins="0">
    <oddHeader>&amp;L 10. melléklet  a 2/2020. (III.16.) önkormányzati rendelethez</oddHeader>
    <oddFooter>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39D7-47AF-4B9B-B431-3469E0E13070}">
  <dimension ref="A1:O52"/>
  <sheetViews>
    <sheetView view="pageBreakPreview" topLeftCell="B1" zoomScaleNormal="100" zoomScaleSheetLayoutView="100" workbookViewId="0">
      <selection activeCell="L1" sqref="L1:O1048576"/>
    </sheetView>
  </sheetViews>
  <sheetFormatPr defaultRowHeight="15" x14ac:dyDescent="0.25"/>
  <cols>
    <col min="1" max="1" width="4.140625" style="97" customWidth="1"/>
    <col min="2" max="2" width="35.28515625" style="98" customWidth="1"/>
    <col min="3" max="3" width="12.7109375" style="99" bestFit="1" customWidth="1"/>
    <col min="4" max="4" width="11.28515625" style="99" customWidth="1"/>
    <col min="5" max="5" width="14" style="99" customWidth="1"/>
    <col min="6" max="6" width="16.7109375" style="99" bestFit="1" customWidth="1"/>
    <col min="7" max="7" width="12.7109375" style="99" bestFit="1" customWidth="1"/>
    <col min="8" max="8" width="12.28515625" style="99" customWidth="1"/>
    <col min="9" max="9" width="14" style="99" customWidth="1"/>
    <col min="10" max="10" width="16.7109375" style="99" bestFit="1" customWidth="1"/>
    <col min="11" max="11" width="16.7109375" style="99" hidden="1" customWidth="1"/>
    <col min="12" max="12" width="13.5703125" style="99" customWidth="1"/>
    <col min="13" max="13" width="9.140625" style="99"/>
    <col min="14" max="14" width="10.85546875" style="99" bestFit="1" customWidth="1"/>
    <col min="15" max="15" width="10.5703125" style="99" bestFit="1" customWidth="1"/>
    <col min="16" max="16384" width="9.140625" style="99"/>
  </cols>
  <sheetData>
    <row r="1" spans="1:15" x14ac:dyDescent="0.25">
      <c r="F1" s="70"/>
      <c r="J1" s="70" t="s">
        <v>0</v>
      </c>
    </row>
    <row r="2" spans="1:15" ht="30.4" customHeight="1" x14ac:dyDescent="0.25">
      <c r="A2" s="424" t="s">
        <v>1</v>
      </c>
      <c r="B2" s="424" t="s">
        <v>7</v>
      </c>
      <c r="C2" s="425" t="s">
        <v>6</v>
      </c>
      <c r="D2" s="426"/>
      <c r="E2" s="426"/>
      <c r="F2" s="427"/>
      <c r="G2" s="419" t="s">
        <v>59</v>
      </c>
      <c r="H2" s="420"/>
      <c r="I2" s="420"/>
      <c r="J2" s="421"/>
      <c r="K2" s="422" t="s">
        <v>60</v>
      </c>
    </row>
    <row r="3" spans="1:15" ht="45" x14ac:dyDescent="0.25">
      <c r="A3" s="424"/>
      <c r="B3" s="424"/>
      <c r="C3" s="71" t="s">
        <v>61</v>
      </c>
      <c r="D3" s="71" t="s">
        <v>62</v>
      </c>
      <c r="E3" s="71" t="s">
        <v>63</v>
      </c>
      <c r="F3" s="71" t="s">
        <v>64</v>
      </c>
      <c r="G3" s="71" t="s">
        <v>61</v>
      </c>
      <c r="H3" s="71" t="s">
        <v>62</v>
      </c>
      <c r="I3" s="71" t="s">
        <v>63</v>
      </c>
      <c r="J3" s="71" t="s">
        <v>64</v>
      </c>
      <c r="K3" s="423"/>
    </row>
    <row r="4" spans="1:15" x14ac:dyDescent="0.25">
      <c r="A4" s="100" t="s">
        <v>8</v>
      </c>
      <c r="B4" s="101" t="s">
        <v>109</v>
      </c>
      <c r="C4" s="102">
        <f>SUM(C5:C9)</f>
        <v>3955863451</v>
      </c>
      <c r="D4" s="102">
        <f>SUM(D5:D9)</f>
        <v>594707265</v>
      </c>
      <c r="E4" s="102">
        <f>SUM(E5:E9)</f>
        <v>1229000</v>
      </c>
      <c r="F4" s="102">
        <f>SUM(C4:E4)</f>
        <v>4551799716</v>
      </c>
      <c r="G4" s="102">
        <f>SUM(G5:G9)</f>
        <v>4193111132</v>
      </c>
      <c r="H4" s="102">
        <f>SUM(H5:H9)</f>
        <v>651375010</v>
      </c>
      <c r="I4" s="102">
        <f>SUM(I5:I9)</f>
        <v>1229000</v>
      </c>
      <c r="J4" s="102">
        <f>SUM(G4:I4)</f>
        <v>4845715142</v>
      </c>
      <c r="K4" s="102">
        <f>+K5+K6+K7+K8+K9</f>
        <v>1425801329</v>
      </c>
      <c r="L4" s="103"/>
    </row>
    <row r="5" spans="1:15" x14ac:dyDescent="0.25">
      <c r="A5" s="104" t="s">
        <v>11</v>
      </c>
      <c r="B5" s="105" t="s">
        <v>13</v>
      </c>
      <c r="C5" s="106">
        <f>'[6]2B Önk kiad'!C8+'[6]3A PH'!C40+'[6]4H VG bev kiad'!C37+'[6]4A Walla'!C37+'[6]4B Nyitnikék'!C37+'[6]4C Bóbita'!C37+'[6]4D MMMH'!C37+'[6]4E Könyvtár'!C37+'[6]4F Segítő Kéz'!C37+'[6]4G Szérüskert'!C37</f>
        <v>1568622750</v>
      </c>
      <c r="D5" s="106">
        <f>'[6]2B Önk kiad'!D8+'[6]3A PH'!D40+'[6]4H VG bev kiad'!D37+'[6]4A Walla'!D37+'[6]4B Nyitnikék'!D37+'[6]4C Bóbita'!D37+'[6]4D MMMH'!D37+'[6]4E Könyvtár'!D37+'[6]4F Segítő Kéz'!D37+'[6]4G Szérüskert'!D37</f>
        <v>95523320</v>
      </c>
      <c r="E5" s="106">
        <f>'[6]2B Önk kiad'!E8+'[6]3A PH'!E40</f>
        <v>40000</v>
      </c>
      <c r="F5" s="106">
        <f>SUM(C5:E5)</f>
        <v>1664186070</v>
      </c>
      <c r="G5" s="106">
        <f>'[6]2B Önk kiad'!G8+'[6]3A PH'!G40+'[6]4H VG bev kiad'!F37+'[6]4A Walla'!F37+'[6]4B Nyitnikék'!F37+'[6]4C Bóbita'!F37+'[6]4D MMMH'!F37+'[6]4E Könyvtár'!F37+'[6]4F Segítő Kéz'!F37+'[6]4G Szérüskert'!F37</f>
        <v>1609938474</v>
      </c>
      <c r="H5" s="106">
        <f>'[6]2B Önk kiad'!H8+'[6]3A PH'!H40+'[6]4H VG bev kiad'!G37+'[6]4A Walla'!G37+'[6]4B Nyitnikék'!G37+'[6]4C Bóbita'!G37+'[6]4D MMMH'!G37+'[6]4E Könyvtár'!G37+'[6]4F Segítő Kéz'!G37+'[6]4G Szérüskert'!G37</f>
        <v>91859007</v>
      </c>
      <c r="I5" s="106">
        <f>'[6]2B Önk kiad'!I8+'[6]3A PH'!I40</f>
        <v>40000</v>
      </c>
      <c r="J5" s="106">
        <f>SUM(G5:I5)</f>
        <v>1701837481</v>
      </c>
      <c r="K5" s="106">
        <f>'[6]2B Önk kiad'!K8+'[6]3A PH'!K40+'[6]4H VG bev kiad'!I37+'[6]4A Walla'!I37+'[6]4B Nyitnikék'!I37+'[6]4C Bóbita'!I37+'[6]4D MMMH'!I37+'[6]4E Könyvtár'!I37+'[6]4F Segítő Kéz'!I37+'[6]4G Szérüskert'!I37</f>
        <v>547140919</v>
      </c>
      <c r="L5" s="103"/>
    </row>
    <row r="6" spans="1:15" ht="30" x14ac:dyDescent="0.25">
      <c r="A6" s="104" t="s">
        <v>14</v>
      </c>
      <c r="B6" s="105" t="s">
        <v>16</v>
      </c>
      <c r="C6" s="106">
        <f>'[6]2B Önk kiad'!C9+'[6]3A PH'!C41+'[6]4H VG bev kiad'!C38+'[6]4A Walla'!C38+'[6]4B Nyitnikék'!C38+'[6]4C Bóbita'!C38+'[6]4D MMMH'!C38+'[6]4E Könyvtár'!C38+'[6]4F Segítő Kéz'!C38+'[6]4G Szérüskert'!C38</f>
        <v>312181415</v>
      </c>
      <c r="D6" s="106">
        <f>'[6]2B Önk kiad'!D9+'[6]3A PH'!D41+'[6]4H VG bev kiad'!D38+'[6]4A Walla'!D38+'[6]4B Nyitnikék'!D38+'[6]4C Bóbita'!D38+'[6]4D MMMH'!D38+'[6]4E Könyvtár'!D38+'[6]4F Segítő Kéz'!D38+'[6]4G Szérüskert'!D38</f>
        <v>15242500</v>
      </c>
      <c r="E6" s="106">
        <f>'[6]2B Önk kiad'!E9+'[6]3A PH'!E41</f>
        <v>16000</v>
      </c>
      <c r="F6" s="106">
        <f>SUM(C6:E6)</f>
        <v>327439915</v>
      </c>
      <c r="G6" s="106">
        <f>'[6]2B Önk kiad'!G9+'[6]3A PH'!G41+'[6]4H VG bev kiad'!F38+'[6]4A Walla'!F38+'[6]4B Nyitnikék'!F38+'[6]4C Bóbita'!F38+'[6]4D MMMH'!F38+'[6]4E Könyvtár'!F38+'[6]4F Segítő Kéz'!F38+'[6]4G Szérüskert'!F38</f>
        <v>319404415</v>
      </c>
      <c r="H6" s="106">
        <f>'[6]2B Önk kiad'!H9+'[6]3A PH'!H41+'[6]4H VG bev kiad'!G38+'[6]4A Walla'!G38+'[6]4B Nyitnikék'!G38+'[6]4C Bóbita'!G38+'[6]4D MMMH'!G38+'[6]4E Könyvtár'!G38+'[6]4F Segítő Kéz'!G38+'[6]4G Szérüskert'!G38</f>
        <v>15242500</v>
      </c>
      <c r="I6" s="106">
        <f>'[6]2B Önk kiad'!I9+'[6]3A PH'!I41</f>
        <v>16000</v>
      </c>
      <c r="J6" s="106">
        <f>SUM(G6:I6)</f>
        <v>334662915</v>
      </c>
      <c r="K6" s="106">
        <f>'[6]2B Önk kiad'!K9+'[6]3A PH'!K41+'[6]4H VG bev kiad'!I38+'[6]4A Walla'!I38+'[6]4B Nyitnikék'!I38+'[6]4C Bóbita'!I38+'[6]4D MMMH'!I38+'[6]4E Könyvtár'!I38+'[6]4F Segítő Kéz'!I38+'[6]4G Szérüskert'!I38</f>
        <v>104388569</v>
      </c>
      <c r="L6" s="103"/>
    </row>
    <row r="7" spans="1:15" x14ac:dyDescent="0.25">
      <c r="A7" s="104" t="s">
        <v>17</v>
      </c>
      <c r="B7" s="105" t="s">
        <v>19</v>
      </c>
      <c r="C7" s="106">
        <f>'[6]2B Önk kiad'!C10+'[6]3A PH'!C42+'[6]4H VG bev kiad'!C39+'[6]4A Walla'!C39+'[6]4B Nyitnikék'!C39+'[6]4C Bóbita'!C39+'[6]4D MMMH'!C39+'[6]4E Könyvtár'!C39+'[6]4F Segítő Kéz'!C39+'[6]4G Szérüskert'!C39</f>
        <v>1420748280</v>
      </c>
      <c r="D7" s="106">
        <f>'[6]2B Önk kiad'!D10+'[6]3A PH'!D42+'[6]4H VG bev kiad'!D39+'[6]4A Walla'!D39+'[6]4B Nyitnikék'!D39+'[6]4C Bóbita'!D39+'[6]4D MMMH'!D39+'[6]4E Könyvtár'!D39+'[6]4F Segítő Kéz'!D39+'[6]4G Szérüskert'!D39</f>
        <v>161029445</v>
      </c>
      <c r="E7" s="106">
        <f>'[6]2B Önk kiad'!E10+'[6]3A PH'!E42</f>
        <v>1173000</v>
      </c>
      <c r="F7" s="106">
        <f>SUM(C7:E7)</f>
        <v>1582950725</v>
      </c>
      <c r="G7" s="106">
        <f>'[6]2B Önk kiad'!G10+'[6]3A PH'!G42+'[6]4H VG bev kiad'!F39+'[6]4A Walla'!F39+'[6]4B Nyitnikék'!F39+'[6]4C Bóbita'!F39+'[6]4D MMMH'!F39+'[6]4E Könyvtár'!F39+'[6]4F Segítő Kéz'!F39+'[6]4G Szérüskert'!F39</f>
        <v>1504571985</v>
      </c>
      <c r="H7" s="106">
        <f>'[6]2B Önk kiad'!H10+'[6]3A PH'!H42+'[6]4H VG bev kiad'!G39+'[6]4A Walla'!G39+'[6]4B Nyitnikék'!G39+'[6]4C Bóbita'!G39+'[6]4D MMMH'!G39+'[6]4E Könyvtár'!G39+'[6]4F Segítő Kéz'!G39+'[6]4G Szérüskert'!G39</f>
        <v>223896003</v>
      </c>
      <c r="I7" s="106">
        <f>'[6]2B Önk kiad'!I10+'[6]3A PH'!I42</f>
        <v>1173000</v>
      </c>
      <c r="J7" s="106">
        <f>SUM(G7:I7)</f>
        <v>1729640988</v>
      </c>
      <c r="K7" s="106">
        <f>'[6]2B Önk kiad'!K10+'[6]3A PH'!K42+'[6]4H VG bev kiad'!I39+'[6]4A Walla'!I39+'[6]4B Nyitnikék'!I39+'[6]4C Bóbita'!I39+'[6]4D MMMH'!I39+'[6]4E Könyvtár'!I39+'[6]4F Segítő Kéz'!I39+'[6]4G Szérüskert'!I39</f>
        <v>469863673</v>
      </c>
      <c r="L7" s="103"/>
      <c r="N7" s="103"/>
      <c r="O7" s="103"/>
    </row>
    <row r="8" spans="1:15" x14ac:dyDescent="0.25">
      <c r="A8" s="104" t="s">
        <v>20</v>
      </c>
      <c r="B8" s="105" t="s">
        <v>22</v>
      </c>
      <c r="C8" s="106">
        <f>'[6]2B Önk kiad'!C11+'[6]3A PH'!C43+'[6]4H VG bev kiad'!C40+'[6]4A Walla'!C40+'[6]4B Nyitnikék'!C40+'[6]4C Bóbita'!C40+'[6]4D MMMH'!C40+'[6]4E Könyvtár'!C40+'[6]4F Segítő Kéz'!C40+'[6]4G Szérüskert'!C40</f>
        <v>18000000</v>
      </c>
      <c r="D8" s="106">
        <f>'[6]2B Önk kiad'!D11+'[6]3A PH'!D43+'[6]4H VG bev kiad'!D40+'[6]4A Walla'!D40+'[6]4B Nyitnikék'!D40+'[6]4C Bóbita'!D40+'[6]4D MMMH'!D40+'[6]4E Könyvtár'!D40+'[6]4F Segítő Kéz'!D40+'[6]4G Szérüskert'!D40</f>
        <v>16000000</v>
      </c>
      <c r="E8" s="106">
        <f>'[6]2B Önk kiad'!E11+'[6]3A PH'!E43</f>
        <v>0</v>
      </c>
      <c r="F8" s="106">
        <f t="shared" ref="F8:F14" si="0">SUM(C8:E8)</f>
        <v>34000000</v>
      </c>
      <c r="G8" s="106">
        <f>'[6]2B Önk kiad'!G11+'[6]3A PH'!G43+'[6]4H VG bev kiad'!F40+'[6]4A Walla'!F40+'[6]4B Nyitnikék'!F40+'[6]4C Bóbita'!F40+'[6]4D MMMH'!F40+'[6]4E Könyvtár'!F40+'[6]4F Segítő Kéz'!F40+'[6]4G Szérüskert'!F40</f>
        <v>48233000</v>
      </c>
      <c r="H8" s="106">
        <f>'[6]2B Önk kiad'!H11+'[6]3A PH'!H43+'[6]4H VG bev kiad'!G40+'[6]4A Walla'!G40+'[6]4B Nyitnikék'!G40+'[6]4C Bóbita'!G40+'[6]4D MMMH'!G40+'[6]4E Könyvtár'!G40+'[6]4F Segítő Kéz'!G40+'[6]4G Szérüskert'!G40</f>
        <v>16484500</v>
      </c>
      <c r="I8" s="106">
        <f>'[6]2B Önk kiad'!I11+'[6]3A PH'!I43</f>
        <v>0</v>
      </c>
      <c r="J8" s="106">
        <f t="shared" ref="J8:K14" si="1">SUM(G8:I8)</f>
        <v>64717500</v>
      </c>
      <c r="K8" s="106">
        <f>'[6]2B Önk kiad'!K11+'[6]3A PH'!K43+'[6]4H VG bev kiad'!I40+'[6]4A Walla'!I40+'[6]4B Nyitnikék'!I40+'[6]4C Bóbita'!I40+'[6]4D MMMH'!I40+'[6]4E Könyvtár'!I40+'[6]4F Segítő Kéz'!I40+'[6]4G Szérüskert'!I40</f>
        <v>23564881</v>
      </c>
      <c r="L8" s="103"/>
      <c r="N8" s="103"/>
      <c r="O8" s="103"/>
    </row>
    <row r="9" spans="1:15" x14ac:dyDescent="0.25">
      <c r="A9" s="104" t="s">
        <v>23</v>
      </c>
      <c r="B9" s="105" t="s">
        <v>24</v>
      </c>
      <c r="C9" s="106">
        <f>'[6]2B Önk kiad'!C12+'[6]3A PH'!C44+'[6]4H VG bev kiad'!C41+'[6]4A Walla'!C41+'[6]4B Nyitnikék'!C41+'[6]4C Bóbita'!C41+'[6]4D MMMH'!C41+'[6]4E Könyvtár'!C41+'[6]4F Segítő Kéz'!C41+'[6]4G Szérüskert'!C41</f>
        <v>636311006</v>
      </c>
      <c r="D9" s="106">
        <f>'[6]2B Önk kiad'!D12+'[6]3A PH'!D44+'[6]4H VG bev kiad'!D41+'[6]4A Walla'!D41+'[6]4B Nyitnikék'!D41+'[6]4C Bóbita'!D41+'[6]4D MMMH'!D41+'[6]4E Könyvtár'!D41+'[6]4F Segítő Kéz'!D41+'[6]4G Szérüskert'!D41</f>
        <v>306912000</v>
      </c>
      <c r="E9" s="106">
        <f>'[6]2B Önk kiad'!E12+'[6]3A PH'!E44</f>
        <v>0</v>
      </c>
      <c r="F9" s="106">
        <f t="shared" si="0"/>
        <v>943223006</v>
      </c>
      <c r="G9" s="106">
        <f>'[6]2B Önk kiad'!G12+'[6]3A PH'!G44+'[6]4H VG bev kiad'!F41+'[6]4A Walla'!F41+'[6]4B Nyitnikék'!F41+'[6]4C Bóbita'!F41+'[6]4D MMMH'!F41+'[6]4E Könyvtár'!F41+'[6]4F Segítő Kéz'!F41+'[6]4G Szérüskert'!F41</f>
        <v>710963258</v>
      </c>
      <c r="H9" s="106">
        <f>'[6]2B Önk kiad'!H12+'[6]3A PH'!H44+'[6]4H VG bev kiad'!G41+'[6]4A Walla'!G41+'[6]4B Nyitnikék'!G41+'[6]4C Bóbita'!G41+'[6]4D MMMH'!G41+'[6]4E Könyvtár'!G41+'[6]4F Segítő Kéz'!G41+'[6]4G Szérüskert'!G41</f>
        <v>303893000</v>
      </c>
      <c r="I9" s="106">
        <f>'[6]2B Önk kiad'!I12+'[6]3A PH'!I44</f>
        <v>0</v>
      </c>
      <c r="J9" s="106">
        <f t="shared" si="1"/>
        <v>1014856258</v>
      </c>
      <c r="K9" s="106">
        <f>'[6]2B Önk kiad'!K12+'[6]3A PH'!K44+'[6]4H VG bev kiad'!I41+'[6]4A Walla'!I41+'[6]4B Nyitnikék'!I41+'[6]4C Bóbita'!I41+'[6]4D MMMH'!I41+'[6]4E Könyvtár'!I41+'[6]4F Segítő Kéz'!I41+'[6]4G Szérüskert'!I41</f>
        <v>280843287</v>
      </c>
      <c r="L9" s="103"/>
      <c r="N9" s="103"/>
      <c r="O9" s="103"/>
    </row>
    <row r="10" spans="1:15" ht="14.25" hidden="1" customHeight="1" x14ac:dyDescent="0.25">
      <c r="A10" s="107"/>
      <c r="B10" s="108" t="s">
        <v>110</v>
      </c>
      <c r="C10" s="90"/>
      <c r="D10" s="90"/>
      <c r="E10" s="90"/>
      <c r="F10" s="90">
        <f t="shared" si="0"/>
        <v>0</v>
      </c>
      <c r="G10" s="90"/>
      <c r="H10" s="90"/>
      <c r="I10" s="90"/>
      <c r="J10" s="90">
        <f t="shared" si="1"/>
        <v>0</v>
      </c>
      <c r="K10" s="90">
        <f t="shared" si="1"/>
        <v>0</v>
      </c>
      <c r="N10" s="103"/>
      <c r="O10" s="103"/>
    </row>
    <row r="11" spans="1:15" s="98" customFormat="1" ht="28.5" hidden="1" customHeight="1" x14ac:dyDescent="0.25">
      <c r="A11" s="107"/>
      <c r="B11" s="108" t="s">
        <v>111</v>
      </c>
      <c r="C11" s="90"/>
      <c r="D11" s="90"/>
      <c r="E11" s="90"/>
      <c r="F11" s="90">
        <f t="shared" si="0"/>
        <v>0</v>
      </c>
      <c r="G11" s="90"/>
      <c r="H11" s="90"/>
      <c r="I11" s="90"/>
      <c r="J11" s="90">
        <f t="shared" si="1"/>
        <v>0</v>
      </c>
      <c r="K11" s="90">
        <f t="shared" si="1"/>
        <v>0</v>
      </c>
      <c r="N11" s="103"/>
      <c r="O11" s="103"/>
    </row>
    <row r="12" spans="1:15" s="98" customFormat="1" ht="28.5" hidden="1" customHeight="1" x14ac:dyDescent="0.25">
      <c r="A12" s="107"/>
      <c r="B12" s="108" t="s">
        <v>112</v>
      </c>
      <c r="C12" s="90"/>
      <c r="D12" s="90"/>
      <c r="E12" s="90"/>
      <c r="F12" s="90">
        <f t="shared" si="0"/>
        <v>0</v>
      </c>
      <c r="G12" s="90"/>
      <c r="H12" s="90"/>
      <c r="I12" s="90"/>
      <c r="J12" s="90">
        <f t="shared" si="1"/>
        <v>0</v>
      </c>
      <c r="K12" s="90">
        <f t="shared" si="1"/>
        <v>0</v>
      </c>
      <c r="N12" s="103"/>
      <c r="O12" s="103"/>
    </row>
    <row r="13" spans="1:15" ht="28.5" hidden="1" customHeight="1" x14ac:dyDescent="0.25">
      <c r="A13" s="107"/>
      <c r="B13" s="108" t="s">
        <v>113</v>
      </c>
      <c r="C13" s="83"/>
      <c r="D13" s="83"/>
      <c r="E13" s="83"/>
      <c r="F13" s="83">
        <f t="shared" si="0"/>
        <v>0</v>
      </c>
      <c r="G13" s="83"/>
      <c r="H13" s="83"/>
      <c r="I13" s="83"/>
      <c r="J13" s="83">
        <f t="shared" si="1"/>
        <v>0</v>
      </c>
      <c r="K13" s="83">
        <f t="shared" si="1"/>
        <v>0</v>
      </c>
      <c r="N13" s="103"/>
      <c r="O13" s="103"/>
    </row>
    <row r="14" spans="1:15" ht="14.25" hidden="1" customHeight="1" x14ac:dyDescent="0.25">
      <c r="A14" s="107"/>
      <c r="B14" s="108" t="s">
        <v>114</v>
      </c>
      <c r="C14" s="90"/>
      <c r="D14" s="90"/>
      <c r="E14" s="90"/>
      <c r="F14" s="90">
        <f t="shared" si="0"/>
        <v>0</v>
      </c>
      <c r="G14" s="90"/>
      <c r="H14" s="90"/>
      <c r="I14" s="90"/>
      <c r="J14" s="90">
        <f t="shared" si="1"/>
        <v>0</v>
      </c>
      <c r="K14" s="90">
        <f t="shared" si="1"/>
        <v>0</v>
      </c>
      <c r="N14" s="103"/>
      <c r="O14" s="103"/>
    </row>
    <row r="15" spans="1:15" ht="30" x14ac:dyDescent="0.25">
      <c r="A15" s="100" t="s">
        <v>27</v>
      </c>
      <c r="B15" s="101" t="s">
        <v>115</v>
      </c>
      <c r="C15" s="102">
        <f>SUM(C16:C18)</f>
        <v>979642190</v>
      </c>
      <c r="D15" s="102">
        <f>SUM(D16:D18)</f>
        <v>392408000</v>
      </c>
      <c r="E15" s="102">
        <f>SUM(E16:E18)</f>
        <v>0</v>
      </c>
      <c r="F15" s="102">
        <f>SUM(C15:E15)</f>
        <v>1372050190</v>
      </c>
      <c r="G15" s="102">
        <f>SUM(G16:G18)</f>
        <v>1040861133</v>
      </c>
      <c r="H15" s="102">
        <f>SUM(H16:H18)</f>
        <v>599212502</v>
      </c>
      <c r="I15" s="102">
        <f>SUM(I16:I18)</f>
        <v>0</v>
      </c>
      <c r="J15" s="102">
        <f>SUM(G15:I15)</f>
        <v>1640073635</v>
      </c>
      <c r="K15" s="102">
        <f>+K16+K17+K18</f>
        <v>153573477</v>
      </c>
      <c r="L15" s="103"/>
      <c r="N15" s="103"/>
      <c r="O15" s="103"/>
    </row>
    <row r="16" spans="1:15" x14ac:dyDescent="0.25">
      <c r="A16" s="104" t="s">
        <v>11</v>
      </c>
      <c r="B16" s="105" t="s">
        <v>31</v>
      </c>
      <c r="C16" s="106">
        <f>'[6]2B Önk kiad'!C22+'[6]3A PH'!C46+'[6]4H VG bev kiad'!C43+'[6]4A Walla'!C43+'[6]4B Nyitnikék'!C43+'[6]4C Bóbita'!C43+'[6]4D MMMH'!C43+'[6]4E Könyvtár'!C43+'[6]4F Segítő Kéz'!C43+'[6]4G Szérüskert'!C43</f>
        <v>763432350</v>
      </c>
      <c r="D16" s="106">
        <f>'[6]2B Önk kiad'!D22+'[6]3A PH'!D46+'[6]4H VG bev kiad'!D43+'[6]4A Walla'!D43+'[6]4B Nyitnikék'!D43+'[6]4C Bóbita'!D43+'[6]4D MMMH'!D43+'[6]4E Könyvtár'!D43+'[6]4F Segítő Kéz'!D43+'[6]4G Szérüskert'!D43</f>
        <v>392408000</v>
      </c>
      <c r="E16" s="106">
        <f>'[6]2B Önk kiad'!E22+'[6]3A PH'!E46</f>
        <v>0</v>
      </c>
      <c r="F16" s="106">
        <f>SUM(C16:E16)</f>
        <v>1155840350</v>
      </c>
      <c r="G16" s="106">
        <f>'[6]2B Önk kiad'!G22+'[6]3A PH'!G46+'[6]4H VG bev kiad'!F43+'[6]4A Walla'!F43+'[6]4B Nyitnikék'!F43+'[6]4C Bóbita'!F43+'[6]4D MMMH'!F43+'[6]4E Könyvtár'!F43+'[6]4F Segítő Kéz'!F43+'[6]4G Szérüskert'!F43</f>
        <v>821400836</v>
      </c>
      <c r="H16" s="106">
        <f>'[6]2B Önk kiad'!H22+'[6]3A PH'!H46+'[6]4H VG bev kiad'!G43+'[6]4A Walla'!G43+'[6]4B Nyitnikék'!G43+'[6]4C Bóbita'!G43+'[6]4D MMMH'!G43+'[6]4E Könyvtár'!G43+'[6]4F Segítő Kéz'!G43+'[6]4G Szérüskert'!G43</f>
        <v>571066901</v>
      </c>
      <c r="I16" s="106">
        <f>'[6]2B Önk kiad'!I22+'[6]3A PH'!I46</f>
        <v>0</v>
      </c>
      <c r="J16" s="106">
        <f>SUM(G16:I16)</f>
        <v>1392467737</v>
      </c>
      <c r="K16" s="106">
        <f>'[6]2B Önk kiad'!K22+'[6]3A PH'!K46+'[6]4H VG bev kiad'!I43+'[6]4A Walla'!I43+'[6]4B Nyitnikék'!I43+'[6]4C Bóbita'!I43+'[6]4D MMMH'!I43+'[6]4E Könyvtár'!I43+'[6]4F Segítő Kéz'!I43+'[6]4G Szérüskert'!I43</f>
        <v>147422613</v>
      </c>
      <c r="L16" s="103"/>
      <c r="N16" s="103"/>
      <c r="O16" s="103"/>
    </row>
    <row r="17" spans="1:15" x14ac:dyDescent="0.25">
      <c r="A17" s="104" t="s">
        <v>14</v>
      </c>
      <c r="B17" s="105" t="s">
        <v>33</v>
      </c>
      <c r="C17" s="106">
        <f>'[6]2B Önk kiad'!C23+'[6]3A PH'!C47+'[6]4H VG bev kiad'!C44+'[6]4A Walla'!C44+'[6]4B Nyitnikék'!C44+'[6]4C Bóbita'!C44+'[6]4D MMMH'!C44+'[6]4E Könyvtár'!C44+'[6]4F Segítő Kéz'!C44+'[6]4G Szérüskert'!C44</f>
        <v>215509840</v>
      </c>
      <c r="D17" s="106">
        <f>'[6]2B Önk kiad'!D23+'[6]3A PH'!D47+'[6]4H VG bev kiad'!D44+'[6]4A Walla'!D44+'[6]4B Nyitnikék'!D44+'[6]4C Bóbita'!D44+'[6]4D MMMH'!D44+'[6]4E Könyvtár'!D44+'[6]4F Segítő Kéz'!D44+'[6]4G Szérüskert'!D44</f>
        <v>0</v>
      </c>
      <c r="E17" s="106">
        <f>'[6]2B Önk kiad'!E23+'[6]3A PH'!E47</f>
        <v>0</v>
      </c>
      <c r="F17" s="106">
        <f t="shared" ref="F17:F23" si="2">SUM(C17:E17)</f>
        <v>215509840</v>
      </c>
      <c r="G17" s="106">
        <f>'[6]2B Önk kiad'!G23+'[6]3A PH'!G47+'[6]4H VG bev kiad'!F44+'[6]4A Walla'!F44+'[6]4B Nyitnikék'!F44+'[6]4C Bóbita'!F44+'[6]4D MMMH'!F44+'[6]4E Könyvtár'!F44+'[6]4F Segítő Kéz'!F44+'[6]4G Szérüskert'!F44</f>
        <v>218060297</v>
      </c>
      <c r="H17" s="106">
        <f>'[6]2B Önk kiad'!H23+'[6]3A PH'!H47+'[6]4H VG bev kiad'!G44+'[6]4A Walla'!G44+'[6]4B Nyitnikék'!G44+'[6]4C Bóbita'!G44+'[6]4D MMMH'!G44+'[6]4E Könyvtár'!G44+'[6]4F Segítő Kéz'!G44+'[6]4G Szérüskert'!G44</f>
        <v>28145601</v>
      </c>
      <c r="I17" s="106">
        <f>'[6]2B Önk kiad'!I23+'[6]3A PH'!I47</f>
        <v>0</v>
      </c>
      <c r="J17" s="106">
        <f t="shared" ref="J17:K23" si="3">SUM(G17:I17)</f>
        <v>246205898</v>
      </c>
      <c r="K17" s="106">
        <f>'[6]2B Önk kiad'!K23+'[6]3A PH'!K47+'[6]4H VG bev kiad'!I44+'[6]4A Walla'!I44+'[6]4B Nyitnikék'!I44+'[6]4C Bóbita'!I44+'[6]4D MMMH'!I44+'[6]4E Könyvtár'!I44+'[6]4F Segítő Kéz'!I44+'[6]4G Szérüskert'!I44</f>
        <v>6150864</v>
      </c>
      <c r="L17" s="103"/>
      <c r="N17" s="103"/>
      <c r="O17" s="103"/>
    </row>
    <row r="18" spans="1:15" x14ac:dyDescent="0.25">
      <c r="A18" s="104" t="s">
        <v>17</v>
      </c>
      <c r="B18" s="105" t="s">
        <v>35</v>
      </c>
      <c r="C18" s="106">
        <f>'[6]2B Önk kiad'!C24+'[6]3A PH'!C48</f>
        <v>700000</v>
      </c>
      <c r="D18" s="106">
        <f>'[6]2B Önk kiad'!D24+'[6]3A PH'!D48+'[6]4H VG bev kiad'!D45+'[6]4A Walla'!D45+'[6]4B Nyitnikék'!D45+'[6]4C Bóbita'!D45+'[6]4D MMMH'!D45+'[6]4E Könyvtár'!D45+'[6]4F Segítő Kéz'!D45+'[6]4G Szérüskert'!D45</f>
        <v>0</v>
      </c>
      <c r="E18" s="106">
        <f>'[6]2B Önk kiad'!E24+'[6]3A PH'!E48</f>
        <v>0</v>
      </c>
      <c r="F18" s="106">
        <f t="shared" si="2"/>
        <v>700000</v>
      </c>
      <c r="G18" s="106">
        <f>'[6]2B Önk kiad'!G24+'[6]3A PH'!G48</f>
        <v>1400000</v>
      </c>
      <c r="H18" s="106">
        <f>'[6]2B Önk kiad'!H24+'[6]3A PH'!H48+'[6]4H VG bev kiad'!G45+'[6]4A Walla'!G45+'[6]4B Nyitnikék'!G45+'[6]4C Bóbita'!G45+'[6]4D MMMH'!G45+'[6]4E Könyvtár'!G45+'[6]4F Segítő Kéz'!G45+'[6]4G Szérüskert'!G45</f>
        <v>0</v>
      </c>
      <c r="I18" s="106">
        <f>'[6]2B Önk kiad'!I24+'[6]3A PH'!I48</f>
        <v>0</v>
      </c>
      <c r="J18" s="106">
        <f t="shared" si="3"/>
        <v>1400000</v>
      </c>
      <c r="K18" s="106">
        <f>'[6]2B Önk kiad'!K24+'[6]3A PH'!K48+'[6]4H VG bev kiad'!I45+'[6]4A Walla'!I45+'[6]4B Nyitnikék'!I45+'[6]4C Bóbita'!I45+'[6]4D MMMH'!I45+'[6]4E Könyvtár'!I45+'[6]4F Segítő Kéz'!I45+'[6]4G Szérüskert'!I45</f>
        <v>0</v>
      </c>
      <c r="L18" s="103"/>
      <c r="N18" s="103"/>
      <c r="O18" s="103"/>
    </row>
    <row r="19" spans="1:15" ht="28.5" hidden="1" customHeight="1" x14ac:dyDescent="0.25">
      <c r="A19" s="107"/>
      <c r="B19" s="108" t="s">
        <v>116</v>
      </c>
      <c r="C19" s="90"/>
      <c r="D19" s="90"/>
      <c r="E19" s="90"/>
      <c r="F19" s="90">
        <f t="shared" si="2"/>
        <v>0</v>
      </c>
      <c r="G19" s="90"/>
      <c r="H19" s="90"/>
      <c r="I19" s="90"/>
      <c r="J19" s="90">
        <f t="shared" si="3"/>
        <v>0</v>
      </c>
      <c r="K19" s="90">
        <f t="shared" si="3"/>
        <v>0</v>
      </c>
      <c r="N19" s="103"/>
      <c r="O19" s="103"/>
    </row>
    <row r="20" spans="1:15" ht="28.5" hidden="1" customHeight="1" x14ac:dyDescent="0.25">
      <c r="A20" s="107"/>
      <c r="B20" s="108" t="s">
        <v>117</v>
      </c>
      <c r="C20" s="90"/>
      <c r="D20" s="90"/>
      <c r="E20" s="90"/>
      <c r="F20" s="90">
        <f t="shared" si="2"/>
        <v>0</v>
      </c>
      <c r="G20" s="90"/>
      <c r="H20" s="90"/>
      <c r="I20" s="90"/>
      <c r="J20" s="90">
        <f t="shared" si="3"/>
        <v>0</v>
      </c>
      <c r="K20" s="90">
        <f t="shared" si="3"/>
        <v>0</v>
      </c>
      <c r="N20" s="103"/>
      <c r="O20" s="103"/>
    </row>
    <row r="21" spans="1:15" ht="14.25" hidden="1" customHeight="1" x14ac:dyDescent="0.25">
      <c r="A21" s="107"/>
      <c r="B21" s="108" t="s">
        <v>118</v>
      </c>
      <c r="C21" s="90"/>
      <c r="D21" s="90"/>
      <c r="E21" s="90"/>
      <c r="F21" s="90">
        <f t="shared" si="2"/>
        <v>0</v>
      </c>
      <c r="G21" s="90"/>
      <c r="H21" s="90"/>
      <c r="I21" s="90"/>
      <c r="J21" s="90">
        <f t="shared" si="3"/>
        <v>0</v>
      </c>
      <c r="K21" s="90">
        <f t="shared" si="3"/>
        <v>0</v>
      </c>
      <c r="N21" s="103"/>
      <c r="O21" s="103"/>
    </row>
    <row r="22" spans="1:15" ht="28.5" hidden="1" customHeight="1" x14ac:dyDescent="0.25">
      <c r="A22" s="107"/>
      <c r="B22" s="108" t="s">
        <v>119</v>
      </c>
      <c r="C22" s="90"/>
      <c r="D22" s="90"/>
      <c r="E22" s="90"/>
      <c r="F22" s="90">
        <f t="shared" si="2"/>
        <v>0</v>
      </c>
      <c r="G22" s="90"/>
      <c r="H22" s="90"/>
      <c r="I22" s="90"/>
      <c r="J22" s="90">
        <f t="shared" si="3"/>
        <v>0</v>
      </c>
      <c r="K22" s="90">
        <f t="shared" si="3"/>
        <v>0</v>
      </c>
      <c r="N22" s="103"/>
      <c r="O22" s="103"/>
    </row>
    <row r="23" spans="1:15" ht="28.5" hidden="1" customHeight="1" x14ac:dyDescent="0.25">
      <c r="A23" s="107"/>
      <c r="B23" s="108" t="s">
        <v>120</v>
      </c>
      <c r="C23" s="90"/>
      <c r="D23" s="90"/>
      <c r="E23" s="90"/>
      <c r="F23" s="90">
        <f t="shared" si="2"/>
        <v>0</v>
      </c>
      <c r="G23" s="90"/>
      <c r="H23" s="90"/>
      <c r="I23" s="90"/>
      <c r="J23" s="90">
        <f t="shared" si="3"/>
        <v>0</v>
      </c>
      <c r="K23" s="90">
        <f t="shared" si="3"/>
        <v>0</v>
      </c>
      <c r="N23" s="103"/>
      <c r="O23" s="103"/>
    </row>
    <row r="24" spans="1:15" x14ac:dyDescent="0.25">
      <c r="A24" s="109"/>
      <c r="B24" s="110" t="s">
        <v>39</v>
      </c>
      <c r="C24" s="92">
        <f>C4+C15</f>
        <v>4935505641</v>
      </c>
      <c r="D24" s="92">
        <f>D4+D15</f>
        <v>987115265</v>
      </c>
      <c r="E24" s="92">
        <f>E4+E15</f>
        <v>1229000</v>
      </c>
      <c r="F24" s="92">
        <f>SUM(C24:E24)</f>
        <v>5923849906</v>
      </c>
      <c r="G24" s="92">
        <f>G4+G15</f>
        <v>5233972265</v>
      </c>
      <c r="H24" s="92">
        <f>H4+H15</f>
        <v>1250587512</v>
      </c>
      <c r="I24" s="92">
        <f>I4+I15</f>
        <v>1229000</v>
      </c>
      <c r="J24" s="92">
        <f>SUM(G24:I24)</f>
        <v>6485788777</v>
      </c>
      <c r="K24" s="92">
        <f>+K15+K4</f>
        <v>1579374806</v>
      </c>
      <c r="N24" s="103"/>
      <c r="O24" s="103"/>
    </row>
    <row r="25" spans="1:15" x14ac:dyDescent="0.25">
      <c r="A25" s="100" t="s">
        <v>42</v>
      </c>
      <c r="B25" s="101" t="s">
        <v>44</v>
      </c>
      <c r="C25" s="102">
        <f>C26+C32</f>
        <v>180645000</v>
      </c>
      <c r="D25" s="102">
        <f>D26+D32</f>
        <v>0</v>
      </c>
      <c r="E25" s="102">
        <f>E26+E32</f>
        <v>24816000</v>
      </c>
      <c r="F25" s="102">
        <f t="shared" ref="F25:F34" si="4">SUM(C25:E25)</f>
        <v>205461000</v>
      </c>
      <c r="G25" s="102">
        <f>G26+G32</f>
        <v>180645000</v>
      </c>
      <c r="H25" s="102">
        <f>H26+H32</f>
        <v>0</v>
      </c>
      <c r="I25" s="102">
        <f>I26+I32</f>
        <v>211270375</v>
      </c>
      <c r="J25" s="102">
        <f t="shared" ref="J25:K34" si="5">SUM(G25:I25)</f>
        <v>391915375</v>
      </c>
      <c r="K25" s="102">
        <f>+K26</f>
        <v>256431156</v>
      </c>
      <c r="L25" s="103"/>
    </row>
    <row r="26" spans="1:15" x14ac:dyDescent="0.25">
      <c r="A26" s="104" t="s">
        <v>11</v>
      </c>
      <c r="B26" s="105" t="s">
        <v>54</v>
      </c>
      <c r="C26" s="111">
        <f>SUM(C27:C31)</f>
        <v>180645000</v>
      </c>
      <c r="D26" s="111">
        <f>SUM(D27:D31)</f>
        <v>0</v>
      </c>
      <c r="E26" s="111">
        <f>SUM(E27:E31)</f>
        <v>24816000</v>
      </c>
      <c r="F26" s="111">
        <f t="shared" si="4"/>
        <v>205461000</v>
      </c>
      <c r="G26" s="111">
        <f>SUM(G27:G31)</f>
        <v>180645000</v>
      </c>
      <c r="H26" s="111">
        <f>SUM(H27:H31)</f>
        <v>0</v>
      </c>
      <c r="I26" s="111">
        <f>SUM(I27:I31)</f>
        <v>211270375</v>
      </c>
      <c r="J26" s="111">
        <f t="shared" si="5"/>
        <v>391915375</v>
      </c>
      <c r="K26" s="111">
        <f>+K27+K28+K29</f>
        <v>256431156</v>
      </c>
    </row>
    <row r="27" spans="1:15" ht="30" x14ac:dyDescent="0.25">
      <c r="A27" s="107"/>
      <c r="B27" s="112" t="s">
        <v>121</v>
      </c>
      <c r="C27" s="83">
        <f>'[6]2B Önk kiad'!C33</f>
        <v>180645000</v>
      </c>
      <c r="D27" s="83">
        <f>'[6]2B Önk kiad'!D33</f>
        <v>0</v>
      </c>
      <c r="E27" s="83">
        <f>'[6]2B Önk kiad'!E33</f>
        <v>0</v>
      </c>
      <c r="F27" s="83">
        <f t="shared" si="4"/>
        <v>180645000</v>
      </c>
      <c r="G27" s="83">
        <f>'[6]2B Önk kiad'!G33</f>
        <v>180645000</v>
      </c>
      <c r="H27" s="83">
        <f>'[6]2B Önk kiad'!H33</f>
        <v>0</v>
      </c>
      <c r="I27" s="83">
        <f>'[6]2B Önk kiad'!I33</f>
        <v>0</v>
      </c>
      <c r="J27" s="83">
        <f t="shared" si="5"/>
        <v>180645000</v>
      </c>
      <c r="K27" s="83">
        <f>'[6]2B Önk kiad'!K33</f>
        <v>45161289</v>
      </c>
    </row>
    <row r="28" spans="1:15" x14ac:dyDescent="0.25">
      <c r="A28" s="107"/>
      <c r="B28" s="112" t="s">
        <v>122</v>
      </c>
      <c r="C28" s="83">
        <f>'[6]2B Önk kiad'!C36</f>
        <v>0</v>
      </c>
      <c r="D28" s="83">
        <f>'[6]2B Önk kiad'!D36</f>
        <v>0</v>
      </c>
      <c r="E28" s="83">
        <f>'[6]2B Önk kiad'!E36</f>
        <v>0</v>
      </c>
      <c r="F28" s="83">
        <f t="shared" si="4"/>
        <v>0</v>
      </c>
      <c r="G28" s="83">
        <f>'[6]2B Önk kiad'!G36</f>
        <v>0</v>
      </c>
      <c r="H28" s="83">
        <f>'[6]2B Önk kiad'!H36</f>
        <v>0</v>
      </c>
      <c r="I28" s="83">
        <f>'[6]2B Önk kiad'!I36</f>
        <v>0</v>
      </c>
      <c r="J28" s="83">
        <f t="shared" si="5"/>
        <v>0</v>
      </c>
      <c r="K28" s="83">
        <f>'[6]2B Önk kiad'!K36</f>
        <v>0</v>
      </c>
    </row>
    <row r="29" spans="1:15" ht="30" x14ac:dyDescent="0.25">
      <c r="A29" s="107"/>
      <c r="B29" s="112" t="s">
        <v>123</v>
      </c>
      <c r="C29" s="83">
        <f>'[6]2B Önk kiad'!C37</f>
        <v>0</v>
      </c>
      <c r="D29" s="83">
        <f>'[6]2B Önk kiad'!D37</f>
        <v>0</v>
      </c>
      <c r="E29" s="83">
        <f>'[6]2B Önk kiad'!E37</f>
        <v>24816000</v>
      </c>
      <c r="F29" s="83">
        <f t="shared" si="4"/>
        <v>24816000</v>
      </c>
      <c r="G29" s="83">
        <f>'[6]2B Önk kiad'!G37</f>
        <v>0</v>
      </c>
      <c r="H29" s="83">
        <f>'[6]2B Önk kiad'!H37</f>
        <v>0</v>
      </c>
      <c r="I29" s="83">
        <f>'[6]2B Önk kiad'!I37</f>
        <v>211270375</v>
      </c>
      <c r="J29" s="83">
        <f t="shared" si="5"/>
        <v>211270375</v>
      </c>
      <c r="K29" s="83">
        <f>'[6]2B Önk kiad'!K37</f>
        <v>211269867</v>
      </c>
    </row>
    <row r="30" spans="1:15" ht="30" x14ac:dyDescent="0.25">
      <c r="A30" s="107"/>
      <c r="B30" s="112" t="s">
        <v>124</v>
      </c>
      <c r="C30" s="83">
        <f>'[6]2B Önk kiad'!C39</f>
        <v>0</v>
      </c>
      <c r="D30" s="83">
        <f>'[6]2B Önk kiad'!D39</f>
        <v>0</v>
      </c>
      <c r="E30" s="83">
        <f>'[6]2B Önk kiad'!E39</f>
        <v>0</v>
      </c>
      <c r="F30" s="83">
        <f t="shared" si="4"/>
        <v>0</v>
      </c>
      <c r="G30" s="83">
        <f>'[6]2B Önk kiad'!G39</f>
        <v>0</v>
      </c>
      <c r="H30" s="83">
        <f>'[6]2B Önk kiad'!H39</f>
        <v>0</v>
      </c>
      <c r="I30" s="83">
        <f>'[6]2B Önk kiad'!I39</f>
        <v>0</v>
      </c>
      <c r="J30" s="83">
        <f t="shared" si="5"/>
        <v>0</v>
      </c>
      <c r="K30" s="83">
        <f t="shared" si="5"/>
        <v>0</v>
      </c>
    </row>
    <row r="31" spans="1:15" x14ac:dyDescent="0.25">
      <c r="A31" s="107"/>
      <c r="B31" s="112" t="s">
        <v>125</v>
      </c>
      <c r="C31" s="83">
        <f>'[6]2B Önk kiad'!C40</f>
        <v>0</v>
      </c>
      <c r="D31" s="83">
        <f>'[6]2B Önk kiad'!D40</f>
        <v>0</v>
      </c>
      <c r="E31" s="83">
        <f>'[6]2B Önk kiad'!E40</f>
        <v>0</v>
      </c>
      <c r="F31" s="83">
        <f t="shared" si="4"/>
        <v>0</v>
      </c>
      <c r="G31" s="83">
        <f>'[6]2B Önk kiad'!G40</f>
        <v>0</v>
      </c>
      <c r="H31" s="83">
        <f>'[6]2B Önk kiad'!H40</f>
        <v>0</v>
      </c>
      <c r="I31" s="83">
        <f>'[6]2B Önk kiad'!I40</f>
        <v>0</v>
      </c>
      <c r="J31" s="83">
        <f t="shared" si="5"/>
        <v>0</v>
      </c>
      <c r="K31" s="83">
        <f t="shared" si="5"/>
        <v>0</v>
      </c>
    </row>
    <row r="32" spans="1:15" x14ac:dyDescent="0.25">
      <c r="A32" s="104" t="s">
        <v>14</v>
      </c>
      <c r="B32" s="105" t="s">
        <v>56</v>
      </c>
      <c r="C32" s="111">
        <f>SUM(C33:C34)</f>
        <v>0</v>
      </c>
      <c r="D32" s="111">
        <f>SUM(D33:D34)</f>
        <v>0</v>
      </c>
      <c r="E32" s="111">
        <f>SUM(E33:E34)</f>
        <v>0</v>
      </c>
      <c r="F32" s="111">
        <f t="shared" si="4"/>
        <v>0</v>
      </c>
      <c r="G32" s="111">
        <f>SUM(G33:G34)</f>
        <v>0</v>
      </c>
      <c r="H32" s="111">
        <f>SUM(H33:H34)</f>
        <v>0</v>
      </c>
      <c r="I32" s="111">
        <f>SUM(I33:I34)</f>
        <v>0</v>
      </c>
      <c r="J32" s="111">
        <f t="shared" si="5"/>
        <v>0</v>
      </c>
      <c r="K32" s="111">
        <f t="shared" si="5"/>
        <v>0</v>
      </c>
    </row>
    <row r="33" spans="1:12" x14ac:dyDescent="0.25">
      <c r="A33" s="107"/>
      <c r="B33" s="112" t="s">
        <v>126</v>
      </c>
      <c r="C33" s="83">
        <f>'[6]2B Önk kiad'!C42</f>
        <v>0</v>
      </c>
      <c r="D33" s="83">
        <f>'[6]2B Önk kiad'!D42</f>
        <v>0</v>
      </c>
      <c r="E33" s="83">
        <f>'[6]2B Önk kiad'!E42</f>
        <v>0</v>
      </c>
      <c r="F33" s="83">
        <f t="shared" si="4"/>
        <v>0</v>
      </c>
      <c r="G33" s="83">
        <f>'[6]2B Önk kiad'!G42</f>
        <v>0</v>
      </c>
      <c r="H33" s="83">
        <f>'[6]2B Önk kiad'!H42</f>
        <v>0</v>
      </c>
      <c r="I33" s="83">
        <f>'[6]2B Önk kiad'!I42</f>
        <v>0</v>
      </c>
      <c r="J33" s="83">
        <f t="shared" si="5"/>
        <v>0</v>
      </c>
      <c r="K33" s="83">
        <f t="shared" si="5"/>
        <v>0</v>
      </c>
    </row>
    <row r="34" spans="1:12" x14ac:dyDescent="0.25">
      <c r="A34" s="107"/>
      <c r="B34" s="112" t="s">
        <v>127</v>
      </c>
      <c r="C34" s="83">
        <f>'[6]2B Önk kiad'!C43</f>
        <v>0</v>
      </c>
      <c r="D34" s="83">
        <f>'[6]2B Önk kiad'!D43</f>
        <v>0</v>
      </c>
      <c r="E34" s="83">
        <f>'[6]2B Önk kiad'!E43</f>
        <v>0</v>
      </c>
      <c r="F34" s="83">
        <f t="shared" si="4"/>
        <v>0</v>
      </c>
      <c r="G34" s="83">
        <f>'[6]2B Önk kiad'!G43</f>
        <v>0</v>
      </c>
      <c r="H34" s="83">
        <f>'[6]2B Önk kiad'!H43</f>
        <v>0</v>
      </c>
      <c r="I34" s="83">
        <f>'[6]2B Önk kiad'!I43</f>
        <v>0</v>
      </c>
      <c r="J34" s="83">
        <f t="shared" si="5"/>
        <v>0</v>
      </c>
      <c r="K34" s="83">
        <f t="shared" si="5"/>
        <v>0</v>
      </c>
    </row>
    <row r="35" spans="1:12" x14ac:dyDescent="0.25">
      <c r="A35" s="113"/>
      <c r="B35" s="114" t="s">
        <v>58</v>
      </c>
      <c r="C35" s="115">
        <f>C24+C25</f>
        <v>5116150641</v>
      </c>
      <c r="D35" s="115">
        <f>D24+D25</f>
        <v>987115265</v>
      </c>
      <c r="E35" s="115">
        <f>E24+E25</f>
        <v>26045000</v>
      </c>
      <c r="F35" s="115">
        <f>SUM(C35:E35)</f>
        <v>6129310906</v>
      </c>
      <c r="G35" s="115">
        <f>G24+G25</f>
        <v>5414617265</v>
      </c>
      <c r="H35" s="115">
        <f>H24+H25</f>
        <v>1250587512</v>
      </c>
      <c r="I35" s="115">
        <f>I24+I25</f>
        <v>212499375</v>
      </c>
      <c r="J35" s="115">
        <f>SUM(G35:I35)</f>
        <v>6877704152</v>
      </c>
      <c r="K35" s="115">
        <f>+K4+K15+K25</f>
        <v>1835805962</v>
      </c>
      <c r="L35" s="103"/>
    </row>
    <row r="36" spans="1:12" x14ac:dyDescent="0.25">
      <c r="C36" s="103"/>
      <c r="G36" s="103"/>
      <c r="J36" s="103">
        <f>+J35-F35</f>
        <v>748393246</v>
      </c>
    </row>
    <row r="50" spans="3:7" x14ac:dyDescent="0.25">
      <c r="C50" s="103"/>
      <c r="G50" s="103"/>
    </row>
    <row r="51" spans="3:7" x14ac:dyDescent="0.25">
      <c r="C51" s="103"/>
      <c r="G51" s="103"/>
    </row>
    <row r="52" spans="3:7" x14ac:dyDescent="0.25">
      <c r="C52" s="103"/>
      <c r="G52" s="103"/>
    </row>
  </sheetData>
  <mergeCells count="5">
    <mergeCell ref="A2:A3"/>
    <mergeCell ref="B2:B3"/>
    <mergeCell ref="C2:F2"/>
    <mergeCell ref="G2:J2"/>
    <mergeCell ref="K2:K3"/>
  </mergeCells>
  <printOptions horizontalCentered="1"/>
  <pageMargins left="0.23622047244094491" right="0.15748031496062992" top="1.1811023622047245" bottom="0.74803149606299213" header="0.31496062992125984" footer="0.31496062992125984"/>
  <pageSetup paperSize="9" scale="75" fitToWidth="0" fitToHeight="0" orientation="landscape" r:id="rId1"/>
  <headerFooter>
    <oddHeader>&amp;L1/B.  melléklet a ......./2020. (.................) önkormányzati rendelethez&amp;C&amp;"-,Félkövér"&amp;16
Az Önkormányzat 2020. évi összevont kiadásai jogcímenként és feladatonként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5760D-00CB-470B-9FA8-972756EE84C6}">
  <dimension ref="A1:M274"/>
  <sheetViews>
    <sheetView view="pageBreakPreview" zoomScale="95" zoomScaleNormal="100" zoomScaleSheetLayoutView="95" workbookViewId="0">
      <selection activeCell="L95" sqref="L95"/>
    </sheetView>
  </sheetViews>
  <sheetFormatPr defaultRowHeight="15" x14ac:dyDescent="0.25"/>
  <cols>
    <col min="1" max="1" width="5.140625" style="116" customWidth="1"/>
    <col min="2" max="2" width="40.140625" style="117" customWidth="1"/>
    <col min="3" max="3" width="8.85546875" style="118" customWidth="1"/>
    <col min="4" max="4" width="8.7109375" customWidth="1"/>
    <col min="5" max="5" width="8.28515625" customWidth="1"/>
    <col min="6" max="6" width="15.28515625" style="153" customWidth="1"/>
    <col min="7" max="7" width="9.28515625" style="118" customWidth="1"/>
    <col min="8" max="9" width="8.28515625" customWidth="1"/>
    <col min="10" max="10" width="15.28515625" style="153" customWidth="1"/>
    <col min="11" max="11" width="18.5703125" hidden="1" customWidth="1"/>
    <col min="12" max="12" width="11.42578125" bestFit="1" customWidth="1"/>
    <col min="13" max="13" width="11.5703125" bestFit="1" customWidth="1"/>
  </cols>
  <sheetData>
    <row r="1" spans="1:13" x14ac:dyDescent="0.25">
      <c r="F1" s="119"/>
      <c r="J1" s="119" t="s">
        <v>0</v>
      </c>
    </row>
    <row r="2" spans="1:13" s="122" customFormat="1" ht="63" customHeight="1" x14ac:dyDescent="0.25">
      <c r="A2" s="428" t="s">
        <v>1</v>
      </c>
      <c r="B2" s="430" t="s">
        <v>128</v>
      </c>
      <c r="C2" s="120" t="s">
        <v>129</v>
      </c>
      <c r="D2" s="121" t="s">
        <v>130</v>
      </c>
      <c r="E2" s="121" t="s">
        <v>131</v>
      </c>
      <c r="F2" s="71" t="s">
        <v>132</v>
      </c>
      <c r="G2" s="120" t="s">
        <v>129</v>
      </c>
      <c r="H2" s="121" t="s">
        <v>130</v>
      </c>
      <c r="I2" s="121" t="s">
        <v>131</v>
      </c>
      <c r="J2" s="71" t="s">
        <v>132</v>
      </c>
      <c r="K2" s="422" t="s">
        <v>60</v>
      </c>
    </row>
    <row r="3" spans="1:13" s="122" customFormat="1" ht="50.25" customHeight="1" x14ac:dyDescent="0.25">
      <c r="A3" s="429"/>
      <c r="B3" s="431"/>
      <c r="C3" s="419" t="s">
        <v>6</v>
      </c>
      <c r="D3" s="420"/>
      <c r="E3" s="420"/>
      <c r="F3" s="421"/>
      <c r="G3" s="419" t="s">
        <v>59</v>
      </c>
      <c r="H3" s="420"/>
      <c r="I3" s="420"/>
      <c r="J3" s="421"/>
      <c r="K3" s="423"/>
    </row>
    <row r="4" spans="1:13" s="122" customFormat="1" x14ac:dyDescent="0.25">
      <c r="A4" s="123"/>
      <c r="B4" s="124" t="s">
        <v>133</v>
      </c>
      <c r="C4" s="125">
        <f>C5+C41+C88+C91</f>
        <v>329.25</v>
      </c>
      <c r="D4" s="126"/>
      <c r="E4" s="126"/>
      <c r="F4" s="127">
        <f>F5+F41+F88+F91</f>
        <v>6129310906</v>
      </c>
      <c r="G4" s="125">
        <f>G5+G41+G88+G91</f>
        <v>329.25</v>
      </c>
      <c r="H4" s="126"/>
      <c r="I4" s="126"/>
      <c r="J4" s="127">
        <f>J5+J41+J88+J91</f>
        <v>6877704152</v>
      </c>
      <c r="K4" s="127">
        <f>K5+K41+K88+K91</f>
        <v>1835805962</v>
      </c>
      <c r="M4" s="128"/>
    </row>
    <row r="5" spans="1:13" x14ac:dyDescent="0.25">
      <c r="A5" s="129" t="s">
        <v>8</v>
      </c>
      <c r="B5" s="8" t="s">
        <v>134</v>
      </c>
      <c r="C5" s="130">
        <f>SUM(C6:C40)</f>
        <v>323.75</v>
      </c>
      <c r="D5" s="131"/>
      <c r="E5" s="131"/>
      <c r="F5" s="132">
        <f>SUM(F6:F40)</f>
        <v>4935505641</v>
      </c>
      <c r="G5" s="130">
        <f>SUM(G6:G40)</f>
        <v>323.75</v>
      </c>
      <c r="H5" s="131"/>
      <c r="I5" s="131"/>
      <c r="J5" s="132">
        <f>SUM(J6:J40)</f>
        <v>5233972265</v>
      </c>
      <c r="K5" s="132">
        <f>SUM(K6:K40)</f>
        <v>1373249425</v>
      </c>
    </row>
    <row r="6" spans="1:13" x14ac:dyDescent="0.25">
      <c r="A6" s="133" t="s">
        <v>135</v>
      </c>
      <c r="B6" s="134" t="s">
        <v>136</v>
      </c>
      <c r="C6" s="135"/>
      <c r="D6" s="136"/>
      <c r="E6" s="136"/>
      <c r="F6" s="137">
        <f>'[6]2C Önk bev kiad fel'!E7</f>
        <v>20230000</v>
      </c>
      <c r="G6" s="135"/>
      <c r="H6" s="136"/>
      <c r="I6" s="136"/>
      <c r="J6" s="137">
        <f>'[6]2C Önk bev kiad fel'!I7</f>
        <v>23463000</v>
      </c>
      <c r="K6" s="137">
        <f>'[6]2C Önk bev kiad fel'!J7</f>
        <v>24130</v>
      </c>
    </row>
    <row r="7" spans="1:13" x14ac:dyDescent="0.25">
      <c r="A7" s="133" t="s">
        <v>137</v>
      </c>
      <c r="B7" s="134" t="s">
        <v>138</v>
      </c>
      <c r="C7" s="135"/>
      <c r="D7" s="136"/>
      <c r="E7" s="136"/>
      <c r="F7" s="137">
        <f>'[6]2C Önk bev kiad fel'!E13</f>
        <v>6175000</v>
      </c>
      <c r="G7" s="135"/>
      <c r="H7" s="136"/>
      <c r="I7" s="136"/>
      <c r="J7" s="137">
        <f>'[6]2C Önk bev kiad fel'!I13</f>
        <v>6831717</v>
      </c>
      <c r="K7" s="137">
        <f>'[6]2C Önk bev kiad fel'!J13</f>
        <v>681430</v>
      </c>
    </row>
    <row r="8" spans="1:13" x14ac:dyDescent="0.25">
      <c r="A8" s="133" t="s">
        <v>139</v>
      </c>
      <c r="B8" s="134" t="s">
        <v>140</v>
      </c>
      <c r="C8" s="138"/>
      <c r="D8" s="136"/>
      <c r="E8" s="136"/>
      <c r="F8" s="137">
        <f>'[6]2C Önk bev kiad fel'!E16</f>
        <v>31417000</v>
      </c>
      <c r="G8" s="138"/>
      <c r="H8" s="136"/>
      <c r="I8" s="136"/>
      <c r="J8" s="137">
        <f>'[6]2C Önk bev kiad fel'!I16</f>
        <v>32760248</v>
      </c>
      <c r="K8" s="137">
        <f>'[6]2C Önk bev kiad fel'!J16</f>
        <v>13248128</v>
      </c>
    </row>
    <row r="9" spans="1:13" x14ac:dyDescent="0.25">
      <c r="A9" s="133" t="s">
        <v>141</v>
      </c>
      <c r="B9" s="134" t="s">
        <v>142</v>
      </c>
      <c r="C9" s="138">
        <v>7</v>
      </c>
      <c r="D9" s="136"/>
      <c r="E9" s="136"/>
      <c r="F9" s="137">
        <f>'[6]2C Önk bev kiad fel'!E21</f>
        <v>57394100</v>
      </c>
      <c r="G9" s="138">
        <v>7</v>
      </c>
      <c r="H9" s="136"/>
      <c r="I9" s="136"/>
      <c r="J9" s="137">
        <f>'[6]2C Önk bev kiad fel'!I21</f>
        <v>57394100</v>
      </c>
      <c r="K9" s="137">
        <f>'[6]2C Önk bev kiad fel'!J21</f>
        <v>20748075</v>
      </c>
    </row>
    <row r="10" spans="1:13" x14ac:dyDescent="0.25">
      <c r="A10" s="133" t="s">
        <v>143</v>
      </c>
      <c r="B10" s="134" t="s">
        <v>144</v>
      </c>
      <c r="C10" s="138"/>
      <c r="D10" s="136"/>
      <c r="E10" s="136"/>
      <c r="F10" s="137">
        <f>'[6]2C Önk bev kiad fel'!E26</f>
        <v>1000000</v>
      </c>
      <c r="G10" s="138"/>
      <c r="H10" s="136"/>
      <c r="I10" s="136"/>
      <c r="J10" s="137">
        <f>'[6]2C Önk bev kiad fel'!I26</f>
        <v>1000000</v>
      </c>
      <c r="K10" s="137">
        <f>'[6]2C Önk bev kiad fel'!J26</f>
        <v>0</v>
      </c>
    </row>
    <row r="11" spans="1:13" x14ac:dyDescent="0.25">
      <c r="A11" s="133" t="s">
        <v>145</v>
      </c>
      <c r="B11" s="134" t="s">
        <v>146</v>
      </c>
      <c r="C11" s="138"/>
      <c r="D11" s="136"/>
      <c r="E11" s="136"/>
      <c r="F11" s="137">
        <f>'[6]2C Önk bev kiad fel'!E28</f>
        <v>500000</v>
      </c>
      <c r="G11" s="138"/>
      <c r="H11" s="136"/>
      <c r="I11" s="136"/>
      <c r="J11" s="137">
        <f>'[6]2C Önk bev kiad fel'!I28</f>
        <v>500000</v>
      </c>
      <c r="K11" s="137">
        <f>'[6]2C Önk bev kiad fel'!J28</f>
        <v>0</v>
      </c>
    </row>
    <row r="12" spans="1:13" x14ac:dyDescent="0.25">
      <c r="A12" s="133" t="s">
        <v>147</v>
      </c>
      <c r="B12" s="134" t="s">
        <v>148</v>
      </c>
      <c r="C12" s="138"/>
      <c r="D12" s="136"/>
      <c r="E12" s="136"/>
      <c r="F12" s="137">
        <f>+'[6]3B PH fel'!F12</f>
        <v>0</v>
      </c>
      <c r="G12" s="138"/>
      <c r="H12" s="136"/>
      <c r="I12" s="136"/>
      <c r="J12" s="137">
        <f>+'[6]3B PH fel'!J12</f>
        <v>0</v>
      </c>
      <c r="K12" s="137">
        <f>+'[6]3B PH fel'!K12</f>
        <v>0</v>
      </c>
    </row>
    <row r="13" spans="1:13" x14ac:dyDescent="0.25">
      <c r="A13" s="133" t="s">
        <v>149</v>
      </c>
      <c r="B13" s="134" t="s">
        <v>150</v>
      </c>
      <c r="C13" s="138"/>
      <c r="D13" s="136"/>
      <c r="E13" s="136"/>
      <c r="F13" s="137">
        <f>'[6]2C Önk bev kiad fel'!E30+'[6]5 GSZNR fel'!E164</f>
        <v>15483000</v>
      </c>
      <c r="G13" s="138"/>
      <c r="H13" s="136"/>
      <c r="I13" s="136"/>
      <c r="J13" s="137">
        <f>'[6]2C Önk bev kiad fel'!I30+'[6]5 GSZNR fel'!H164</f>
        <v>18095590</v>
      </c>
      <c r="K13" s="137">
        <f>'[6]2C Önk bev kiad fel'!J30+'[6]5 GSZNR fel'!I164</f>
        <v>2833460</v>
      </c>
    </row>
    <row r="14" spans="1:13" x14ac:dyDescent="0.25">
      <c r="A14" s="133" t="s">
        <v>151</v>
      </c>
      <c r="B14" s="134" t="s">
        <v>152</v>
      </c>
      <c r="C14" s="138"/>
      <c r="D14" s="136"/>
      <c r="E14" s="136"/>
      <c r="F14" s="137">
        <f>'[6]2C Önk bev kiad fel'!E34</f>
        <v>9040000</v>
      </c>
      <c r="G14" s="138"/>
      <c r="H14" s="136"/>
      <c r="I14" s="136"/>
      <c r="J14" s="137">
        <f>'[6]2C Önk bev kiad fel'!I34</f>
        <v>9040000</v>
      </c>
      <c r="K14" s="137">
        <f>'[6]2C Önk bev kiad fel'!J34</f>
        <v>1270000</v>
      </c>
    </row>
    <row r="15" spans="1:13" x14ac:dyDescent="0.25">
      <c r="A15" s="133" t="s">
        <v>153</v>
      </c>
      <c r="B15" s="134" t="s">
        <v>154</v>
      </c>
      <c r="C15" s="138"/>
      <c r="D15" s="136"/>
      <c r="E15" s="136"/>
      <c r="F15" s="137">
        <f>'[6]2C Önk bev kiad fel'!E37</f>
        <v>9000500</v>
      </c>
      <c r="G15" s="138"/>
      <c r="H15" s="136"/>
      <c r="I15" s="136"/>
      <c r="J15" s="137">
        <f>'[6]2C Önk bev kiad fel'!I37</f>
        <v>13001255</v>
      </c>
      <c r="K15" s="137">
        <f>'[6]2C Önk bev kiad fel'!J37</f>
        <v>4000755</v>
      </c>
    </row>
    <row r="16" spans="1:13" x14ac:dyDescent="0.25">
      <c r="A16" s="133" t="s">
        <v>155</v>
      </c>
      <c r="B16" s="134" t="s">
        <v>156</v>
      </c>
      <c r="C16" s="138">
        <v>24</v>
      </c>
      <c r="D16" s="136"/>
      <c r="E16" s="136"/>
      <c r="F16" s="137">
        <f>'[6]2C Önk bev kiad fel'!$E$43+'[6]5 GSZNR fel'!$E$168+'[6]5 GSZNR fel'!$E$175</f>
        <v>1084318156</v>
      </c>
      <c r="G16" s="138">
        <v>24</v>
      </c>
      <c r="H16" s="136"/>
      <c r="I16" s="136"/>
      <c r="J16" s="137">
        <f>'[6]2C Önk bev kiad fel'!I43+'[6]5 GSZNR fel'!H168+'[6]5 GSZNR fel'!H175</f>
        <v>1119550580</v>
      </c>
      <c r="K16" s="137">
        <f>'[6]2C Önk bev kiad fel'!J43+'[6]5 GSZNR fel'!I168+'[6]5 GSZNR fel'!I175</f>
        <v>313942868.99999994</v>
      </c>
    </row>
    <row r="17" spans="1:11" x14ac:dyDescent="0.25">
      <c r="A17" s="133" t="s">
        <v>157</v>
      </c>
      <c r="B17" s="134" t="s">
        <v>158</v>
      </c>
      <c r="C17" s="138"/>
      <c r="D17" s="136"/>
      <c r="E17" s="136"/>
      <c r="F17" s="137">
        <f>+'[6]2C Önk bev kiad fel'!E51</f>
        <v>889706190</v>
      </c>
      <c r="G17" s="138"/>
      <c r="H17" s="136"/>
      <c r="I17" s="136"/>
      <c r="J17" s="137">
        <f>+'[6]2C Önk bev kiad fel'!I51</f>
        <v>979310703</v>
      </c>
      <c r="K17" s="137">
        <f>+'[6]2C Önk bev kiad fel'!J51</f>
        <v>119495716</v>
      </c>
    </row>
    <row r="18" spans="1:11" x14ac:dyDescent="0.25">
      <c r="A18" s="133" t="s">
        <v>159</v>
      </c>
      <c r="B18" s="134" t="s">
        <v>160</v>
      </c>
      <c r="C18" s="138"/>
      <c r="D18" s="136"/>
      <c r="E18" s="136"/>
      <c r="F18" s="137">
        <f>'[6]2C Önk bev kiad fel'!E57+'[6]5 GSZNR fel'!E63</f>
        <v>2686000</v>
      </c>
      <c r="G18" s="138"/>
      <c r="H18" s="136"/>
      <c r="I18" s="136"/>
      <c r="J18" s="137">
        <f>'[6]2C Önk bev kiad fel'!I57+'[6]5 GSZNR fel'!H63</f>
        <v>2686000</v>
      </c>
      <c r="K18" s="137">
        <f>'[6]2C Önk bev kiad fel'!J57+'[6]5 GSZNR fel'!I63</f>
        <v>0</v>
      </c>
    </row>
    <row r="19" spans="1:11" s="139" customFormat="1" x14ac:dyDescent="0.25">
      <c r="A19" s="133" t="s">
        <v>161</v>
      </c>
      <c r="B19" s="134" t="s">
        <v>162</v>
      </c>
      <c r="C19" s="138"/>
      <c r="D19" s="136"/>
      <c r="E19" s="136"/>
      <c r="F19" s="137">
        <f>'[6]2C Önk bev kiad fel'!E61</f>
        <v>18000000</v>
      </c>
      <c r="G19" s="138"/>
      <c r="H19" s="136"/>
      <c r="I19" s="136"/>
      <c r="J19" s="137">
        <f>'[6]2C Önk bev kiad fel'!I61</f>
        <v>48233000</v>
      </c>
      <c r="K19" s="137">
        <f>'[6]2C Önk bev kiad fel'!J61</f>
        <v>22014966</v>
      </c>
    </row>
    <row r="20" spans="1:11" s="139" customFormat="1" x14ac:dyDescent="0.25">
      <c r="A20" s="133" t="s">
        <v>163</v>
      </c>
      <c r="B20" s="134" t="s">
        <v>164</v>
      </c>
      <c r="C20" s="138">
        <f>'[6]3B PH fel'!C6</f>
        <v>79</v>
      </c>
      <c r="D20" s="136"/>
      <c r="E20" s="136">
        <v>7</v>
      </c>
      <c r="F20" s="137">
        <f>'[6]3B PH fel'!F6</f>
        <v>787907000</v>
      </c>
      <c r="G20" s="138">
        <f>'[6]3B PH fel'!G6</f>
        <v>79</v>
      </c>
      <c r="H20" s="136"/>
      <c r="I20" s="136">
        <v>7</v>
      </c>
      <c r="J20" s="137">
        <f>'[6]3B PH fel'!J6</f>
        <v>856011827</v>
      </c>
      <c r="K20" s="137">
        <f>'[6]3B PH fel'!K6</f>
        <v>255798551</v>
      </c>
    </row>
    <row r="21" spans="1:11" s="139" customFormat="1" x14ac:dyDescent="0.25">
      <c r="A21" s="133" t="s">
        <v>165</v>
      </c>
      <c r="B21" s="134" t="s">
        <v>166</v>
      </c>
      <c r="C21" s="138"/>
      <c r="D21" s="136">
        <v>0</v>
      </c>
      <c r="E21" s="136"/>
      <c r="F21" s="137">
        <f>'[6]2C Önk bev kiad fel'!E65</f>
        <v>0</v>
      </c>
      <c r="G21" s="138"/>
      <c r="H21" s="136">
        <v>0</v>
      </c>
      <c r="I21" s="136"/>
      <c r="J21" s="137">
        <f>'[6]2C Önk bev kiad fel'!I65</f>
        <v>0</v>
      </c>
      <c r="K21" s="137">
        <f>'[6]2C Önk bev kiad fel'!J65</f>
        <v>0</v>
      </c>
    </row>
    <row r="22" spans="1:11" s="139" customFormat="1" x14ac:dyDescent="0.25">
      <c r="A22" s="133" t="s">
        <v>167</v>
      </c>
      <c r="B22" s="134" t="s">
        <v>168</v>
      </c>
      <c r="C22" s="138">
        <v>5</v>
      </c>
      <c r="D22" s="136"/>
      <c r="E22" s="136"/>
      <c r="F22" s="137">
        <f>+'[6]5 GSZNR fel'!$E$134</f>
        <v>90511500</v>
      </c>
      <c r="G22" s="138">
        <v>5</v>
      </c>
      <c r="H22" s="136"/>
      <c r="I22" s="136"/>
      <c r="J22" s="137">
        <f>+'[6]5 GSZNR fel'!H134</f>
        <v>90511500</v>
      </c>
      <c r="K22" s="137">
        <f>+'[6]5 GSZNR fel'!I134</f>
        <v>36892927</v>
      </c>
    </row>
    <row r="23" spans="1:11" s="139" customFormat="1" x14ac:dyDescent="0.25">
      <c r="A23" s="133" t="s">
        <v>169</v>
      </c>
      <c r="B23" s="134" t="s">
        <v>170</v>
      </c>
      <c r="C23" s="138">
        <v>21</v>
      </c>
      <c r="D23" s="136"/>
      <c r="E23" s="136"/>
      <c r="F23" s="137">
        <f>+'[6]5 GSZNR fel'!$E$139</f>
        <v>124299500</v>
      </c>
      <c r="G23" s="138">
        <v>21</v>
      </c>
      <c r="H23" s="136"/>
      <c r="I23" s="136"/>
      <c r="J23" s="137">
        <f>+'[6]5 GSZNR fel'!H139</f>
        <v>124299500</v>
      </c>
      <c r="K23" s="137">
        <f>+'[6]5 GSZNR fel'!I139</f>
        <v>36902980</v>
      </c>
    </row>
    <row r="24" spans="1:11" s="139" customFormat="1" x14ac:dyDescent="0.25">
      <c r="A24" s="133" t="s">
        <v>171</v>
      </c>
      <c r="B24" s="134" t="s">
        <v>172</v>
      </c>
      <c r="C24" s="138"/>
      <c r="D24" s="136"/>
      <c r="E24" s="136"/>
      <c r="F24" s="137">
        <f>+'[6]5 GSZNR fel'!E144</f>
        <v>56134000</v>
      </c>
      <c r="G24" s="138"/>
      <c r="H24" s="136"/>
      <c r="I24" s="136"/>
      <c r="J24" s="137">
        <f>+'[6]5 GSZNR fel'!H144</f>
        <v>56300472</v>
      </c>
      <c r="K24" s="137">
        <f>+'[6]5 GSZNR fel'!I144</f>
        <v>24967206</v>
      </c>
    </row>
    <row r="25" spans="1:11" s="139" customFormat="1" x14ac:dyDescent="0.25">
      <c r="A25" s="133" t="s">
        <v>173</v>
      </c>
      <c r="B25" s="134" t="s">
        <v>174</v>
      </c>
      <c r="C25" s="138"/>
      <c r="D25" s="136"/>
      <c r="E25" s="136"/>
      <c r="F25" s="137">
        <f>+'[6]5 GSZNR fel'!E147+'[6]2C Önk bev kiad fel'!E69</f>
        <v>116975000</v>
      </c>
      <c r="G25" s="138"/>
      <c r="H25" s="136"/>
      <c r="I25" s="136"/>
      <c r="J25" s="137">
        <f>+'[6]5 GSZNR fel'!H147+'[6]2C Önk bev kiad fel'!I69</f>
        <v>117971550</v>
      </c>
      <c r="K25" s="137">
        <f>+'[6]5 GSZNR fel'!I147+'[6]2C Önk bev kiad fel'!J69</f>
        <v>6135276</v>
      </c>
    </row>
    <row r="26" spans="1:11" s="139" customFormat="1" x14ac:dyDescent="0.25">
      <c r="A26" s="133" t="s">
        <v>175</v>
      </c>
      <c r="B26" s="134" t="s">
        <v>176</v>
      </c>
      <c r="C26" s="138"/>
      <c r="D26" s="136"/>
      <c r="E26" s="136"/>
      <c r="F26" s="137">
        <f>+'[6]5 GSZNR fel'!E151</f>
        <v>8930000</v>
      </c>
      <c r="G26" s="138"/>
      <c r="H26" s="136"/>
      <c r="I26" s="136"/>
      <c r="J26" s="137">
        <f>+'[6]5 GSZNR fel'!H151</f>
        <v>8930000</v>
      </c>
      <c r="K26" s="137">
        <f>+'[6]5 GSZNR fel'!I151</f>
        <v>3840998</v>
      </c>
    </row>
    <row r="27" spans="1:11" s="139" customFormat="1" x14ac:dyDescent="0.25">
      <c r="A27" s="133" t="s">
        <v>177</v>
      </c>
      <c r="B27" s="134" t="s">
        <v>178</v>
      </c>
      <c r="C27" s="138">
        <f>+'[6]5 GSZNR fel'!C154</f>
        <v>1.75</v>
      </c>
      <c r="D27" s="136"/>
      <c r="E27" s="136"/>
      <c r="F27" s="137">
        <f>+'[6]5 GSZNR fel'!E154</f>
        <v>10614125</v>
      </c>
      <c r="G27" s="138">
        <f>+'[6]5 GSZNR fel'!F154</f>
        <v>1.75</v>
      </c>
      <c r="H27" s="136"/>
      <c r="I27" s="136"/>
      <c r="J27" s="137">
        <f>+'[6]5 GSZNR fel'!H154</f>
        <v>10614125</v>
      </c>
      <c r="K27" s="137">
        <f>+'[6]5 GSZNR fel'!I154</f>
        <v>3846777</v>
      </c>
    </row>
    <row r="28" spans="1:11" s="139" customFormat="1" x14ac:dyDescent="0.25">
      <c r="A28" s="133" t="s">
        <v>179</v>
      </c>
      <c r="B28" s="134" t="s">
        <v>180</v>
      </c>
      <c r="C28" s="138">
        <v>2</v>
      </c>
      <c r="D28" s="136"/>
      <c r="E28" s="136"/>
      <c r="F28" s="137">
        <f>+'[6]5 GSZNR fel'!E159</f>
        <v>15217000</v>
      </c>
      <c r="G28" s="138">
        <v>2</v>
      </c>
      <c r="H28" s="136"/>
      <c r="I28" s="136"/>
      <c r="J28" s="137">
        <f>+'[6]5 GSZNR fel'!H159</f>
        <v>15217000</v>
      </c>
      <c r="K28" s="137">
        <f>+'[6]5 GSZNR fel'!I159</f>
        <v>3915338</v>
      </c>
    </row>
    <row r="29" spans="1:11" s="139" customFormat="1" x14ac:dyDescent="0.25">
      <c r="A29" s="133" t="s">
        <v>181</v>
      </c>
      <c r="B29" s="134" t="s">
        <v>182</v>
      </c>
      <c r="C29" s="138">
        <v>19</v>
      </c>
      <c r="D29" s="136"/>
      <c r="E29" s="136"/>
      <c r="F29" s="137">
        <f>+'[6]5 GSZNR fel'!$E$180</f>
        <v>309028500</v>
      </c>
      <c r="G29" s="138">
        <v>19</v>
      </c>
      <c r="H29" s="136"/>
      <c r="I29" s="136"/>
      <c r="J29" s="137">
        <f>+'[6]5 GSZNR fel'!H180</f>
        <v>314841823</v>
      </c>
      <c r="K29" s="137">
        <f>+'[6]5 GSZNR fel'!I180</f>
        <v>103826220</v>
      </c>
    </row>
    <row r="30" spans="1:11" s="139" customFormat="1" x14ac:dyDescent="0.25">
      <c r="A30" s="133" t="s">
        <v>183</v>
      </c>
      <c r="B30" s="134" t="s">
        <v>184</v>
      </c>
      <c r="C30" s="138">
        <v>100.5</v>
      </c>
      <c r="D30" s="136"/>
      <c r="E30" s="136"/>
      <c r="F30" s="137">
        <f>'[6]5 GSZNR fel'!E8+'[6]5 GSZNR fel'!E23+'[6]5 GSZNR fel'!E37</f>
        <v>555642770</v>
      </c>
      <c r="G30" s="138">
        <v>100.5</v>
      </c>
      <c r="H30" s="136"/>
      <c r="I30" s="136"/>
      <c r="J30" s="137">
        <f>'[6]5 GSZNR fel'!H8+'[6]5 GSZNR fel'!H23+'[6]5 GSZNR fel'!H37</f>
        <v>590933478</v>
      </c>
      <c r="K30" s="137">
        <f>'[6]5 GSZNR fel'!I8+'[6]5 GSZNR fel'!I23+'[6]5 GSZNR fel'!I37</f>
        <v>176805094</v>
      </c>
    </row>
    <row r="31" spans="1:11" s="139" customFormat="1" x14ac:dyDescent="0.25">
      <c r="A31" s="133" t="s">
        <v>185</v>
      </c>
      <c r="B31" s="134" t="s">
        <v>186</v>
      </c>
      <c r="C31" s="138"/>
      <c r="D31" s="136"/>
      <c r="E31" s="136"/>
      <c r="F31" s="137">
        <f>'[6]5 GSZNR fel'!E15+'[6]5 GSZNR fel'!E29+'[6]5 GSZNR fel'!E43</f>
        <v>90451700</v>
      </c>
      <c r="G31" s="138"/>
      <c r="H31" s="136"/>
      <c r="I31" s="136"/>
      <c r="J31" s="137">
        <f>'[6]5 GSZNR fel'!H15+'[6]5 GSZNR fel'!H29+'[6]5 GSZNR fel'!H43</f>
        <v>90451700</v>
      </c>
      <c r="K31" s="137">
        <f>'[6]5 GSZNR fel'!I15+'[6]5 GSZNR fel'!I29+'[6]5 GSZNR fel'!I43</f>
        <v>25575359</v>
      </c>
    </row>
    <row r="32" spans="1:11" s="139" customFormat="1" x14ac:dyDescent="0.25">
      <c r="A32" s="133" t="s">
        <v>187</v>
      </c>
      <c r="B32" s="134" t="s">
        <v>188</v>
      </c>
      <c r="C32" s="138">
        <v>17</v>
      </c>
      <c r="D32" s="136"/>
      <c r="E32" s="136"/>
      <c r="F32" s="137">
        <f>'[6]5 GSZNR fel'!E51</f>
        <v>65711310</v>
      </c>
      <c r="G32" s="138">
        <v>17</v>
      </c>
      <c r="H32" s="136"/>
      <c r="I32" s="136"/>
      <c r="J32" s="137">
        <f>'[6]5 GSZNR fel'!H51</f>
        <v>68524807</v>
      </c>
      <c r="K32" s="137">
        <f>'[6]5 GSZNR fel'!I51</f>
        <v>17383122</v>
      </c>
    </row>
    <row r="33" spans="1:11" s="139" customFormat="1" x14ac:dyDescent="0.25">
      <c r="A33" s="133" t="s">
        <v>189</v>
      </c>
      <c r="B33" s="134" t="s">
        <v>190</v>
      </c>
      <c r="C33" s="138"/>
      <c r="D33" s="136"/>
      <c r="E33" s="136"/>
      <c r="F33" s="137">
        <f>'[6]5 GSZNR fel'!E58</f>
        <v>189916850</v>
      </c>
      <c r="G33" s="138"/>
      <c r="H33" s="136"/>
      <c r="I33" s="136"/>
      <c r="J33" s="137">
        <f>'[6]5 GSZNR fel'!H58</f>
        <v>192338368</v>
      </c>
      <c r="K33" s="137">
        <f>'[6]5 GSZNR fel'!I58</f>
        <v>62204963</v>
      </c>
    </row>
    <row r="34" spans="1:11" s="139" customFormat="1" x14ac:dyDescent="0.25">
      <c r="A34" s="133" t="s">
        <v>191</v>
      </c>
      <c r="B34" s="134" t="s">
        <v>192</v>
      </c>
      <c r="C34" s="138">
        <v>4.5</v>
      </c>
      <c r="D34" s="136"/>
      <c r="E34" s="136"/>
      <c r="F34" s="137">
        <f>'[6]5 GSZNR fel'!E76</f>
        <v>43962130</v>
      </c>
      <c r="G34" s="138">
        <v>4.5</v>
      </c>
      <c r="H34" s="136"/>
      <c r="I34" s="136"/>
      <c r="J34" s="137">
        <f>'[6]5 GSZNR fel'!H76</f>
        <v>46243725</v>
      </c>
      <c r="K34" s="137">
        <f>'[6]5 GSZNR fel'!I76</f>
        <v>11321021</v>
      </c>
    </row>
    <row r="35" spans="1:11" s="139" customFormat="1" ht="30" x14ac:dyDescent="0.25">
      <c r="A35" s="133" t="s">
        <v>193</v>
      </c>
      <c r="B35" s="140" t="s">
        <v>194</v>
      </c>
      <c r="C35" s="138"/>
      <c r="D35" s="136"/>
      <c r="E35" s="136"/>
      <c r="F35" s="137">
        <f>'[6]5 GSZNR fel'!E83</f>
        <v>2600000</v>
      </c>
      <c r="G35" s="138"/>
      <c r="H35" s="136"/>
      <c r="I35" s="136"/>
      <c r="J35" s="137">
        <f>'[6]5 GSZNR fel'!H83</f>
        <v>2600000</v>
      </c>
      <c r="K35" s="137">
        <f>'[6]5 GSZNR fel'!I83</f>
        <v>633398</v>
      </c>
    </row>
    <row r="36" spans="1:11" s="139" customFormat="1" x14ac:dyDescent="0.25">
      <c r="A36" s="133" t="s">
        <v>195</v>
      </c>
      <c r="B36" s="134" t="s">
        <v>196</v>
      </c>
      <c r="C36" s="138">
        <v>13</v>
      </c>
      <c r="D36" s="136"/>
      <c r="E36" s="136"/>
      <c r="F36" s="137">
        <f>'[6]5 GSZNR fel'!E96</f>
        <v>120929930</v>
      </c>
      <c r="G36" s="138">
        <v>13</v>
      </c>
      <c r="H36" s="136"/>
      <c r="I36" s="136"/>
      <c r="J36" s="137">
        <f>'[6]5 GSZNR fel'!H96</f>
        <v>130389447</v>
      </c>
      <c r="K36" s="137">
        <f>'[6]5 GSZNR fel'!I96</f>
        <v>36006088</v>
      </c>
    </row>
    <row r="37" spans="1:11" s="139" customFormat="1" x14ac:dyDescent="0.25">
      <c r="A37" s="133" t="s">
        <v>197</v>
      </c>
      <c r="B37" s="134" t="s">
        <v>198</v>
      </c>
      <c r="C37" s="138">
        <v>6</v>
      </c>
      <c r="D37" s="136"/>
      <c r="E37" s="136"/>
      <c r="F37" s="137">
        <f>'[6]5 GSZNR fel'!E102</f>
        <v>31609660</v>
      </c>
      <c r="G37" s="138">
        <v>6</v>
      </c>
      <c r="H37" s="136"/>
      <c r="I37" s="136"/>
      <c r="J37" s="137">
        <f>'[6]5 GSZNR fel'!H102</f>
        <v>31609660</v>
      </c>
      <c r="K37" s="137">
        <f>'[6]5 GSZNR fel'!I102</f>
        <v>12424468</v>
      </c>
    </row>
    <row r="38" spans="1:11" s="139" customFormat="1" x14ac:dyDescent="0.25">
      <c r="A38" s="133" t="s">
        <v>199</v>
      </c>
      <c r="B38" s="134" t="s">
        <v>200</v>
      </c>
      <c r="C38" s="138"/>
      <c r="D38" s="136"/>
      <c r="E38" s="136"/>
      <c r="F38" s="137">
        <f>'[6]5 GSZNR fel'!E107</f>
        <v>18746000</v>
      </c>
      <c r="G38" s="138"/>
      <c r="H38" s="136"/>
      <c r="I38" s="136"/>
      <c r="J38" s="137">
        <f>'[6]5 GSZNR fel'!H107</f>
        <v>18746000</v>
      </c>
      <c r="K38" s="137">
        <f>'[6]5 GSZNR fel'!I107</f>
        <v>8043029</v>
      </c>
    </row>
    <row r="39" spans="1:11" s="139" customFormat="1" x14ac:dyDescent="0.25">
      <c r="A39" s="133" t="s">
        <v>201</v>
      </c>
      <c r="B39" s="134" t="s">
        <v>202</v>
      </c>
      <c r="C39" s="138">
        <v>24</v>
      </c>
      <c r="D39" s="136"/>
      <c r="E39" s="136"/>
      <c r="F39" s="137">
        <f>'[6]5 GSZNR fel'!E120</f>
        <v>138668720</v>
      </c>
      <c r="G39" s="138">
        <v>24</v>
      </c>
      <c r="H39" s="136"/>
      <c r="I39" s="136"/>
      <c r="J39" s="137">
        <f>'[6]5 GSZNR fel'!H120</f>
        <v>142871090</v>
      </c>
      <c r="K39" s="137">
        <f>'[6]5 GSZNR fel'!I120</f>
        <v>46680502</v>
      </c>
    </row>
    <row r="40" spans="1:11" s="139" customFormat="1" x14ac:dyDescent="0.25">
      <c r="A40" s="133" t="s">
        <v>203</v>
      </c>
      <c r="B40" s="134" t="s">
        <v>204</v>
      </c>
      <c r="C40" s="141"/>
      <c r="D40" s="136"/>
      <c r="E40" s="136"/>
      <c r="F40" s="137">
        <f>'[6]5 GSZNR fel'!E126</f>
        <v>12700000</v>
      </c>
      <c r="G40" s="141"/>
      <c r="H40" s="136"/>
      <c r="I40" s="136"/>
      <c r="J40" s="137">
        <f>'[6]5 GSZNR fel'!H126</f>
        <v>12700000</v>
      </c>
      <c r="K40" s="137">
        <f>'[6]5 GSZNR fel'!I126</f>
        <v>1786579</v>
      </c>
    </row>
    <row r="41" spans="1:11" x14ac:dyDescent="0.25">
      <c r="A41" s="142" t="s">
        <v>27</v>
      </c>
      <c r="B41" s="8" t="s">
        <v>205</v>
      </c>
      <c r="C41" s="131">
        <f>SUM(C42:C81)</f>
        <v>5.5</v>
      </c>
      <c r="D41" s="131"/>
      <c r="E41" s="131"/>
      <c r="F41" s="132">
        <f>SUM(F42:F86)</f>
        <v>987115265</v>
      </c>
      <c r="G41" s="131">
        <f>SUM(G42:G81)</f>
        <v>5.5</v>
      </c>
      <c r="H41" s="131"/>
      <c r="I41" s="131"/>
      <c r="J41" s="132">
        <f>SUM(J42:J87)</f>
        <v>1250587512</v>
      </c>
      <c r="K41" s="132">
        <f>SUM(K42:K87)</f>
        <v>206054515</v>
      </c>
    </row>
    <row r="42" spans="1:11" s="139" customFormat="1" x14ac:dyDescent="0.25">
      <c r="A42" s="133" t="s">
        <v>206</v>
      </c>
      <c r="B42" s="134" t="s">
        <v>207</v>
      </c>
      <c r="C42" s="135"/>
      <c r="D42" s="136"/>
      <c r="E42" s="136"/>
      <c r="F42" s="137">
        <f>'[6]2C Önk bev kiad fel'!E74</f>
        <v>5360000</v>
      </c>
      <c r="G42" s="135"/>
      <c r="H42" s="136"/>
      <c r="I42" s="136"/>
      <c r="J42" s="137">
        <f>'[6]2C Önk bev kiad fel'!I74</f>
        <v>5360000</v>
      </c>
      <c r="K42" s="137">
        <f>'[6]2C Önk bev kiad fel'!J74</f>
        <v>2104096</v>
      </c>
    </row>
    <row r="43" spans="1:11" s="139" customFormat="1" x14ac:dyDescent="0.25">
      <c r="A43" s="133" t="s">
        <v>208</v>
      </c>
      <c r="B43" s="134" t="s">
        <v>209</v>
      </c>
      <c r="C43" s="135"/>
      <c r="D43" s="136"/>
      <c r="E43" s="136"/>
      <c r="F43" s="137">
        <f>'[6]2C Önk bev kiad fel'!E77</f>
        <v>1000000</v>
      </c>
      <c r="G43" s="135"/>
      <c r="H43" s="136"/>
      <c r="I43" s="136"/>
      <c r="J43" s="137">
        <f>'[6]2C Önk bev kiad fel'!I77</f>
        <v>1000000</v>
      </c>
      <c r="K43" s="137">
        <f>'[6]2C Önk bev kiad fel'!J77</f>
        <v>151930</v>
      </c>
    </row>
    <row r="44" spans="1:11" s="139" customFormat="1" x14ac:dyDescent="0.25">
      <c r="A44" s="133" t="s">
        <v>210</v>
      </c>
      <c r="B44" s="143" t="s">
        <v>211</v>
      </c>
      <c r="C44" s="144"/>
      <c r="D44" s="145"/>
      <c r="E44" s="145"/>
      <c r="F44" s="16">
        <f>'[6]2C Önk bev kiad fel'!E80</f>
        <v>1500000</v>
      </c>
      <c r="G44" s="144"/>
      <c r="H44" s="145"/>
      <c r="I44" s="145"/>
      <c r="J44" s="16">
        <f>'[6]2C Önk bev kiad fel'!I80</f>
        <v>1500000</v>
      </c>
      <c r="K44" s="16">
        <f>'[6]2C Önk bev kiad fel'!J80</f>
        <v>81960</v>
      </c>
    </row>
    <row r="45" spans="1:11" s="139" customFormat="1" x14ac:dyDescent="0.25">
      <c r="A45" s="133" t="s">
        <v>212</v>
      </c>
      <c r="B45" s="134" t="s">
        <v>213</v>
      </c>
      <c r="C45" s="135"/>
      <c r="D45" s="136"/>
      <c r="E45" s="136"/>
      <c r="F45" s="137">
        <f>'[6]2C Önk bev kiad fel'!E84</f>
        <v>4000000</v>
      </c>
      <c r="G45" s="135"/>
      <c r="H45" s="136"/>
      <c r="I45" s="136"/>
      <c r="J45" s="137">
        <f>'[6]2C Önk bev kiad fel'!I84</f>
        <v>4000000</v>
      </c>
      <c r="K45" s="137">
        <f>'[6]2C Önk bev kiad fel'!J84</f>
        <v>450000</v>
      </c>
    </row>
    <row r="46" spans="1:11" s="139" customFormat="1" x14ac:dyDescent="0.25">
      <c r="A46" s="133" t="s">
        <v>214</v>
      </c>
      <c r="B46" s="134" t="s">
        <v>215</v>
      </c>
      <c r="C46" s="135"/>
      <c r="D46" s="136"/>
      <c r="E46" s="136"/>
      <c r="F46" s="137">
        <f>'[6]2C Önk bev kiad fel'!E88</f>
        <v>6308000</v>
      </c>
      <c r="G46" s="135"/>
      <c r="H46" s="136"/>
      <c r="I46" s="136"/>
      <c r="J46" s="137">
        <f>'[6]2C Önk bev kiad fel'!I88</f>
        <v>6308000</v>
      </c>
      <c r="K46" s="137">
        <f>'[6]2C Önk bev kiad fel'!J88</f>
        <v>0</v>
      </c>
    </row>
    <row r="47" spans="1:11" s="139" customFormat="1" x14ac:dyDescent="0.25">
      <c r="A47" s="133" t="s">
        <v>216</v>
      </c>
      <c r="B47" s="134" t="s">
        <v>217</v>
      </c>
      <c r="C47" s="135"/>
      <c r="D47" s="136"/>
      <c r="E47" s="136"/>
      <c r="F47" s="137">
        <f>'[6]2C Önk bev kiad fel'!E90</f>
        <v>5000000</v>
      </c>
      <c r="G47" s="135"/>
      <c r="H47" s="136"/>
      <c r="I47" s="136"/>
      <c r="J47" s="137">
        <f>'[6]2C Önk bev kiad fel'!I90</f>
        <v>5000000</v>
      </c>
      <c r="K47" s="137">
        <f>'[6]2C Önk bev kiad fel'!J90</f>
        <v>1600000</v>
      </c>
    </row>
    <row r="48" spans="1:11" s="139" customFormat="1" x14ac:dyDescent="0.25">
      <c r="A48" s="133" t="s">
        <v>218</v>
      </c>
      <c r="B48" s="134" t="s">
        <v>219</v>
      </c>
      <c r="C48" s="135"/>
      <c r="D48" s="136"/>
      <c r="E48" s="136"/>
      <c r="F48" s="137">
        <f>'[6]2C Önk bev kiad fel'!E92</f>
        <v>5810400</v>
      </c>
      <c r="G48" s="135"/>
      <c r="H48" s="136"/>
      <c r="I48" s="136"/>
      <c r="J48" s="137">
        <f>'[6]2C Önk bev kiad fel'!I92</f>
        <v>5810400</v>
      </c>
      <c r="K48" s="137">
        <f>'[6]2C Önk bev kiad fel'!J92</f>
        <v>2246400</v>
      </c>
    </row>
    <row r="49" spans="1:11" s="146" customFormat="1" x14ac:dyDescent="0.25">
      <c r="A49" s="133" t="s">
        <v>220</v>
      </c>
      <c r="B49" s="143" t="s">
        <v>221</v>
      </c>
      <c r="C49" s="144"/>
      <c r="D49" s="145"/>
      <c r="E49" s="145"/>
      <c r="F49" s="16">
        <f>'[6]2C Önk bev kiad fel'!E94</f>
        <v>1080000</v>
      </c>
      <c r="G49" s="144"/>
      <c r="H49" s="145"/>
      <c r="I49" s="145"/>
      <c r="J49" s="16">
        <f>'[6]2C Önk bev kiad fel'!I94</f>
        <v>1080000</v>
      </c>
      <c r="K49" s="16">
        <f>'[6]2C Önk bev kiad fel'!J94</f>
        <v>0</v>
      </c>
    </row>
    <row r="50" spans="1:11" s="139" customFormat="1" x14ac:dyDescent="0.25">
      <c r="A50" s="133" t="s">
        <v>222</v>
      </c>
      <c r="B50" s="134" t="s">
        <v>223</v>
      </c>
      <c r="C50" s="135"/>
      <c r="D50" s="136"/>
      <c r="E50" s="136"/>
      <c r="F50" s="137">
        <f>'[6]2C Önk bev kiad fel'!E96</f>
        <v>0</v>
      </c>
      <c r="G50" s="135"/>
      <c r="H50" s="136"/>
      <c r="I50" s="136"/>
      <c r="J50" s="137">
        <f>'[6]2C Önk bev kiad fel'!I96</f>
        <v>0</v>
      </c>
      <c r="K50" s="137">
        <f>'[6]2C Önk bev kiad fel'!J96</f>
        <v>0</v>
      </c>
    </row>
    <row r="51" spans="1:11" s="139" customFormat="1" x14ac:dyDescent="0.25">
      <c r="A51" s="133" t="s">
        <v>224</v>
      </c>
      <c r="B51" s="134" t="s">
        <v>225</v>
      </c>
      <c r="C51" s="135"/>
      <c r="D51" s="136"/>
      <c r="E51" s="136"/>
      <c r="F51" s="137">
        <f>'[6]2C Önk bev kiad fel'!E98</f>
        <v>2286000</v>
      </c>
      <c r="G51" s="135"/>
      <c r="H51" s="136"/>
      <c r="I51" s="136"/>
      <c r="J51" s="137">
        <f>'[6]2C Önk bev kiad fel'!I98</f>
        <v>2286000</v>
      </c>
      <c r="K51" s="137">
        <f>'[6]2C Önk bev kiad fel'!J98</f>
        <v>952500</v>
      </c>
    </row>
    <row r="52" spans="1:11" s="139" customFormat="1" x14ac:dyDescent="0.25">
      <c r="A52" s="133" t="s">
        <v>226</v>
      </c>
      <c r="B52" s="134" t="s">
        <v>227</v>
      </c>
      <c r="C52" s="135"/>
      <c r="D52" s="136"/>
      <c r="E52" s="136"/>
      <c r="F52" s="137">
        <f>'[6]2C Önk bev kiad fel'!E100</f>
        <v>2420000</v>
      </c>
      <c r="G52" s="135"/>
      <c r="H52" s="136"/>
      <c r="I52" s="136"/>
      <c r="J52" s="137">
        <f>'[6]2C Önk bev kiad fel'!I100</f>
        <v>2420000</v>
      </c>
      <c r="K52" s="137">
        <f>'[6]2C Önk bev kiad fel'!J100</f>
        <v>1008170</v>
      </c>
    </row>
    <row r="53" spans="1:11" s="139" customFormat="1" x14ac:dyDescent="0.25">
      <c r="A53" s="133" t="s">
        <v>228</v>
      </c>
      <c r="B53" s="134" t="s">
        <v>229</v>
      </c>
      <c r="C53" s="135"/>
      <c r="D53" s="136"/>
      <c r="E53" s="136"/>
      <c r="F53" s="137">
        <f>'[6]2C Önk bev kiad fel'!E102</f>
        <v>2400000</v>
      </c>
      <c r="G53" s="135"/>
      <c r="H53" s="136"/>
      <c r="I53" s="136"/>
      <c r="J53" s="137">
        <f>'[6]2C Önk bev kiad fel'!I102</f>
        <v>2400000</v>
      </c>
      <c r="K53" s="137">
        <f>'[6]2C Önk bev kiad fel'!J102</f>
        <v>236200</v>
      </c>
    </row>
    <row r="54" spans="1:11" s="139" customFormat="1" x14ac:dyDescent="0.25">
      <c r="A54" s="133" t="s">
        <v>230</v>
      </c>
      <c r="B54" s="134" t="s">
        <v>231</v>
      </c>
      <c r="C54" s="135"/>
      <c r="D54" s="136"/>
      <c r="E54" s="136"/>
      <c r="F54" s="137">
        <f>'[6]2C Önk bev kiad fel'!E104</f>
        <v>2540000</v>
      </c>
      <c r="G54" s="135"/>
      <c r="H54" s="136"/>
      <c r="I54" s="136"/>
      <c r="J54" s="137">
        <f>'[6]2C Önk bev kiad fel'!I104</f>
        <v>2540000</v>
      </c>
      <c r="K54" s="137">
        <f>'[6]2C Önk bev kiad fel'!J104</f>
        <v>0</v>
      </c>
    </row>
    <row r="55" spans="1:11" s="139" customFormat="1" x14ac:dyDescent="0.25">
      <c r="A55" s="133" t="s">
        <v>232</v>
      </c>
      <c r="B55" s="134" t="s">
        <v>233</v>
      </c>
      <c r="C55" s="135"/>
      <c r="D55" s="136"/>
      <c r="E55" s="136"/>
      <c r="F55" s="137">
        <f>'[6]2C Önk bev kiad fel'!E108</f>
        <v>17819045</v>
      </c>
      <c r="G55" s="135"/>
      <c r="H55" s="136"/>
      <c r="I55" s="136"/>
      <c r="J55" s="137">
        <f>'[6]2C Önk bev kiad fel'!I108</f>
        <v>19446133</v>
      </c>
      <c r="K55" s="137">
        <f>'[6]2C Önk bev kiad fel'!J108</f>
        <v>11185728</v>
      </c>
    </row>
    <row r="56" spans="1:11" s="146" customFormat="1" ht="30" x14ac:dyDescent="0.25">
      <c r="A56" s="133" t="s">
        <v>234</v>
      </c>
      <c r="B56" s="143" t="s">
        <v>235</v>
      </c>
      <c r="C56" s="144"/>
      <c r="D56" s="145"/>
      <c r="E56" s="145"/>
      <c r="F56" s="16">
        <f>'[6]2C Önk bev kiad fel'!E113</f>
        <v>8163000</v>
      </c>
      <c r="G56" s="144"/>
      <c r="H56" s="145"/>
      <c r="I56" s="145"/>
      <c r="J56" s="16">
        <f>'[6]2C Önk bev kiad fel'!I113</f>
        <v>8163000</v>
      </c>
      <c r="K56" s="16">
        <f>'[6]2C Önk bev kiad fel'!J113</f>
        <v>4081500</v>
      </c>
    </row>
    <row r="57" spans="1:11" s="139" customFormat="1" x14ac:dyDescent="0.25">
      <c r="A57" s="133" t="s">
        <v>236</v>
      </c>
      <c r="B57" s="134" t="s">
        <v>237</v>
      </c>
      <c r="C57" s="135"/>
      <c r="D57" s="136"/>
      <c r="E57" s="136"/>
      <c r="F57" s="137">
        <f>'[6]2C Önk bev kiad fel'!E115</f>
        <v>3024000</v>
      </c>
      <c r="G57" s="135"/>
      <c r="H57" s="136"/>
      <c r="I57" s="136"/>
      <c r="J57" s="137">
        <f>'[6]2C Önk bev kiad fel'!I115</f>
        <v>3024000</v>
      </c>
      <c r="K57" s="137">
        <f>'[6]2C Önk bev kiad fel'!J115</f>
        <v>0</v>
      </c>
    </row>
    <row r="58" spans="1:11" s="139" customFormat="1" x14ac:dyDescent="0.25">
      <c r="A58" s="133" t="s">
        <v>238</v>
      </c>
      <c r="B58" s="147" t="s">
        <v>239</v>
      </c>
      <c r="C58" s="135"/>
      <c r="D58" s="136"/>
      <c r="E58" s="136"/>
      <c r="F58" s="137">
        <f>'[6]2C Önk bev kiad fel'!E118</f>
        <v>32945000</v>
      </c>
      <c r="G58" s="135"/>
      <c r="H58" s="136"/>
      <c r="I58" s="136"/>
      <c r="J58" s="137">
        <f>'[6]2C Önk bev kiad fel'!I118</f>
        <v>32945000</v>
      </c>
      <c r="K58" s="137">
        <f>'[6]2C Önk bev kiad fel'!J118</f>
        <v>12437500</v>
      </c>
    </row>
    <row r="59" spans="1:11" s="139" customFormat="1" x14ac:dyDescent="0.25">
      <c r="A59" s="133" t="s">
        <v>240</v>
      </c>
      <c r="B59" s="134" t="s">
        <v>241</v>
      </c>
      <c r="C59" s="135"/>
      <c r="D59" s="136"/>
      <c r="E59" s="136"/>
      <c r="F59" s="137">
        <f>'[6]2C Önk bev kiad fel'!E122</f>
        <v>2000000</v>
      </c>
      <c r="G59" s="135"/>
      <c r="H59" s="136"/>
      <c r="I59" s="136"/>
      <c r="J59" s="137">
        <f>'[6]2C Önk bev kiad fel'!I122</f>
        <v>2000000</v>
      </c>
      <c r="K59" s="137">
        <f>'[6]2C Önk bev kiad fel'!J122</f>
        <v>1000000</v>
      </c>
    </row>
    <row r="60" spans="1:11" s="139" customFormat="1" x14ac:dyDescent="0.25">
      <c r="A60" s="133" t="s">
        <v>242</v>
      </c>
      <c r="B60" s="134" t="s">
        <v>243</v>
      </c>
      <c r="C60" s="135"/>
      <c r="D60" s="136"/>
      <c r="E60" s="136"/>
      <c r="F60" s="137">
        <f>'[6]2C Önk bev kiad fel'!E124</f>
        <v>200000</v>
      </c>
      <c r="G60" s="135"/>
      <c r="H60" s="136"/>
      <c r="I60" s="136"/>
      <c r="J60" s="137">
        <f>'[6]2C Önk bev kiad fel'!I124</f>
        <v>200000</v>
      </c>
      <c r="K60" s="137">
        <f>'[6]2C Önk bev kiad fel'!J124</f>
        <v>100000</v>
      </c>
    </row>
    <row r="61" spans="1:11" s="139" customFormat="1" x14ac:dyDescent="0.25">
      <c r="A61" s="133" t="s">
        <v>244</v>
      </c>
      <c r="B61" s="134" t="s">
        <v>245</v>
      </c>
      <c r="C61" s="135"/>
      <c r="D61" s="136"/>
      <c r="E61" s="136"/>
      <c r="F61" s="137">
        <f>'[6]2C Önk bev kiad fel'!E126</f>
        <v>3000000</v>
      </c>
      <c r="G61" s="135"/>
      <c r="H61" s="136"/>
      <c r="I61" s="136"/>
      <c r="J61" s="137">
        <f>'[6]2C Önk bev kiad fel'!I126</f>
        <v>3000000</v>
      </c>
      <c r="K61" s="137">
        <f>'[6]2C Önk bev kiad fel'!J126</f>
        <v>0</v>
      </c>
    </row>
    <row r="62" spans="1:11" s="139" customFormat="1" x14ac:dyDescent="0.25">
      <c r="A62" s="133" t="s">
        <v>246</v>
      </c>
      <c r="B62" s="134" t="s">
        <v>247</v>
      </c>
      <c r="C62" s="135"/>
      <c r="D62" s="136"/>
      <c r="E62" s="136"/>
      <c r="F62" s="137">
        <f>'[6]2C Önk bev kiad fel'!E128</f>
        <v>5400000</v>
      </c>
      <c r="G62" s="135"/>
      <c r="H62" s="136"/>
      <c r="I62" s="136"/>
      <c r="J62" s="137">
        <f>'[6]2C Önk bev kiad fel'!I128</f>
        <v>5400000</v>
      </c>
      <c r="K62" s="137">
        <f>'[6]2C Önk bev kiad fel'!J128</f>
        <v>5400000</v>
      </c>
    </row>
    <row r="63" spans="1:11" s="139" customFormat="1" x14ac:dyDescent="0.25">
      <c r="A63" s="133" t="s">
        <v>248</v>
      </c>
      <c r="B63" s="134" t="s">
        <v>249</v>
      </c>
      <c r="C63" s="135"/>
      <c r="D63" s="136"/>
      <c r="E63" s="136"/>
      <c r="F63" s="137">
        <f>'[6]2C Önk bev kiad fel'!E130</f>
        <v>400000</v>
      </c>
      <c r="G63" s="135"/>
      <c r="H63" s="136"/>
      <c r="I63" s="136"/>
      <c r="J63" s="137">
        <f>'[6]2C Önk bev kiad fel'!I130</f>
        <v>400000</v>
      </c>
      <c r="K63" s="137">
        <f>'[6]2C Önk bev kiad fel'!J130</f>
        <v>0</v>
      </c>
    </row>
    <row r="64" spans="1:11" s="139" customFormat="1" x14ac:dyDescent="0.25">
      <c r="A64" s="133" t="s">
        <v>250</v>
      </c>
      <c r="B64" s="134" t="s">
        <v>251</v>
      </c>
      <c r="C64" s="135"/>
      <c r="D64" s="136"/>
      <c r="E64" s="136"/>
      <c r="F64" s="137">
        <f>'[6]2C Önk bev kiad fel'!E132</f>
        <v>81300000</v>
      </c>
      <c r="G64" s="135"/>
      <c r="H64" s="136"/>
      <c r="I64" s="136"/>
      <c r="J64" s="137">
        <f>'[6]2C Önk bev kiad fel'!I132</f>
        <v>81300000</v>
      </c>
      <c r="K64" s="137">
        <f>'[6]2C Önk bev kiad fel'!J132</f>
        <v>6762069</v>
      </c>
    </row>
    <row r="65" spans="1:11" s="139" customFormat="1" x14ac:dyDescent="0.25">
      <c r="A65" s="133" t="s">
        <v>252</v>
      </c>
      <c r="B65" s="134" t="s">
        <v>253</v>
      </c>
      <c r="C65" s="135"/>
      <c r="D65" s="136"/>
      <c r="E65" s="136"/>
      <c r="F65" s="137">
        <f>'[6]2C Önk bev kiad fel'!E135</f>
        <v>45380000</v>
      </c>
      <c r="G65" s="135"/>
      <c r="H65" s="136"/>
      <c r="I65" s="136"/>
      <c r="J65" s="137">
        <f>'[6]2C Önk bev kiad fel'!I135</f>
        <v>46861000</v>
      </c>
      <c r="K65" s="137">
        <f>'[6]2C Önk bev kiad fel'!J135</f>
        <v>20389335</v>
      </c>
    </row>
    <row r="66" spans="1:11" s="139" customFormat="1" x14ac:dyDescent="0.25">
      <c r="A66" s="133" t="s">
        <v>254</v>
      </c>
      <c r="B66" s="134" t="s">
        <v>255</v>
      </c>
      <c r="C66" s="135"/>
      <c r="D66" s="136"/>
      <c r="E66" s="136"/>
      <c r="F66" s="137">
        <f>'[6]2C Önk bev kiad fel'!E138</f>
        <v>6500000</v>
      </c>
      <c r="G66" s="135"/>
      <c r="H66" s="136"/>
      <c r="I66" s="136"/>
      <c r="J66" s="137">
        <f>'[6]2C Önk bev kiad fel'!I138</f>
        <v>6200000</v>
      </c>
      <c r="K66" s="137">
        <f>'[6]2C Önk bev kiad fel'!J138</f>
        <v>900000</v>
      </c>
    </row>
    <row r="67" spans="1:11" s="139" customFormat="1" x14ac:dyDescent="0.25">
      <c r="A67" s="133" t="s">
        <v>256</v>
      </c>
      <c r="B67" s="134" t="s">
        <v>257</v>
      </c>
      <c r="C67" s="135"/>
      <c r="D67" s="136"/>
      <c r="E67" s="136"/>
      <c r="F67" s="137">
        <f>'[6]2C Önk bev kiad fel'!E141</f>
        <v>2000000</v>
      </c>
      <c r="G67" s="135"/>
      <c r="H67" s="136"/>
      <c r="I67" s="136"/>
      <c r="J67" s="137">
        <f>'[6]2C Önk bev kiad fel'!I141</f>
        <v>2000000</v>
      </c>
      <c r="K67" s="137">
        <f>'[6]2C Önk bev kiad fel'!J141</f>
        <v>0</v>
      </c>
    </row>
    <row r="68" spans="1:11" s="139" customFormat="1" x14ac:dyDescent="0.25">
      <c r="A68" s="133" t="s">
        <v>258</v>
      </c>
      <c r="B68" s="134" t="s">
        <v>259</v>
      </c>
      <c r="C68" s="135"/>
      <c r="D68" s="136"/>
      <c r="E68" s="136"/>
      <c r="F68" s="137">
        <f>'[6]2C Önk bev kiad fel'!E143</f>
        <v>41500000</v>
      </c>
      <c r="G68" s="135"/>
      <c r="H68" s="136"/>
      <c r="I68" s="136"/>
      <c r="J68" s="137">
        <f>'[6]2C Önk bev kiad fel'!I143</f>
        <v>13300000</v>
      </c>
      <c r="K68" s="137">
        <f>'[6]2C Önk bev kiad fel'!J143</f>
        <v>0</v>
      </c>
    </row>
    <row r="69" spans="1:11" s="139" customFormat="1" x14ac:dyDescent="0.25">
      <c r="A69" s="133" t="s">
        <v>260</v>
      </c>
      <c r="B69" s="147" t="s">
        <v>261</v>
      </c>
      <c r="C69" s="135"/>
      <c r="D69" s="136"/>
      <c r="E69" s="136"/>
      <c r="F69" s="137"/>
      <c r="G69" s="135"/>
      <c r="H69" s="136"/>
      <c r="I69" s="136"/>
      <c r="J69" s="137">
        <f>+'[6]2C Önk bev kiad fel'!I146</f>
        <v>24000000</v>
      </c>
      <c r="K69" s="137">
        <f>+'[6]2C Önk bev kiad fel'!J146</f>
        <v>10000000</v>
      </c>
    </row>
    <row r="70" spans="1:11" s="139" customFormat="1" x14ac:dyDescent="0.25">
      <c r="A70" s="133" t="s">
        <v>262</v>
      </c>
      <c r="B70" s="134" t="s">
        <v>263</v>
      </c>
      <c r="C70" s="135"/>
      <c r="D70" s="136"/>
      <c r="E70" s="136"/>
      <c r="F70" s="137">
        <f>'[6]2C Önk bev kiad fel'!E148</f>
        <v>12600000</v>
      </c>
      <c r="G70" s="135"/>
      <c r="H70" s="136"/>
      <c r="I70" s="136"/>
      <c r="J70" s="137">
        <f>'[6]2C Önk bev kiad fel'!I148</f>
        <v>12600000</v>
      </c>
      <c r="K70" s="137">
        <f>'[6]2C Önk bev kiad fel'!J148</f>
        <v>0</v>
      </c>
    </row>
    <row r="71" spans="1:11" s="139" customFormat="1" x14ac:dyDescent="0.25">
      <c r="A71" s="133" t="s">
        <v>264</v>
      </c>
      <c r="B71" s="134" t="s">
        <v>265</v>
      </c>
      <c r="C71" s="135"/>
      <c r="D71" s="136"/>
      <c r="E71" s="136"/>
      <c r="F71" s="137">
        <f>'[6]2C Önk bev kiad fel'!E150</f>
        <v>3190000</v>
      </c>
      <c r="G71" s="135"/>
      <c r="H71" s="136"/>
      <c r="I71" s="136"/>
      <c r="J71" s="137">
        <f>'[6]2C Önk bev kiad fel'!I150</f>
        <v>3687000</v>
      </c>
      <c r="K71" s="137">
        <f>'[6]2C Önk bev kiad fel'!J150</f>
        <v>1069500</v>
      </c>
    </row>
    <row r="72" spans="1:11" s="139" customFormat="1" x14ac:dyDescent="0.25">
      <c r="A72" s="133" t="s">
        <v>266</v>
      </c>
      <c r="B72" s="134" t="s">
        <v>267</v>
      </c>
      <c r="C72" s="135"/>
      <c r="D72" s="136"/>
      <c r="E72" s="136"/>
      <c r="F72" s="137">
        <f>'[6]2C Önk bev kiad fel'!E152</f>
        <v>16000000</v>
      </c>
      <c r="G72" s="135"/>
      <c r="H72" s="136"/>
      <c r="I72" s="136"/>
      <c r="J72" s="137">
        <f>'[6]2C Önk bev kiad fel'!I152</f>
        <v>16484500</v>
      </c>
      <c r="K72" s="137">
        <f>'[6]2C Önk bev kiad fel'!J152</f>
        <v>1549915</v>
      </c>
    </row>
    <row r="73" spans="1:11" x14ac:dyDescent="0.25">
      <c r="A73" s="133" t="s">
        <v>268</v>
      </c>
      <c r="B73" s="134" t="s">
        <v>269</v>
      </c>
      <c r="C73" s="135"/>
      <c r="D73" s="136"/>
      <c r="E73" s="136"/>
      <c r="F73" s="137">
        <f>'[6]2C Önk bev kiad fel'!E155</f>
        <v>67457320</v>
      </c>
      <c r="G73" s="135"/>
      <c r="H73" s="136"/>
      <c r="I73" s="136"/>
      <c r="J73" s="137">
        <f>'[6]2C Önk bev kiad fel'!I155</f>
        <v>75622087</v>
      </c>
      <c r="K73" s="137">
        <f>'[6]2C Önk bev kiad fel'!J155</f>
        <v>13305653</v>
      </c>
    </row>
    <row r="74" spans="1:11" x14ac:dyDescent="0.25">
      <c r="A74" s="133" t="s">
        <v>270</v>
      </c>
      <c r="B74" s="134" t="s">
        <v>271</v>
      </c>
      <c r="C74" s="135"/>
      <c r="D74" s="136"/>
      <c r="E74" s="136"/>
      <c r="F74" s="137">
        <f>'[6]2C Önk bev kiad fel'!E163</f>
        <v>392408000</v>
      </c>
      <c r="G74" s="135"/>
      <c r="H74" s="136"/>
      <c r="I74" s="136"/>
      <c r="J74" s="137">
        <f>'[6]2C Önk bev kiad fel'!I163</f>
        <v>619682477</v>
      </c>
      <c r="K74" s="137">
        <f>'[6]2C Önk bev kiad fel'!J163</f>
        <v>43887666</v>
      </c>
    </row>
    <row r="75" spans="1:11" x14ac:dyDescent="0.25">
      <c r="A75" s="133" t="s">
        <v>272</v>
      </c>
      <c r="B75" s="134" t="s">
        <v>273</v>
      </c>
      <c r="C75" s="136">
        <v>4.5</v>
      </c>
      <c r="D75" s="136"/>
      <c r="E75" s="136"/>
      <c r="F75" s="137">
        <f>+'[6]3B PH fel'!F18+'[6]3B PH fel'!F23</f>
        <v>31760000</v>
      </c>
      <c r="G75" s="136">
        <v>4.5</v>
      </c>
      <c r="H75" s="136"/>
      <c r="I75" s="136"/>
      <c r="J75" s="137">
        <f>+'[6]3B PH fel'!J18+'[6]3B PH fel'!J23</f>
        <v>31760000</v>
      </c>
      <c r="K75" s="137">
        <f>+'[6]3B PH fel'!K18+'[6]3B PH fel'!K23</f>
        <v>12535044</v>
      </c>
    </row>
    <row r="76" spans="1:11" x14ac:dyDescent="0.25">
      <c r="A76" s="133" t="s">
        <v>274</v>
      </c>
      <c r="B76" s="134" t="s">
        <v>275</v>
      </c>
      <c r="C76" s="135"/>
      <c r="D76" s="136"/>
      <c r="E76" s="136"/>
      <c r="F76" s="137">
        <f>'[6]2C Önk bev kiad fel'!E183</f>
        <v>8512000</v>
      </c>
      <c r="G76" s="135"/>
      <c r="H76" s="136"/>
      <c r="I76" s="136"/>
      <c r="J76" s="137">
        <f>'[6]2C Önk bev kiad fel'!I183</f>
        <v>8512000</v>
      </c>
      <c r="K76" s="137">
        <f>'[6]2C Önk bev kiad fel'!J183</f>
        <v>7787</v>
      </c>
    </row>
    <row r="77" spans="1:11" x14ac:dyDescent="0.25">
      <c r="A77" s="133" t="s">
        <v>276</v>
      </c>
      <c r="B77" s="134" t="s">
        <v>277</v>
      </c>
      <c r="C77" s="135"/>
      <c r="D77" s="136"/>
      <c r="E77" s="136"/>
      <c r="F77" s="137">
        <f>'[6]2C Önk bev kiad fel'!E170</f>
        <v>0</v>
      </c>
      <c r="G77" s="135"/>
      <c r="H77" s="136"/>
      <c r="I77" s="136"/>
      <c r="J77" s="137">
        <f>'[6]2C Önk bev kiad fel'!I170</f>
        <v>0</v>
      </c>
      <c r="K77" s="137">
        <f>'[6]2C Önk bev kiad fel'!J170</f>
        <v>0</v>
      </c>
    </row>
    <row r="78" spans="1:11" x14ac:dyDescent="0.25">
      <c r="A78" s="133" t="s">
        <v>278</v>
      </c>
      <c r="B78" s="134" t="s">
        <v>279</v>
      </c>
      <c r="C78" s="135"/>
      <c r="D78" s="136"/>
      <c r="E78" s="136"/>
      <c r="F78" s="137">
        <f>'[6]2C Önk bev kiad fel'!E177</f>
        <v>30000000</v>
      </c>
      <c r="G78" s="135"/>
      <c r="H78" s="136"/>
      <c r="I78" s="136"/>
      <c r="J78" s="137">
        <f>'[6]2C Önk bev kiad fel'!I177</f>
        <v>26000000</v>
      </c>
      <c r="K78" s="137">
        <f>'[6]2C Önk bev kiad fel'!J177</f>
        <v>5336433</v>
      </c>
    </row>
    <row r="79" spans="1:11" x14ac:dyDescent="0.25">
      <c r="A79" s="133" t="s">
        <v>280</v>
      </c>
      <c r="B79" s="134" t="s">
        <v>281</v>
      </c>
      <c r="C79" s="136">
        <v>1</v>
      </c>
      <c r="D79" s="136"/>
      <c r="E79" s="136"/>
      <c r="F79" s="137">
        <f>'[6]5 GSZNR fel'!E89</f>
        <v>8757500</v>
      </c>
      <c r="G79" s="136">
        <v>1</v>
      </c>
      <c r="H79" s="136"/>
      <c r="I79" s="136"/>
      <c r="J79" s="137">
        <f>'[6]5 GSZNR fel'!H89</f>
        <v>8757500</v>
      </c>
      <c r="K79" s="137">
        <f>'[6]5 GSZNR fel'!I89</f>
        <v>2663043</v>
      </c>
    </row>
    <row r="80" spans="1:11" x14ac:dyDescent="0.25">
      <c r="A80" s="133" t="s">
        <v>282</v>
      </c>
      <c r="B80" s="148" t="s">
        <v>283</v>
      </c>
      <c r="C80" s="135"/>
      <c r="D80" s="136"/>
      <c r="E80" s="136"/>
      <c r="F80" s="137">
        <f>+'[6]2C Önk bev kiad fel'!E211+'[6]2C Önk bev kiad fel'!E207+'[6]2C Önk bev kiad fel'!E205+'[6]2C Önk bev kiad fel'!E201+'[6]2C Önk bev kiad fel'!E197+'[6]2C Önk bev kiad fel'!E215</f>
        <v>35635000</v>
      </c>
      <c r="G80" s="135"/>
      <c r="H80" s="136"/>
      <c r="I80" s="136"/>
      <c r="J80" s="137">
        <f>+'[6]2C Önk bev kiad fel'!I211+'[6]2C Önk bev kiad fel'!I207+'[6]2C Önk bev kiad fel'!I205+'[6]2C Önk bev kiad fel'!I201+'[6]2C Önk bev kiad fel'!I197+'[6]2C Önk bev kiad fel'!I215</f>
        <v>35635000</v>
      </c>
      <c r="K80" s="137">
        <f>+'[6]2C Önk bev kiad fel'!J211+'[6]2C Önk bev kiad fel'!J207+'[6]2C Önk bev kiad fel'!J205+'[6]2C Önk bev kiad fel'!J201+'[6]2C Önk bev kiad fel'!J197+'[6]2C Önk bev kiad fel'!J215</f>
        <v>38738</v>
      </c>
    </row>
    <row r="81" spans="1:12" x14ac:dyDescent="0.25">
      <c r="A81" s="133" t="s">
        <v>284</v>
      </c>
      <c r="B81" s="134" t="s">
        <v>285</v>
      </c>
      <c r="C81" s="135"/>
      <c r="D81" s="136"/>
      <c r="E81" s="136"/>
      <c r="F81" s="137">
        <f>'[6]2C Önk bev kiad fel'!E187</f>
        <v>80000000</v>
      </c>
      <c r="G81" s="135"/>
      <c r="H81" s="136"/>
      <c r="I81" s="136"/>
      <c r="J81" s="137">
        <f>'[6]2C Önk bev kiad fel'!I187</f>
        <v>81324000</v>
      </c>
      <c r="K81" s="137">
        <f>'[6]2C Önk bev kiad fel'!J187</f>
        <v>31324000</v>
      </c>
    </row>
    <row r="82" spans="1:12" x14ac:dyDescent="0.25">
      <c r="A82" s="149" t="s">
        <v>286</v>
      </c>
      <c r="B82" s="134" t="s">
        <v>287</v>
      </c>
      <c r="C82" s="135"/>
      <c r="D82" s="136"/>
      <c r="E82" s="136"/>
      <c r="F82" s="137">
        <f>'[6]2C Önk bev kiad fel'!E181</f>
        <v>5300000</v>
      </c>
      <c r="G82" s="135"/>
      <c r="H82" s="136"/>
      <c r="I82" s="136"/>
      <c r="J82" s="137">
        <f>'[6]2C Önk bev kiad fel'!I181</f>
        <v>5300000</v>
      </c>
      <c r="K82" s="137">
        <f>'[6]2C Önk bev kiad fel'!J181</f>
        <v>1218750</v>
      </c>
    </row>
    <row r="83" spans="1:12" x14ac:dyDescent="0.25">
      <c r="A83" s="149" t="s">
        <v>288</v>
      </c>
      <c r="B83" s="147" t="s">
        <v>289</v>
      </c>
      <c r="C83" s="135"/>
      <c r="D83" s="136"/>
      <c r="E83" s="136"/>
      <c r="F83" s="137">
        <v>0</v>
      </c>
      <c r="G83" s="135"/>
      <c r="H83" s="136"/>
      <c r="I83" s="136"/>
      <c r="J83" s="137">
        <v>0</v>
      </c>
      <c r="K83" s="137">
        <v>0</v>
      </c>
    </row>
    <row r="84" spans="1:12" ht="30" x14ac:dyDescent="0.25">
      <c r="A84" s="149" t="s">
        <v>290</v>
      </c>
      <c r="B84" s="148" t="s">
        <v>291</v>
      </c>
      <c r="C84" s="135"/>
      <c r="D84" s="136"/>
      <c r="E84" s="136"/>
      <c r="F84" s="137">
        <f>+'[6]2C Önk bev kiad fel'!E217</f>
        <v>2160000</v>
      </c>
      <c r="G84" s="135"/>
      <c r="H84" s="136"/>
      <c r="I84" s="136"/>
      <c r="J84" s="137">
        <f>+'[6]2C Önk bev kiad fel'!I217</f>
        <v>2160000</v>
      </c>
      <c r="K84" s="137">
        <f>+'[6]2C Önk bev kiad fel'!J217</f>
        <v>0</v>
      </c>
    </row>
    <row r="85" spans="1:12" x14ac:dyDescent="0.25">
      <c r="A85" s="149" t="s">
        <v>292</v>
      </c>
      <c r="B85" s="148" t="s">
        <v>293</v>
      </c>
      <c r="C85" s="135"/>
      <c r="D85" s="136"/>
      <c r="E85" s="136"/>
      <c r="F85" s="137">
        <f>+'[6]2C Önk bev kiad fel'!E193</f>
        <v>1000000</v>
      </c>
      <c r="G85" s="135"/>
      <c r="H85" s="136"/>
      <c r="I85" s="136"/>
      <c r="J85" s="137">
        <f>+'[6]2C Önk bev kiad fel'!I193</f>
        <v>1000000</v>
      </c>
      <c r="K85" s="137">
        <f>+'[6]2C Önk bev kiad fel'!J193</f>
        <v>0</v>
      </c>
    </row>
    <row r="86" spans="1:12" x14ac:dyDescent="0.25">
      <c r="A86" s="149" t="s">
        <v>294</v>
      </c>
      <c r="B86" s="134" t="s">
        <v>295</v>
      </c>
      <c r="C86" s="135"/>
      <c r="D86" s="136"/>
      <c r="E86" s="136"/>
      <c r="F86" s="137">
        <f>+'[6]2C Önk bev kiad fel'!E191</f>
        <v>3000000</v>
      </c>
      <c r="G86" s="135"/>
      <c r="H86" s="136"/>
      <c r="I86" s="136"/>
      <c r="J86" s="137">
        <f>+'[6]2C Önk bev kiad fel'!I191</f>
        <v>3000000</v>
      </c>
      <c r="K86" s="137">
        <f>+'[6]2C Önk bev kiad fel'!J191</f>
        <v>0</v>
      </c>
    </row>
    <row r="87" spans="1:12" x14ac:dyDescent="0.25">
      <c r="A87" s="149" t="s">
        <v>296</v>
      </c>
      <c r="B87" s="150" t="s">
        <v>297</v>
      </c>
      <c r="C87" s="135"/>
      <c r="D87" s="136"/>
      <c r="E87" s="136"/>
      <c r="F87" s="137"/>
      <c r="G87" s="135"/>
      <c r="H87" s="136"/>
      <c r="I87" s="136"/>
      <c r="J87" s="137">
        <f>+'[6]2C Önk bev kiad fel'!I219</f>
        <v>31119415</v>
      </c>
      <c r="K87" s="137">
        <f>+'[6]2C Önk bev kiad fel'!J219</f>
        <v>12030598</v>
      </c>
    </row>
    <row r="88" spans="1:12" x14ac:dyDescent="0.25">
      <c r="A88" s="142" t="s">
        <v>42</v>
      </c>
      <c r="B88" s="8" t="s">
        <v>298</v>
      </c>
      <c r="C88" s="151"/>
      <c r="D88" s="131"/>
      <c r="E88" s="131"/>
      <c r="F88" s="132">
        <f>SUM(F89:F90)</f>
        <v>1229000</v>
      </c>
      <c r="G88" s="151"/>
      <c r="H88" s="131"/>
      <c r="I88" s="131"/>
      <c r="J88" s="132">
        <f>SUM(J89:J90)</f>
        <v>1229000</v>
      </c>
      <c r="K88" s="132">
        <f>SUM(K89:K90)</f>
        <v>70866</v>
      </c>
    </row>
    <row r="89" spans="1:12" x14ac:dyDescent="0.25">
      <c r="A89" s="133" t="s">
        <v>299</v>
      </c>
      <c r="B89" s="134" t="s">
        <v>300</v>
      </c>
      <c r="C89" s="135"/>
      <c r="D89" s="136"/>
      <c r="E89" s="136"/>
      <c r="F89" s="137">
        <v>0</v>
      </c>
      <c r="G89" s="135"/>
      <c r="H89" s="136"/>
      <c r="I89" s="136"/>
      <c r="J89" s="137">
        <v>0</v>
      </c>
      <c r="K89" s="137">
        <v>0</v>
      </c>
    </row>
    <row r="90" spans="1:12" x14ac:dyDescent="0.25">
      <c r="A90" s="133" t="s">
        <v>301</v>
      </c>
      <c r="B90" s="134" t="s">
        <v>302</v>
      </c>
      <c r="C90" s="135"/>
      <c r="D90" s="136"/>
      <c r="E90" s="136"/>
      <c r="F90" s="137">
        <f>'[6]3B PH fel'!F31</f>
        <v>1229000</v>
      </c>
      <c r="G90" s="135"/>
      <c r="H90" s="136"/>
      <c r="I90" s="136"/>
      <c r="J90" s="137">
        <f>'[6]3B PH fel'!J31</f>
        <v>1229000</v>
      </c>
      <c r="K90" s="137">
        <f>'[6]3B PH fel'!K31</f>
        <v>70866</v>
      </c>
    </row>
    <row r="91" spans="1:12" x14ac:dyDescent="0.25">
      <c r="A91" s="142" t="s">
        <v>303</v>
      </c>
      <c r="B91" s="8" t="s">
        <v>44</v>
      </c>
      <c r="C91" s="151"/>
      <c r="D91" s="131"/>
      <c r="E91" s="131"/>
      <c r="F91" s="132">
        <f>F92+F93+F94</f>
        <v>205461000</v>
      </c>
      <c r="G91" s="151"/>
      <c r="H91" s="131"/>
      <c r="I91" s="131"/>
      <c r="J91" s="132">
        <f>J92+J93+J94</f>
        <v>391915375</v>
      </c>
      <c r="K91" s="132">
        <f>K92+K93+K94</f>
        <v>256431156</v>
      </c>
    </row>
    <row r="92" spans="1:12" x14ac:dyDescent="0.25">
      <c r="A92" s="133" t="s">
        <v>304</v>
      </c>
      <c r="B92" s="134" t="s">
        <v>305</v>
      </c>
      <c r="C92" s="135"/>
      <c r="D92" s="136"/>
      <c r="E92" s="136"/>
      <c r="F92" s="137">
        <f>'[6]2C Önk bev kiad fel'!E226</f>
        <v>180645000</v>
      </c>
      <c r="G92" s="135"/>
      <c r="H92" s="136"/>
      <c r="I92" s="136"/>
      <c r="J92" s="137">
        <f>'[6]2C Önk bev kiad fel'!I226</f>
        <v>180645000</v>
      </c>
      <c r="K92" s="137">
        <f>'[6]2C Önk bev kiad fel'!J226</f>
        <v>45161289</v>
      </c>
    </row>
    <row r="93" spans="1:12" x14ac:dyDescent="0.25">
      <c r="A93" s="133" t="s">
        <v>306</v>
      </c>
      <c r="B93" s="134" t="s">
        <v>307</v>
      </c>
      <c r="C93" s="135"/>
      <c r="D93" s="136"/>
      <c r="E93" s="136"/>
      <c r="F93" s="137">
        <f>'[6]2C Önk bev kiad fel'!E227</f>
        <v>0</v>
      </c>
      <c r="G93" s="135"/>
      <c r="H93" s="136"/>
      <c r="I93" s="136"/>
      <c r="J93" s="137">
        <f>'[6]2C Önk bev kiad fel'!I227</f>
        <v>0</v>
      </c>
      <c r="K93" s="137">
        <f>'[6]2C Önk bev kiad fel'!J227</f>
        <v>0</v>
      </c>
    </row>
    <row r="94" spans="1:12" x14ac:dyDescent="0.25">
      <c r="A94" s="133" t="s">
        <v>308</v>
      </c>
      <c r="B94" s="134" t="s">
        <v>309</v>
      </c>
      <c r="C94" s="135"/>
      <c r="D94" s="136"/>
      <c r="E94" s="136"/>
      <c r="F94" s="137">
        <f>'[6]2C Önk bev kiad fel'!E225</f>
        <v>24816000</v>
      </c>
      <c r="G94" s="135"/>
      <c r="H94" s="136"/>
      <c r="I94" s="136"/>
      <c r="J94" s="137">
        <f>'[6]2C Önk bev kiad fel'!I225</f>
        <v>211270375</v>
      </c>
      <c r="K94" s="137">
        <f>'[6]2C Önk bev kiad fel'!J225</f>
        <v>211269867</v>
      </c>
      <c r="L94" s="60">
        <f>+J94-F94</f>
        <v>186454375</v>
      </c>
    </row>
    <row r="95" spans="1:12" x14ac:dyDescent="0.25">
      <c r="A95" s="152"/>
    </row>
    <row r="96" spans="1:12" x14ac:dyDescent="0.25">
      <c r="A96" s="152"/>
      <c r="K96">
        <v>1796008875</v>
      </c>
    </row>
    <row r="97" spans="1:11" x14ac:dyDescent="0.25">
      <c r="A97" s="152"/>
      <c r="K97">
        <v>894062050</v>
      </c>
    </row>
    <row r="98" spans="1:11" x14ac:dyDescent="0.25">
      <c r="A98" s="152"/>
      <c r="K98">
        <v>268404461</v>
      </c>
    </row>
    <row r="99" spans="1:11" x14ac:dyDescent="0.25">
      <c r="A99" s="152"/>
      <c r="K99">
        <v>21700708</v>
      </c>
    </row>
    <row r="100" spans="1:11" x14ac:dyDescent="0.25">
      <c r="A100" s="152"/>
      <c r="K100">
        <v>61937096</v>
      </c>
    </row>
    <row r="101" spans="1:11" x14ac:dyDescent="0.25">
      <c r="A101" s="152"/>
      <c r="K101">
        <v>118742649</v>
      </c>
    </row>
    <row r="102" spans="1:11" x14ac:dyDescent="0.25">
      <c r="A102" s="152"/>
      <c r="K102">
        <v>79588085</v>
      </c>
    </row>
    <row r="103" spans="1:11" x14ac:dyDescent="0.25">
      <c r="A103" s="152"/>
      <c r="K103">
        <v>14617462</v>
      </c>
    </row>
    <row r="104" spans="1:11" x14ac:dyDescent="0.25">
      <c r="A104" s="152"/>
      <c r="K104">
        <v>56473585</v>
      </c>
    </row>
    <row r="105" spans="1:11" x14ac:dyDescent="0.25">
      <c r="A105" s="152"/>
      <c r="K105">
        <v>48467081</v>
      </c>
    </row>
    <row r="106" spans="1:11" x14ac:dyDescent="0.25">
      <c r="A106" s="152"/>
      <c r="K106">
        <v>273888564</v>
      </c>
    </row>
    <row r="107" spans="1:11" x14ac:dyDescent="0.25">
      <c r="A107" s="152"/>
    </row>
    <row r="108" spans="1:11" x14ac:dyDescent="0.25">
      <c r="A108" s="152"/>
    </row>
    <row r="109" spans="1:11" x14ac:dyDescent="0.25">
      <c r="A109" s="152"/>
    </row>
    <row r="110" spans="1:11" x14ac:dyDescent="0.25">
      <c r="A110" s="152"/>
    </row>
    <row r="111" spans="1:11" x14ac:dyDescent="0.25">
      <c r="A111" s="152"/>
    </row>
    <row r="112" spans="1:11" x14ac:dyDescent="0.25">
      <c r="A112" s="152"/>
    </row>
    <row r="113" spans="1:1" x14ac:dyDescent="0.25">
      <c r="A113" s="152"/>
    </row>
    <row r="114" spans="1:1" x14ac:dyDescent="0.25">
      <c r="A114" s="152"/>
    </row>
    <row r="115" spans="1:1" x14ac:dyDescent="0.25">
      <c r="A115" s="152"/>
    </row>
    <row r="116" spans="1:1" x14ac:dyDescent="0.25">
      <c r="A116" s="152"/>
    </row>
    <row r="117" spans="1:1" x14ac:dyDescent="0.25">
      <c r="A117" s="152"/>
    </row>
    <row r="118" spans="1:1" x14ac:dyDescent="0.25">
      <c r="A118" s="152"/>
    </row>
    <row r="119" spans="1:1" x14ac:dyDescent="0.25">
      <c r="A119" s="152"/>
    </row>
    <row r="120" spans="1:1" x14ac:dyDescent="0.25">
      <c r="A120" s="152"/>
    </row>
    <row r="121" spans="1:1" x14ac:dyDescent="0.25">
      <c r="A121" s="152"/>
    </row>
    <row r="122" spans="1:1" x14ac:dyDescent="0.25">
      <c r="A122" s="152"/>
    </row>
    <row r="123" spans="1:1" x14ac:dyDescent="0.25">
      <c r="A123" s="152"/>
    </row>
    <row r="124" spans="1:1" x14ac:dyDescent="0.25">
      <c r="A124" s="152"/>
    </row>
    <row r="125" spans="1:1" x14ac:dyDescent="0.25">
      <c r="A125" s="152"/>
    </row>
    <row r="126" spans="1:1" x14ac:dyDescent="0.25">
      <c r="A126" s="152"/>
    </row>
    <row r="127" spans="1:1" x14ac:dyDescent="0.25">
      <c r="A127" s="152"/>
    </row>
    <row r="128" spans="1:1" x14ac:dyDescent="0.25">
      <c r="A128" s="152"/>
    </row>
    <row r="129" spans="1:1" x14ac:dyDescent="0.25">
      <c r="A129" s="152"/>
    </row>
    <row r="130" spans="1:1" x14ac:dyDescent="0.25">
      <c r="A130" s="152"/>
    </row>
    <row r="131" spans="1:1" x14ac:dyDescent="0.25">
      <c r="A131" s="152"/>
    </row>
    <row r="132" spans="1:1" x14ac:dyDescent="0.25">
      <c r="A132" s="152"/>
    </row>
    <row r="133" spans="1:1" x14ac:dyDescent="0.25">
      <c r="A133" s="152"/>
    </row>
    <row r="134" spans="1:1" x14ac:dyDescent="0.25">
      <c r="A134" s="152"/>
    </row>
    <row r="135" spans="1:1" x14ac:dyDescent="0.25">
      <c r="A135" s="152"/>
    </row>
    <row r="136" spans="1:1" x14ac:dyDescent="0.25">
      <c r="A136" s="152"/>
    </row>
    <row r="137" spans="1:1" x14ac:dyDescent="0.25">
      <c r="A137" s="152"/>
    </row>
    <row r="138" spans="1:1" x14ac:dyDescent="0.25">
      <c r="A138" s="152"/>
    </row>
    <row r="139" spans="1:1" x14ac:dyDescent="0.25">
      <c r="A139" s="152"/>
    </row>
    <row r="140" spans="1:1" x14ac:dyDescent="0.25">
      <c r="A140" s="152"/>
    </row>
    <row r="141" spans="1:1" x14ac:dyDescent="0.25">
      <c r="A141" s="152"/>
    </row>
    <row r="142" spans="1:1" x14ac:dyDescent="0.25">
      <c r="A142" s="152"/>
    </row>
    <row r="143" spans="1:1" x14ac:dyDescent="0.25">
      <c r="A143" s="152"/>
    </row>
    <row r="144" spans="1:1" x14ac:dyDescent="0.25">
      <c r="A144" s="152"/>
    </row>
    <row r="145" spans="1:1" x14ac:dyDescent="0.25">
      <c r="A145" s="152"/>
    </row>
    <row r="146" spans="1:1" x14ac:dyDescent="0.25">
      <c r="A146" s="152"/>
    </row>
    <row r="147" spans="1:1" x14ac:dyDescent="0.25">
      <c r="A147" s="152"/>
    </row>
    <row r="148" spans="1:1" x14ac:dyDescent="0.25">
      <c r="A148" s="152"/>
    </row>
    <row r="149" spans="1:1" x14ac:dyDescent="0.25">
      <c r="A149" s="152"/>
    </row>
    <row r="150" spans="1:1" x14ac:dyDescent="0.25">
      <c r="A150" s="152"/>
    </row>
    <row r="151" spans="1:1" x14ac:dyDescent="0.25">
      <c r="A151" s="152"/>
    </row>
    <row r="152" spans="1:1" x14ac:dyDescent="0.25">
      <c r="A152" s="152"/>
    </row>
    <row r="153" spans="1:1" x14ac:dyDescent="0.25">
      <c r="A153" s="152"/>
    </row>
    <row r="154" spans="1:1" x14ac:dyDescent="0.25">
      <c r="A154" s="152"/>
    </row>
    <row r="155" spans="1:1" x14ac:dyDescent="0.25">
      <c r="A155" s="152"/>
    </row>
    <row r="156" spans="1:1" x14ac:dyDescent="0.25">
      <c r="A156" s="152"/>
    </row>
    <row r="157" spans="1:1" x14ac:dyDescent="0.25">
      <c r="A157" s="152"/>
    </row>
    <row r="158" spans="1:1" x14ac:dyDescent="0.25">
      <c r="A158" s="152"/>
    </row>
    <row r="159" spans="1:1" x14ac:dyDescent="0.25">
      <c r="A159" s="152"/>
    </row>
    <row r="160" spans="1:1" x14ac:dyDescent="0.25">
      <c r="A160" s="152"/>
    </row>
    <row r="161" spans="1:1" x14ac:dyDescent="0.25">
      <c r="A161" s="152"/>
    </row>
    <row r="162" spans="1:1" x14ac:dyDescent="0.25">
      <c r="A162" s="152"/>
    </row>
    <row r="163" spans="1:1" x14ac:dyDescent="0.25">
      <c r="A163" s="152"/>
    </row>
    <row r="164" spans="1:1" x14ac:dyDescent="0.25">
      <c r="A164" s="152"/>
    </row>
    <row r="165" spans="1:1" x14ac:dyDescent="0.25">
      <c r="A165" s="152"/>
    </row>
    <row r="166" spans="1:1" x14ac:dyDescent="0.25">
      <c r="A166" s="152"/>
    </row>
    <row r="167" spans="1:1" x14ac:dyDescent="0.25">
      <c r="A167" s="152"/>
    </row>
    <row r="168" spans="1:1" x14ac:dyDescent="0.25">
      <c r="A168" s="152"/>
    </row>
    <row r="169" spans="1:1" x14ac:dyDescent="0.25">
      <c r="A169" s="152"/>
    </row>
    <row r="170" spans="1:1" x14ac:dyDescent="0.25">
      <c r="A170" s="152"/>
    </row>
    <row r="171" spans="1:1" x14ac:dyDescent="0.25">
      <c r="A171" s="152"/>
    </row>
    <row r="172" spans="1:1" x14ac:dyDescent="0.25">
      <c r="A172" s="152"/>
    </row>
    <row r="173" spans="1:1" x14ac:dyDescent="0.25">
      <c r="A173" s="152"/>
    </row>
    <row r="174" spans="1:1" x14ac:dyDescent="0.25">
      <c r="A174" s="152"/>
    </row>
    <row r="175" spans="1:1" x14ac:dyDescent="0.25">
      <c r="A175" s="152"/>
    </row>
    <row r="176" spans="1:1" x14ac:dyDescent="0.25">
      <c r="A176" s="152"/>
    </row>
    <row r="177" spans="1:1" x14ac:dyDescent="0.25">
      <c r="A177" s="152"/>
    </row>
    <row r="178" spans="1:1" x14ac:dyDescent="0.25">
      <c r="A178" s="152"/>
    </row>
    <row r="179" spans="1:1" x14ac:dyDescent="0.25">
      <c r="A179" s="152"/>
    </row>
    <row r="180" spans="1:1" x14ac:dyDescent="0.25">
      <c r="A180" s="152"/>
    </row>
    <row r="181" spans="1:1" x14ac:dyDescent="0.25">
      <c r="A181" s="152"/>
    </row>
    <row r="182" spans="1:1" x14ac:dyDescent="0.25">
      <c r="A182" s="152"/>
    </row>
    <row r="183" spans="1:1" x14ac:dyDescent="0.25">
      <c r="A183" s="152"/>
    </row>
    <row r="184" spans="1:1" x14ac:dyDescent="0.25">
      <c r="A184" s="152"/>
    </row>
    <row r="185" spans="1:1" x14ac:dyDescent="0.25">
      <c r="A185" s="152"/>
    </row>
    <row r="186" spans="1:1" x14ac:dyDescent="0.25">
      <c r="A186" s="152"/>
    </row>
    <row r="187" spans="1:1" x14ac:dyDescent="0.25">
      <c r="A187" s="152"/>
    </row>
    <row r="188" spans="1:1" x14ac:dyDescent="0.25">
      <c r="A188" s="152"/>
    </row>
    <row r="189" spans="1:1" x14ac:dyDescent="0.25">
      <c r="A189" s="152"/>
    </row>
    <row r="190" spans="1:1" x14ac:dyDescent="0.25">
      <c r="A190" s="152"/>
    </row>
    <row r="191" spans="1:1" x14ac:dyDescent="0.25">
      <c r="A191" s="152"/>
    </row>
    <row r="192" spans="1:1" x14ac:dyDescent="0.25">
      <c r="A192" s="152"/>
    </row>
    <row r="193" spans="1:1" x14ac:dyDescent="0.25">
      <c r="A193" s="152"/>
    </row>
    <row r="194" spans="1:1" x14ac:dyDescent="0.25">
      <c r="A194" s="152"/>
    </row>
    <row r="195" spans="1:1" x14ac:dyDescent="0.25">
      <c r="A195" s="152"/>
    </row>
    <row r="196" spans="1:1" x14ac:dyDescent="0.25">
      <c r="A196" s="152"/>
    </row>
    <row r="197" spans="1:1" x14ac:dyDescent="0.25">
      <c r="A197" s="152"/>
    </row>
    <row r="198" spans="1:1" x14ac:dyDescent="0.25">
      <c r="A198" s="152"/>
    </row>
    <row r="199" spans="1:1" x14ac:dyDescent="0.25">
      <c r="A199" s="152"/>
    </row>
    <row r="200" spans="1:1" x14ac:dyDescent="0.25">
      <c r="A200" s="152"/>
    </row>
    <row r="201" spans="1:1" x14ac:dyDescent="0.25">
      <c r="A201" s="152"/>
    </row>
    <row r="202" spans="1:1" x14ac:dyDescent="0.25">
      <c r="A202" s="152"/>
    </row>
    <row r="203" spans="1:1" x14ac:dyDescent="0.25">
      <c r="A203" s="152"/>
    </row>
    <row r="204" spans="1:1" x14ac:dyDescent="0.25">
      <c r="A204" s="152"/>
    </row>
    <row r="205" spans="1:1" x14ac:dyDescent="0.25">
      <c r="A205" s="152"/>
    </row>
    <row r="206" spans="1:1" x14ac:dyDescent="0.25">
      <c r="A206" s="152"/>
    </row>
    <row r="207" spans="1:1" x14ac:dyDescent="0.25">
      <c r="A207" s="152"/>
    </row>
    <row r="208" spans="1:1" x14ac:dyDescent="0.25">
      <c r="A208" s="152"/>
    </row>
    <row r="209" spans="1:1" x14ac:dyDescent="0.25">
      <c r="A209" s="152"/>
    </row>
    <row r="210" spans="1:1" x14ac:dyDescent="0.25">
      <c r="A210" s="152"/>
    </row>
    <row r="211" spans="1:1" x14ac:dyDescent="0.25">
      <c r="A211" s="152"/>
    </row>
    <row r="212" spans="1:1" x14ac:dyDescent="0.25">
      <c r="A212" s="152"/>
    </row>
    <row r="213" spans="1:1" x14ac:dyDescent="0.25">
      <c r="A213" s="152"/>
    </row>
    <row r="214" spans="1:1" x14ac:dyDescent="0.25">
      <c r="A214" s="152"/>
    </row>
    <row r="215" spans="1:1" x14ac:dyDescent="0.25">
      <c r="A215" s="152"/>
    </row>
    <row r="216" spans="1:1" x14ac:dyDescent="0.25">
      <c r="A216" s="152"/>
    </row>
    <row r="217" spans="1:1" x14ac:dyDescent="0.25">
      <c r="A217" s="152"/>
    </row>
    <row r="218" spans="1:1" x14ac:dyDescent="0.25">
      <c r="A218" s="152"/>
    </row>
    <row r="219" spans="1:1" x14ac:dyDescent="0.25">
      <c r="A219" s="152"/>
    </row>
    <row r="220" spans="1:1" x14ac:dyDescent="0.25">
      <c r="A220" s="152"/>
    </row>
    <row r="221" spans="1:1" x14ac:dyDescent="0.25">
      <c r="A221" s="152"/>
    </row>
    <row r="222" spans="1:1" x14ac:dyDescent="0.25">
      <c r="A222" s="152"/>
    </row>
    <row r="223" spans="1:1" x14ac:dyDescent="0.25">
      <c r="A223" s="152"/>
    </row>
    <row r="224" spans="1:1" x14ac:dyDescent="0.25">
      <c r="A224" s="152"/>
    </row>
    <row r="225" spans="1:1" x14ac:dyDescent="0.25">
      <c r="A225" s="152"/>
    </row>
    <row r="226" spans="1:1" x14ac:dyDescent="0.25">
      <c r="A226" s="152"/>
    </row>
    <row r="227" spans="1:1" x14ac:dyDescent="0.25">
      <c r="A227" s="152"/>
    </row>
    <row r="228" spans="1:1" x14ac:dyDescent="0.25">
      <c r="A228" s="152"/>
    </row>
    <row r="229" spans="1:1" x14ac:dyDescent="0.25">
      <c r="A229" s="152"/>
    </row>
    <row r="230" spans="1:1" x14ac:dyDescent="0.25">
      <c r="A230" s="152"/>
    </row>
    <row r="231" spans="1:1" x14ac:dyDescent="0.25">
      <c r="A231" s="152"/>
    </row>
    <row r="232" spans="1:1" x14ac:dyDescent="0.25">
      <c r="A232" s="152"/>
    </row>
    <row r="233" spans="1:1" x14ac:dyDescent="0.25">
      <c r="A233" s="152"/>
    </row>
    <row r="234" spans="1:1" x14ac:dyDescent="0.25">
      <c r="A234" s="152"/>
    </row>
    <row r="235" spans="1:1" x14ac:dyDescent="0.25">
      <c r="A235" s="152"/>
    </row>
    <row r="236" spans="1:1" x14ac:dyDescent="0.25">
      <c r="A236" s="152"/>
    </row>
    <row r="237" spans="1:1" x14ac:dyDescent="0.25">
      <c r="A237" s="152"/>
    </row>
    <row r="238" spans="1:1" x14ac:dyDescent="0.25">
      <c r="A238" s="152"/>
    </row>
    <row r="239" spans="1:1" x14ac:dyDescent="0.25">
      <c r="A239" s="152"/>
    </row>
    <row r="240" spans="1:1" x14ac:dyDescent="0.25">
      <c r="A240" s="152"/>
    </row>
    <row r="241" spans="1:1" x14ac:dyDescent="0.25">
      <c r="A241" s="152"/>
    </row>
    <row r="242" spans="1:1" x14ac:dyDescent="0.25">
      <c r="A242" s="152"/>
    </row>
    <row r="243" spans="1:1" x14ac:dyDescent="0.25">
      <c r="A243" s="152"/>
    </row>
    <row r="244" spans="1:1" x14ac:dyDescent="0.25">
      <c r="A244" s="152"/>
    </row>
    <row r="245" spans="1:1" x14ac:dyDescent="0.25">
      <c r="A245" s="152"/>
    </row>
    <row r="246" spans="1:1" x14ac:dyDescent="0.25">
      <c r="A246" s="152"/>
    </row>
    <row r="247" spans="1:1" x14ac:dyDescent="0.25">
      <c r="A247" s="152"/>
    </row>
    <row r="248" spans="1:1" x14ac:dyDescent="0.25">
      <c r="A248" s="152"/>
    </row>
    <row r="249" spans="1:1" x14ac:dyDescent="0.25">
      <c r="A249" s="152"/>
    </row>
    <row r="250" spans="1:1" x14ac:dyDescent="0.25">
      <c r="A250" s="152"/>
    </row>
    <row r="251" spans="1:1" x14ac:dyDescent="0.25">
      <c r="A251" s="152"/>
    </row>
    <row r="252" spans="1:1" x14ac:dyDescent="0.25">
      <c r="A252" s="152"/>
    </row>
    <row r="253" spans="1:1" x14ac:dyDescent="0.25">
      <c r="A253" s="152"/>
    </row>
    <row r="254" spans="1:1" x14ac:dyDescent="0.25">
      <c r="A254" s="152"/>
    </row>
    <row r="255" spans="1:1" x14ac:dyDescent="0.25">
      <c r="A255" s="152"/>
    </row>
    <row r="256" spans="1:1" x14ac:dyDescent="0.25">
      <c r="A256" s="152"/>
    </row>
    <row r="257" spans="1:1" x14ac:dyDescent="0.25">
      <c r="A257" s="152"/>
    </row>
    <row r="258" spans="1:1" x14ac:dyDescent="0.25">
      <c r="A258" s="152"/>
    </row>
    <row r="259" spans="1:1" x14ac:dyDescent="0.25">
      <c r="A259" s="152"/>
    </row>
    <row r="260" spans="1:1" x14ac:dyDescent="0.25">
      <c r="A260" s="152"/>
    </row>
    <row r="261" spans="1:1" x14ac:dyDescent="0.25">
      <c r="A261" s="152"/>
    </row>
    <row r="262" spans="1:1" x14ac:dyDescent="0.25">
      <c r="A262" s="152"/>
    </row>
    <row r="263" spans="1:1" x14ac:dyDescent="0.25">
      <c r="A263" s="152"/>
    </row>
    <row r="264" spans="1:1" x14ac:dyDescent="0.25">
      <c r="A264" s="152"/>
    </row>
    <row r="265" spans="1:1" x14ac:dyDescent="0.25">
      <c r="A265" s="152"/>
    </row>
    <row r="266" spans="1:1" x14ac:dyDescent="0.25">
      <c r="A266" s="152"/>
    </row>
    <row r="267" spans="1:1" x14ac:dyDescent="0.25">
      <c r="A267" s="152"/>
    </row>
    <row r="268" spans="1:1" x14ac:dyDescent="0.25">
      <c r="A268" s="152"/>
    </row>
    <row r="269" spans="1:1" x14ac:dyDescent="0.25">
      <c r="A269" s="152"/>
    </row>
    <row r="270" spans="1:1" x14ac:dyDescent="0.25">
      <c r="A270" s="152"/>
    </row>
    <row r="271" spans="1:1" x14ac:dyDescent="0.25">
      <c r="A271" s="152"/>
    </row>
    <row r="272" spans="1:1" x14ac:dyDescent="0.25">
      <c r="A272" s="152"/>
    </row>
    <row r="273" spans="1:1" x14ac:dyDescent="0.25">
      <c r="A273" s="152"/>
    </row>
    <row r="274" spans="1:1" x14ac:dyDescent="0.25">
      <c r="A274" s="152"/>
    </row>
  </sheetData>
  <mergeCells count="5">
    <mergeCell ref="A2:A3"/>
    <mergeCell ref="B2:B3"/>
    <mergeCell ref="K2:K3"/>
    <mergeCell ref="C3:F3"/>
    <mergeCell ref="G3:J3"/>
  </mergeCells>
  <printOptions horizontalCentered="1"/>
  <pageMargins left="0.19685039370078741" right="0.19685039370078741" top="0.6692913385826772" bottom="0.55118110236220474" header="0.15748031496062992" footer="0.15748031496062992"/>
  <pageSetup paperSize="9" scale="52" fitToWidth="0" fitToHeight="0" pageOrder="overThenDown" orientation="portrait" r:id="rId1"/>
  <headerFooter>
    <oddHeader xml:space="preserve">&amp;L1/C.  melléklet a ......./2020. (.................) önkormányzati rendelethez&amp;C&amp;"-,Félkövér"&amp;16
Az Önkormányzat 2020. évi összevont kiadásai feladatonként részletes bontásban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39B5-5452-46DF-B04E-E3DDCF5B0269}">
  <dimension ref="A1:L114"/>
  <sheetViews>
    <sheetView view="pageBreakPreview" topLeftCell="A69" zoomScale="87" zoomScaleNormal="100" zoomScaleSheetLayoutView="87" workbookViewId="0">
      <selection activeCell="L1" sqref="L1:L1048576"/>
    </sheetView>
  </sheetViews>
  <sheetFormatPr defaultRowHeight="15" x14ac:dyDescent="0.25"/>
  <cols>
    <col min="1" max="1" width="5.7109375" style="122" customWidth="1"/>
    <col min="2" max="2" width="53.7109375" customWidth="1"/>
    <col min="3" max="3" width="14.140625" bestFit="1" customWidth="1"/>
    <col min="4" max="4" width="11.28515625" bestFit="1" customWidth="1"/>
    <col min="5" max="5" width="9.7109375" customWidth="1"/>
    <col min="6" max="6" width="15.85546875" customWidth="1"/>
    <col min="7" max="7" width="14.140625" bestFit="1" customWidth="1"/>
    <col min="8" max="8" width="11.28515625" bestFit="1" customWidth="1"/>
    <col min="9" max="9" width="9.7109375" customWidth="1"/>
    <col min="10" max="10" width="15.85546875" customWidth="1"/>
    <col min="11" max="11" width="18.140625" hidden="1" customWidth="1"/>
    <col min="12" max="12" width="15.42578125" customWidth="1"/>
  </cols>
  <sheetData>
    <row r="1" spans="1:12" x14ac:dyDescent="0.25">
      <c r="F1" s="1"/>
      <c r="J1" s="1" t="s">
        <v>0</v>
      </c>
    </row>
    <row r="2" spans="1:12" x14ac:dyDescent="0.25">
      <c r="A2" s="154" t="s">
        <v>310</v>
      </c>
      <c r="B2" s="154" t="s">
        <v>311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1:12" ht="30.4" customHeight="1" x14ac:dyDescent="0.25">
      <c r="A3" s="418" t="s">
        <v>1</v>
      </c>
      <c r="B3" s="432" t="s">
        <v>2</v>
      </c>
      <c r="C3" s="419" t="s">
        <v>6</v>
      </c>
      <c r="D3" s="420"/>
      <c r="E3" s="420"/>
      <c r="F3" s="421"/>
      <c r="G3" s="419" t="s">
        <v>59</v>
      </c>
      <c r="H3" s="420"/>
      <c r="I3" s="420"/>
      <c r="J3" s="421"/>
      <c r="K3" s="418" t="s">
        <v>60</v>
      </c>
    </row>
    <row r="4" spans="1:12" ht="45" x14ac:dyDescent="0.25">
      <c r="A4" s="418"/>
      <c r="B4" s="432"/>
      <c r="C4" s="4" t="s">
        <v>61</v>
      </c>
      <c r="D4" s="4" t="s">
        <v>62</v>
      </c>
      <c r="E4" s="4" t="s">
        <v>63</v>
      </c>
      <c r="F4" s="4" t="s">
        <v>64</v>
      </c>
      <c r="G4" s="4" t="s">
        <v>61</v>
      </c>
      <c r="H4" s="4" t="s">
        <v>62</v>
      </c>
      <c r="I4" s="4" t="s">
        <v>63</v>
      </c>
      <c r="J4" s="4" t="s">
        <v>64</v>
      </c>
      <c r="K4" s="418"/>
    </row>
    <row r="5" spans="1:12" x14ac:dyDescent="0.25">
      <c r="A5" s="5" t="s">
        <v>8</v>
      </c>
      <c r="B5" s="6" t="s">
        <v>9</v>
      </c>
      <c r="C5" s="7">
        <f>C6+C25+C42+C56</f>
        <v>4348056291</v>
      </c>
      <c r="D5" s="7">
        <f>D6+D25+D42+D56</f>
        <v>49236960</v>
      </c>
      <c r="E5" s="7">
        <f>E6+E25+E42+E56</f>
        <v>0</v>
      </c>
      <c r="F5" s="7">
        <f>SUM(C5:E5)</f>
        <v>4397293251</v>
      </c>
      <c r="G5" s="7">
        <f>G6+G25+G42+G56</f>
        <v>4383137064</v>
      </c>
      <c r="H5" s="7">
        <f>H6+H25+H42+H56</f>
        <v>49236960</v>
      </c>
      <c r="I5" s="7">
        <f>I6+I25+I42+I56</f>
        <v>0</v>
      </c>
      <c r="J5" s="7">
        <f t="shared" ref="J5:J14" si="0">SUM(G5:I5)</f>
        <v>4432374024</v>
      </c>
      <c r="K5" s="7">
        <f>+K6+K25+K42+K56</f>
        <v>2012440969</v>
      </c>
      <c r="L5" s="42"/>
    </row>
    <row r="6" spans="1:12" x14ac:dyDescent="0.25">
      <c r="A6" s="156" t="s">
        <v>11</v>
      </c>
      <c r="B6" s="157" t="s">
        <v>12</v>
      </c>
      <c r="C6" s="158">
        <f>C7+C16+C17+C18</f>
        <v>662169291</v>
      </c>
      <c r="D6" s="158">
        <f>D7+D16+D17+D18</f>
        <v>12600000</v>
      </c>
      <c r="E6" s="158">
        <f>E7+E16+E17+E18</f>
        <v>0</v>
      </c>
      <c r="F6" s="158">
        <f t="shared" ref="F6:F57" si="1">SUM(C6:E6)</f>
        <v>674769291</v>
      </c>
      <c r="G6" s="158">
        <f>G7+G16+G17+G18</f>
        <v>774800064</v>
      </c>
      <c r="H6" s="158">
        <f>H7+H16+H17+H18</f>
        <v>12600000</v>
      </c>
      <c r="I6" s="158">
        <f>I7+I16+I17+I18</f>
        <v>0</v>
      </c>
      <c r="J6" s="158">
        <f t="shared" si="0"/>
        <v>787400064</v>
      </c>
      <c r="K6" s="158">
        <f>+K7+K16+K17+K18</f>
        <v>328389438</v>
      </c>
      <c r="L6" s="42"/>
    </row>
    <row r="7" spans="1:12" s="161" customFormat="1" x14ac:dyDescent="0.25">
      <c r="A7" s="11"/>
      <c r="B7" s="159" t="s">
        <v>65</v>
      </c>
      <c r="C7" s="160">
        <f>SUM(C8:C14)</f>
        <v>622169291</v>
      </c>
      <c r="D7" s="160">
        <f>SUM(D8:D14)</f>
        <v>12600000</v>
      </c>
      <c r="E7" s="160">
        <f>SUM(E8:E14)</f>
        <v>0</v>
      </c>
      <c r="F7" s="160">
        <f t="shared" si="1"/>
        <v>634769291</v>
      </c>
      <c r="G7" s="160">
        <f>SUM(G8:G14)</f>
        <v>633894289</v>
      </c>
      <c r="H7" s="160">
        <f>SUM(H8:H14)</f>
        <v>12600000</v>
      </c>
      <c r="I7" s="160">
        <f>SUM(I8:I14)</f>
        <v>0</v>
      </c>
      <c r="J7" s="160">
        <f t="shared" si="0"/>
        <v>646494289</v>
      </c>
      <c r="K7" s="160">
        <f>SUM(K8:K15)</f>
        <v>306010885</v>
      </c>
      <c r="L7" s="42"/>
    </row>
    <row r="8" spans="1:12" s="161" customFormat="1" ht="30" x14ac:dyDescent="0.25">
      <c r="A8" s="11"/>
      <c r="B8" s="94" t="s">
        <v>312</v>
      </c>
      <c r="C8" s="15"/>
      <c r="D8" s="15"/>
      <c r="E8" s="15">
        <v>0</v>
      </c>
      <c r="F8" s="15">
        <f t="shared" si="1"/>
        <v>0</v>
      </c>
      <c r="G8" s="16">
        <f>121968+7520+7520+76963+30668</f>
        <v>244639</v>
      </c>
      <c r="H8" s="15"/>
      <c r="I8" s="15">
        <v>0</v>
      </c>
      <c r="J8" s="15">
        <f t="shared" si="0"/>
        <v>244639</v>
      </c>
      <c r="K8" s="15">
        <v>244639</v>
      </c>
      <c r="L8" s="42"/>
    </row>
    <row r="9" spans="1:12" s="161" customFormat="1" x14ac:dyDescent="0.25">
      <c r="A9" s="11"/>
      <c r="B9" s="94" t="s">
        <v>313</v>
      </c>
      <c r="C9" s="16">
        <f>323852000-323852000+323851820</f>
        <v>323851820</v>
      </c>
      <c r="D9" s="15"/>
      <c r="E9" s="15">
        <v>0</v>
      </c>
      <c r="F9" s="15">
        <f t="shared" si="1"/>
        <v>323851820</v>
      </c>
      <c r="G9" s="16">
        <f>323852000-323852000+323851820</f>
        <v>323851820</v>
      </c>
      <c r="H9" s="15"/>
      <c r="I9" s="15">
        <v>0</v>
      </c>
      <c r="J9" s="15">
        <f t="shared" si="0"/>
        <v>323851820</v>
      </c>
      <c r="K9" s="15">
        <v>142494803</v>
      </c>
      <c r="L9" s="42"/>
    </row>
    <row r="10" spans="1:12" s="161" customFormat="1" ht="30" x14ac:dyDescent="0.25">
      <c r="A10" s="11"/>
      <c r="B10" s="94" t="s">
        <v>314</v>
      </c>
      <c r="C10" s="16">
        <f>278650000-278650000+10962000+8952360+62545400+197961619+10545</f>
        <v>280431924</v>
      </c>
      <c r="D10" s="15"/>
      <c r="E10" s="15">
        <v>0</v>
      </c>
      <c r="F10" s="15">
        <f t="shared" si="1"/>
        <v>280431924</v>
      </c>
      <c r="G10" s="16">
        <f>278650000-278650000+10962000+8952360+62545400+197961619+10545+1387998+1351859+2530639+1981890+1871545</f>
        <v>289555855</v>
      </c>
      <c r="H10" s="15"/>
      <c r="I10" s="15">
        <v>0</v>
      </c>
      <c r="J10" s="15">
        <f t="shared" si="0"/>
        <v>289555855</v>
      </c>
      <c r="K10" s="15">
        <f>45406226+87107752</f>
        <v>132513978</v>
      </c>
      <c r="L10" s="42"/>
    </row>
    <row r="11" spans="1:12" s="161" customFormat="1" x14ac:dyDescent="0.25">
      <c r="A11" s="11"/>
      <c r="B11" s="94" t="s">
        <v>315</v>
      </c>
      <c r="C11" s="16">
        <f>17885000-17885000+17885547</f>
        <v>17885547</v>
      </c>
      <c r="D11" s="15">
        <v>12600000</v>
      </c>
      <c r="E11" s="15">
        <v>0</v>
      </c>
      <c r="F11" s="15">
        <f t="shared" si="1"/>
        <v>30485547</v>
      </c>
      <c r="G11" s="16">
        <f>17885000-17885000+17885547+455010+463455+458911+499534+479518</f>
        <v>20241975</v>
      </c>
      <c r="H11" s="15">
        <v>12600000</v>
      </c>
      <c r="I11" s="15">
        <v>0</v>
      </c>
      <c r="J11" s="15">
        <f t="shared" si="0"/>
        <v>32841975</v>
      </c>
      <c r="K11" s="15">
        <v>15770070</v>
      </c>
      <c r="L11" s="42"/>
    </row>
    <row r="12" spans="1:12" x14ac:dyDescent="0.25">
      <c r="A12" s="11"/>
      <c r="B12" s="94" t="s">
        <v>316</v>
      </c>
      <c r="C12" s="13"/>
      <c r="D12" s="13"/>
      <c r="E12" s="13">
        <v>0</v>
      </c>
      <c r="F12" s="13">
        <f t="shared" si="1"/>
        <v>0</v>
      </c>
      <c r="G12" s="13"/>
      <c r="H12" s="13"/>
      <c r="I12" s="13">
        <v>0</v>
      </c>
      <c r="J12" s="13">
        <f t="shared" si="0"/>
        <v>0</v>
      </c>
      <c r="K12" s="13"/>
      <c r="L12" s="60"/>
    </row>
    <row r="13" spans="1:12" ht="15.75" customHeight="1" x14ac:dyDescent="0.25">
      <c r="A13" s="11"/>
      <c r="B13" s="94" t="s">
        <v>317</v>
      </c>
      <c r="C13" s="13"/>
      <c r="D13" s="13"/>
      <c r="E13" s="13">
        <v>0</v>
      </c>
      <c r="F13" s="13">
        <f t="shared" si="1"/>
        <v>0</v>
      </c>
      <c r="G13" s="13"/>
      <c r="H13" s="13"/>
      <c r="I13" s="13">
        <v>0</v>
      </c>
      <c r="J13" s="13">
        <f t="shared" si="0"/>
        <v>0</v>
      </c>
      <c r="K13" s="13"/>
    </row>
    <row r="14" spans="1:12" x14ac:dyDescent="0.25">
      <c r="A14" s="11"/>
      <c r="B14" s="94" t="s">
        <v>318</v>
      </c>
      <c r="C14" s="13"/>
      <c r="D14" s="13"/>
      <c r="E14" s="13">
        <v>0</v>
      </c>
      <c r="F14" s="13">
        <f t="shared" si="1"/>
        <v>0</v>
      </c>
      <c r="G14" s="13"/>
      <c r="H14" s="13"/>
      <c r="I14" s="13">
        <v>0</v>
      </c>
      <c r="J14" s="13">
        <f t="shared" si="0"/>
        <v>0</v>
      </c>
      <c r="K14" s="13"/>
    </row>
    <row r="15" spans="1:12" x14ac:dyDescent="0.25">
      <c r="A15" s="11"/>
      <c r="B15" s="94" t="s">
        <v>319</v>
      </c>
      <c r="C15" s="13"/>
      <c r="D15" s="13"/>
      <c r="E15" s="13"/>
      <c r="F15" s="13"/>
      <c r="G15" s="13"/>
      <c r="H15" s="13"/>
      <c r="I15" s="13"/>
      <c r="J15" s="13"/>
      <c r="K15" s="13">
        <v>14987395</v>
      </c>
    </row>
    <row r="16" spans="1:12" x14ac:dyDescent="0.25">
      <c r="A16" s="11"/>
      <c r="B16" s="159" t="s">
        <v>66</v>
      </c>
      <c r="C16" s="86">
        <v>0</v>
      </c>
      <c r="D16" s="86">
        <v>0</v>
      </c>
      <c r="E16" s="86">
        <v>0</v>
      </c>
      <c r="F16" s="86">
        <f t="shared" si="1"/>
        <v>0</v>
      </c>
      <c r="G16" s="86">
        <f>100810575+95200</f>
        <v>100905775</v>
      </c>
      <c r="H16" s="86">
        <v>0</v>
      </c>
      <c r="I16" s="86">
        <v>0</v>
      </c>
      <c r="J16" s="86">
        <f t="shared" ref="J16:K57" si="2">SUM(G16:I16)</f>
        <v>100905775</v>
      </c>
      <c r="K16" s="86">
        <v>0</v>
      </c>
      <c r="L16" s="60"/>
    </row>
    <row r="17" spans="1:12" ht="30" x14ac:dyDescent="0.25">
      <c r="A17" s="11"/>
      <c r="B17" s="159" t="s">
        <v>67</v>
      </c>
      <c r="C17" s="86">
        <v>0</v>
      </c>
      <c r="D17" s="86">
        <v>0</v>
      </c>
      <c r="E17" s="86">
        <v>0</v>
      </c>
      <c r="F17" s="86">
        <f t="shared" si="1"/>
        <v>0</v>
      </c>
      <c r="G17" s="86">
        <v>0</v>
      </c>
      <c r="H17" s="86">
        <v>0</v>
      </c>
      <c r="I17" s="86">
        <v>0</v>
      </c>
      <c r="J17" s="86">
        <f t="shared" si="2"/>
        <v>0</v>
      </c>
      <c r="K17" s="86">
        <v>0</v>
      </c>
    </row>
    <row r="18" spans="1:12" ht="30" x14ac:dyDescent="0.25">
      <c r="A18" s="11"/>
      <c r="B18" s="159" t="s">
        <v>68</v>
      </c>
      <c r="C18" s="86">
        <f>C19+C20+C23+C24</f>
        <v>40000000</v>
      </c>
      <c r="D18" s="86">
        <f>D19+D20+D23+D24</f>
        <v>0</v>
      </c>
      <c r="E18" s="86">
        <f>E19+E20+E23+E24</f>
        <v>0</v>
      </c>
      <c r="F18" s="86">
        <f t="shared" si="1"/>
        <v>40000000</v>
      </c>
      <c r="G18" s="86">
        <f>G19+G20+G23+G24</f>
        <v>40000000</v>
      </c>
      <c r="H18" s="86">
        <f>H19+H20+H23+H24</f>
        <v>0</v>
      </c>
      <c r="I18" s="86">
        <f>I19+I20+I23+I24</f>
        <v>0</v>
      </c>
      <c r="J18" s="86">
        <f t="shared" si="2"/>
        <v>40000000</v>
      </c>
      <c r="K18" s="86">
        <f>SUM(K19:K24)</f>
        <v>22378553</v>
      </c>
    </row>
    <row r="19" spans="1:12" ht="30" x14ac:dyDescent="0.25">
      <c r="A19" s="11"/>
      <c r="B19" s="94" t="s">
        <v>320</v>
      </c>
      <c r="C19" s="13">
        <v>40000000</v>
      </c>
      <c r="D19" s="13">
        <v>0</v>
      </c>
      <c r="E19" s="13">
        <v>0</v>
      </c>
      <c r="F19" s="13">
        <f t="shared" si="1"/>
        <v>40000000</v>
      </c>
      <c r="G19" s="13">
        <v>40000000</v>
      </c>
      <c r="H19" s="13">
        <v>0</v>
      </c>
      <c r="I19" s="13">
        <v>0</v>
      </c>
      <c r="J19" s="13">
        <f t="shared" si="2"/>
        <v>40000000</v>
      </c>
      <c r="K19" s="13">
        <v>22378553</v>
      </c>
    </row>
    <row r="20" spans="1:12" x14ac:dyDescent="0.25">
      <c r="A20" s="11"/>
      <c r="B20" s="94" t="s">
        <v>321</v>
      </c>
      <c r="C20" s="13">
        <v>0</v>
      </c>
      <c r="D20" s="13"/>
      <c r="E20" s="13">
        <f>E21+E22</f>
        <v>0</v>
      </c>
      <c r="F20" s="13">
        <f t="shared" si="1"/>
        <v>0</v>
      </c>
      <c r="G20" s="13">
        <v>0</v>
      </c>
      <c r="H20" s="13"/>
      <c r="I20" s="13">
        <f>I21+I22</f>
        <v>0</v>
      </c>
      <c r="J20" s="13">
        <f t="shared" si="2"/>
        <v>0</v>
      </c>
      <c r="K20" s="13"/>
    </row>
    <row r="21" spans="1:12" hidden="1" x14ac:dyDescent="0.25">
      <c r="A21" s="11"/>
      <c r="B21" s="162" t="s">
        <v>322</v>
      </c>
      <c r="C21" s="13"/>
      <c r="D21" s="13"/>
      <c r="E21" s="13">
        <v>0</v>
      </c>
      <c r="F21" s="13">
        <f t="shared" si="1"/>
        <v>0</v>
      </c>
      <c r="G21" s="13"/>
      <c r="H21" s="13"/>
      <c r="I21" s="13">
        <v>0</v>
      </c>
      <c r="J21" s="13">
        <f t="shared" si="2"/>
        <v>0</v>
      </c>
      <c r="K21" s="13"/>
    </row>
    <row r="22" spans="1:12" hidden="1" x14ac:dyDescent="0.25">
      <c r="A22" s="11"/>
      <c r="B22" s="162" t="s">
        <v>323</v>
      </c>
      <c r="C22" s="13"/>
      <c r="D22" s="13">
        <v>0</v>
      </c>
      <c r="E22" s="13">
        <v>0</v>
      </c>
      <c r="F22" s="13">
        <f t="shared" si="1"/>
        <v>0</v>
      </c>
      <c r="G22" s="13"/>
      <c r="H22" s="13">
        <v>0</v>
      </c>
      <c r="I22" s="13">
        <v>0</v>
      </c>
      <c r="J22" s="13">
        <f t="shared" si="2"/>
        <v>0</v>
      </c>
      <c r="K22" s="13"/>
    </row>
    <row r="23" spans="1:12" x14ac:dyDescent="0.25">
      <c r="A23" s="11"/>
      <c r="B23" s="94" t="s">
        <v>324</v>
      </c>
      <c r="C23" s="13">
        <v>0</v>
      </c>
      <c r="D23" s="13">
        <v>0</v>
      </c>
      <c r="E23" s="13">
        <v>0</v>
      </c>
      <c r="F23" s="13">
        <f t="shared" si="1"/>
        <v>0</v>
      </c>
      <c r="G23" s="13">
        <v>0</v>
      </c>
      <c r="H23" s="13">
        <v>0</v>
      </c>
      <c r="I23" s="13">
        <v>0</v>
      </c>
      <c r="J23" s="13">
        <f t="shared" si="2"/>
        <v>0</v>
      </c>
      <c r="K23" s="13"/>
    </row>
    <row r="24" spans="1:12" x14ac:dyDescent="0.25">
      <c r="A24" s="11"/>
      <c r="B24" s="94" t="s">
        <v>325</v>
      </c>
      <c r="C24" s="13">
        <v>0</v>
      </c>
      <c r="D24" s="13">
        <v>0</v>
      </c>
      <c r="E24" s="13">
        <v>0</v>
      </c>
      <c r="F24" s="13">
        <f t="shared" si="1"/>
        <v>0</v>
      </c>
      <c r="G24" s="13">
        <v>0</v>
      </c>
      <c r="H24" s="13">
        <v>0</v>
      </c>
      <c r="I24" s="13">
        <v>0</v>
      </c>
      <c r="J24" s="13">
        <f t="shared" si="2"/>
        <v>0</v>
      </c>
      <c r="K24" s="13"/>
    </row>
    <row r="25" spans="1:12" x14ac:dyDescent="0.25">
      <c r="A25" s="156" t="s">
        <v>14</v>
      </c>
      <c r="B25" s="157" t="s">
        <v>15</v>
      </c>
      <c r="C25" s="158">
        <f>C27+C30+C33+C37</f>
        <v>3646000000</v>
      </c>
      <c r="D25" s="158">
        <f>D27+D30+D33+D37</f>
        <v>0</v>
      </c>
      <c r="E25" s="158">
        <f>E27+E30+E33+E37</f>
        <v>0</v>
      </c>
      <c r="F25" s="158">
        <f t="shared" si="1"/>
        <v>3646000000</v>
      </c>
      <c r="G25" s="158">
        <f>G27+G30+G33+G37</f>
        <v>3568450000</v>
      </c>
      <c r="H25" s="158">
        <f>H27+H30+H33+H37</f>
        <v>0</v>
      </c>
      <c r="I25" s="158">
        <f>I27+I30+I33+I37</f>
        <v>0</v>
      </c>
      <c r="J25" s="158">
        <f t="shared" si="2"/>
        <v>3568450000</v>
      </c>
      <c r="K25" s="158">
        <f>K26+K27+K30+K33+K37</f>
        <v>1638694853</v>
      </c>
      <c r="L25" s="60"/>
    </row>
    <row r="26" spans="1:12" x14ac:dyDescent="0.25">
      <c r="A26" s="163"/>
      <c r="B26" s="159" t="s">
        <v>69</v>
      </c>
      <c r="C26" s="86"/>
      <c r="D26" s="86"/>
      <c r="E26" s="86"/>
      <c r="F26" s="86"/>
      <c r="G26" s="86"/>
      <c r="H26" s="86"/>
      <c r="I26" s="86"/>
      <c r="J26" s="86"/>
      <c r="K26" s="86">
        <v>82368</v>
      </c>
      <c r="L26" s="60"/>
    </row>
    <row r="27" spans="1:12" x14ac:dyDescent="0.25">
      <c r="A27" s="163"/>
      <c r="B27" s="159" t="s">
        <v>70</v>
      </c>
      <c r="C27" s="86">
        <f>SUM(C28:C29)</f>
        <v>1157000000</v>
      </c>
      <c r="D27" s="86">
        <f>SUM(D28:D29)</f>
        <v>0</v>
      </c>
      <c r="E27" s="86">
        <f>SUM(E28:E29)</f>
        <v>0</v>
      </c>
      <c r="F27" s="86">
        <f t="shared" si="1"/>
        <v>1157000000</v>
      </c>
      <c r="G27" s="86">
        <f>SUM(G28:G29)</f>
        <v>1157000000</v>
      </c>
      <c r="H27" s="86">
        <f>SUM(H28:H29)</f>
        <v>0</v>
      </c>
      <c r="I27" s="86">
        <f>SUM(I28:I29)</f>
        <v>0</v>
      </c>
      <c r="J27" s="86">
        <f t="shared" si="2"/>
        <v>1157000000</v>
      </c>
      <c r="K27" s="86">
        <f>+K28+K29</f>
        <v>571948189</v>
      </c>
      <c r="L27" s="60"/>
    </row>
    <row r="28" spans="1:12" x14ac:dyDescent="0.25">
      <c r="A28" s="11"/>
      <c r="B28" s="94" t="s">
        <v>326</v>
      </c>
      <c r="C28" s="13">
        <f>670000000+50000000</f>
        <v>720000000</v>
      </c>
      <c r="D28" s="13">
        <v>0</v>
      </c>
      <c r="E28" s="13">
        <v>0</v>
      </c>
      <c r="F28" s="13">
        <f t="shared" si="1"/>
        <v>720000000</v>
      </c>
      <c r="G28" s="13">
        <f>(670000000+50000000)</f>
        <v>720000000</v>
      </c>
      <c r="H28" s="13">
        <v>0</v>
      </c>
      <c r="I28" s="13">
        <v>0</v>
      </c>
      <c r="J28" s="13">
        <f t="shared" si="2"/>
        <v>720000000</v>
      </c>
      <c r="K28" s="13">
        <v>381493768</v>
      </c>
    </row>
    <row r="29" spans="1:12" x14ac:dyDescent="0.25">
      <c r="A29" s="11"/>
      <c r="B29" s="94" t="s">
        <v>327</v>
      </c>
      <c r="C29" s="13">
        <f>400000000+37000000</f>
        <v>437000000</v>
      </c>
      <c r="D29" s="13">
        <v>0</v>
      </c>
      <c r="E29" s="13">
        <v>0</v>
      </c>
      <c r="F29" s="13">
        <f t="shared" si="1"/>
        <v>437000000</v>
      </c>
      <c r="G29" s="13">
        <f>(400000000+37000000)</f>
        <v>437000000</v>
      </c>
      <c r="H29" s="13">
        <v>0</v>
      </c>
      <c r="I29" s="13">
        <v>0</v>
      </c>
      <c r="J29" s="13">
        <f t="shared" si="2"/>
        <v>437000000</v>
      </c>
      <c r="K29" s="13">
        <v>190454421</v>
      </c>
    </row>
    <row r="30" spans="1:12" x14ac:dyDescent="0.25">
      <c r="A30" s="11"/>
      <c r="B30" s="159" t="s">
        <v>71</v>
      </c>
      <c r="C30" s="86">
        <f>SUM(C31:C32)</f>
        <v>2480000000</v>
      </c>
      <c r="D30" s="86">
        <f>SUM(D31:D32)</f>
        <v>0</v>
      </c>
      <c r="E30" s="86">
        <f>SUM(E31:E32)</f>
        <v>0</v>
      </c>
      <c r="F30" s="86">
        <f t="shared" si="1"/>
        <v>2480000000</v>
      </c>
      <c r="G30" s="86">
        <f>SUM(G31:G32)</f>
        <v>2410000000</v>
      </c>
      <c r="H30" s="86">
        <f>SUM(H31:H32)</f>
        <v>0</v>
      </c>
      <c r="I30" s="86">
        <f>SUM(I31:I32)</f>
        <v>0</v>
      </c>
      <c r="J30" s="86">
        <f t="shared" si="2"/>
        <v>2410000000</v>
      </c>
      <c r="K30" s="86">
        <f>+K31+K32</f>
        <v>1060106110</v>
      </c>
      <c r="L30" s="60"/>
    </row>
    <row r="31" spans="1:12" x14ac:dyDescent="0.25">
      <c r="A31" s="11"/>
      <c r="B31" s="94" t="s">
        <v>328</v>
      </c>
      <c r="C31" s="13">
        <f>2250000000+160000000</f>
        <v>2410000000</v>
      </c>
      <c r="D31" s="13">
        <v>0</v>
      </c>
      <c r="E31" s="13">
        <v>0</v>
      </c>
      <c r="F31" s="13">
        <f t="shared" si="1"/>
        <v>2410000000</v>
      </c>
      <c r="G31" s="13">
        <f>(2250000000+160000000)</f>
        <v>2410000000</v>
      </c>
      <c r="H31" s="13">
        <v>0</v>
      </c>
      <c r="I31" s="13">
        <v>0</v>
      </c>
      <c r="J31" s="13">
        <f t="shared" si="2"/>
        <v>2410000000</v>
      </c>
      <c r="K31" s="13">
        <v>1060106110</v>
      </c>
      <c r="L31" s="60"/>
    </row>
    <row r="32" spans="1:12" x14ac:dyDescent="0.25">
      <c r="A32" s="11"/>
      <c r="B32" s="94" t="s">
        <v>329</v>
      </c>
      <c r="C32" s="13">
        <f>67000000+3000000</f>
        <v>70000000</v>
      </c>
      <c r="D32" s="13">
        <v>0</v>
      </c>
      <c r="E32" s="13">
        <v>0</v>
      </c>
      <c r="F32" s="13">
        <f t="shared" si="1"/>
        <v>70000000</v>
      </c>
      <c r="G32" s="13">
        <f>67000000+3000000-70000000</f>
        <v>0</v>
      </c>
      <c r="H32" s="13">
        <v>0</v>
      </c>
      <c r="I32" s="13">
        <v>0</v>
      </c>
      <c r="J32" s="13">
        <f t="shared" si="2"/>
        <v>0</v>
      </c>
      <c r="K32" s="13">
        <v>0</v>
      </c>
      <c r="L32" s="60"/>
    </row>
    <row r="33" spans="1:12" x14ac:dyDescent="0.25">
      <c r="A33" s="11"/>
      <c r="B33" s="159" t="s">
        <v>72</v>
      </c>
      <c r="C33" s="86">
        <f>SUM(C34:C36)</f>
        <v>9000000</v>
      </c>
      <c r="D33" s="86">
        <f>SUM(D34:D36)</f>
        <v>0</v>
      </c>
      <c r="E33" s="86">
        <f>SUM(E34:E36)</f>
        <v>0</v>
      </c>
      <c r="F33" s="86">
        <f t="shared" si="1"/>
        <v>9000000</v>
      </c>
      <c r="G33" s="86">
        <f>SUM(G34:G36)</f>
        <v>1450000</v>
      </c>
      <c r="H33" s="86">
        <f>SUM(H34:H36)</f>
        <v>0</v>
      </c>
      <c r="I33" s="86">
        <f>SUM(I34:I36)</f>
        <v>0</v>
      </c>
      <c r="J33" s="86">
        <f t="shared" si="2"/>
        <v>1450000</v>
      </c>
      <c r="K33" s="86">
        <f>+K34+K35+K36</f>
        <v>1961400</v>
      </c>
      <c r="L33" s="60"/>
    </row>
    <row r="34" spans="1:12" x14ac:dyDescent="0.25">
      <c r="A34" s="11"/>
      <c r="B34" s="94" t="s">
        <v>330</v>
      </c>
      <c r="C34" s="13">
        <v>0</v>
      </c>
      <c r="D34" s="13">
        <v>0</v>
      </c>
      <c r="E34" s="13">
        <v>0</v>
      </c>
      <c r="F34" s="13">
        <f t="shared" si="1"/>
        <v>0</v>
      </c>
      <c r="G34" s="13">
        <v>0</v>
      </c>
      <c r="H34" s="13">
        <v>0</v>
      </c>
      <c r="I34" s="13">
        <v>0</v>
      </c>
      <c r="J34" s="13">
        <f t="shared" si="2"/>
        <v>0</v>
      </c>
      <c r="K34" s="13"/>
    </row>
    <row r="35" spans="1:12" x14ac:dyDescent="0.25">
      <c r="A35" s="11"/>
      <c r="B35" s="94" t="s">
        <v>331</v>
      </c>
      <c r="C35" s="13">
        <v>9000000</v>
      </c>
      <c r="D35" s="13">
        <v>0</v>
      </c>
      <c r="E35" s="13">
        <v>0</v>
      </c>
      <c r="F35" s="13">
        <f t="shared" si="1"/>
        <v>9000000</v>
      </c>
      <c r="G35" s="13">
        <f>9000000-7550000</f>
        <v>1450000</v>
      </c>
      <c r="H35" s="13">
        <v>0</v>
      </c>
      <c r="I35" s="13">
        <v>0</v>
      </c>
      <c r="J35" s="13">
        <f t="shared" si="2"/>
        <v>1450000</v>
      </c>
      <c r="K35" s="13">
        <v>1961400</v>
      </c>
    </row>
    <row r="36" spans="1:12" x14ac:dyDescent="0.25">
      <c r="A36" s="11"/>
      <c r="B36" s="94" t="s">
        <v>332</v>
      </c>
      <c r="C36" s="13">
        <v>0</v>
      </c>
      <c r="D36" s="13">
        <v>0</v>
      </c>
      <c r="E36" s="13">
        <v>0</v>
      </c>
      <c r="F36" s="13">
        <f t="shared" si="1"/>
        <v>0</v>
      </c>
      <c r="G36" s="13">
        <v>0</v>
      </c>
      <c r="H36" s="13">
        <v>0</v>
      </c>
      <c r="I36" s="13">
        <v>0</v>
      </c>
      <c r="J36" s="13">
        <f t="shared" si="2"/>
        <v>0</v>
      </c>
      <c r="K36" s="13"/>
    </row>
    <row r="37" spans="1:12" x14ac:dyDescent="0.25">
      <c r="A37" s="11"/>
      <c r="B37" s="159" t="s">
        <v>73</v>
      </c>
      <c r="C37" s="86">
        <f>SUM(C38:C41)</f>
        <v>0</v>
      </c>
      <c r="D37" s="86">
        <f>SUM(D38:D41)</f>
        <v>0</v>
      </c>
      <c r="E37" s="86">
        <f>SUM(E38:E41)</f>
        <v>0</v>
      </c>
      <c r="F37" s="86">
        <f t="shared" si="1"/>
        <v>0</v>
      </c>
      <c r="G37" s="86">
        <f>SUM(G38:G41)</f>
        <v>0</v>
      </c>
      <c r="H37" s="86">
        <f>SUM(H38:H41)</f>
        <v>0</v>
      </c>
      <c r="I37" s="86">
        <f>SUM(I38:I41)</f>
        <v>0</v>
      </c>
      <c r="J37" s="86">
        <f t="shared" si="2"/>
        <v>0</v>
      </c>
      <c r="K37" s="86">
        <f>+K38+K39+K40+K41</f>
        <v>4596786</v>
      </c>
      <c r="L37" s="60"/>
    </row>
    <row r="38" spans="1:12" x14ac:dyDescent="0.25">
      <c r="A38" s="11"/>
      <c r="B38" s="94" t="s">
        <v>74</v>
      </c>
      <c r="C38" s="13"/>
      <c r="D38" s="13">
        <v>0</v>
      </c>
      <c r="E38" s="13">
        <v>0</v>
      </c>
      <c r="F38" s="13">
        <f t="shared" si="1"/>
        <v>0</v>
      </c>
      <c r="G38" s="13">
        <v>0</v>
      </c>
      <c r="H38" s="13">
        <v>0</v>
      </c>
      <c r="I38" s="13">
        <v>0</v>
      </c>
      <c r="J38" s="13">
        <f t="shared" si="2"/>
        <v>0</v>
      </c>
      <c r="K38" s="13">
        <v>4596786</v>
      </c>
    </row>
    <row r="39" spans="1:12" x14ac:dyDescent="0.25">
      <c r="A39" s="11"/>
      <c r="B39" s="94" t="s">
        <v>333</v>
      </c>
      <c r="C39" s="13"/>
      <c r="D39" s="13">
        <v>0</v>
      </c>
      <c r="E39" s="13">
        <v>0</v>
      </c>
      <c r="F39" s="13">
        <f t="shared" si="1"/>
        <v>0</v>
      </c>
      <c r="G39" s="13"/>
      <c r="H39" s="13">
        <v>0</v>
      </c>
      <c r="I39" s="13">
        <v>0</v>
      </c>
      <c r="J39" s="13">
        <f t="shared" si="2"/>
        <v>0</v>
      </c>
      <c r="K39" s="13"/>
    </row>
    <row r="40" spans="1:12" x14ac:dyDescent="0.25">
      <c r="A40" s="11"/>
      <c r="B40" s="94" t="s">
        <v>334</v>
      </c>
      <c r="C40" s="13"/>
      <c r="D40" s="13">
        <v>0</v>
      </c>
      <c r="E40" s="13">
        <v>0</v>
      </c>
      <c r="F40" s="13">
        <f t="shared" si="1"/>
        <v>0</v>
      </c>
      <c r="G40" s="13"/>
      <c r="H40" s="13">
        <v>0</v>
      </c>
      <c r="I40" s="13">
        <v>0</v>
      </c>
      <c r="J40" s="13">
        <f t="shared" si="2"/>
        <v>0</v>
      </c>
      <c r="K40" s="13"/>
    </row>
    <row r="41" spans="1:12" x14ac:dyDescent="0.25">
      <c r="A41" s="11"/>
      <c r="B41" s="94" t="s">
        <v>335</v>
      </c>
      <c r="C41" s="13"/>
      <c r="D41" s="13">
        <v>0</v>
      </c>
      <c r="E41" s="13">
        <v>0</v>
      </c>
      <c r="F41" s="13">
        <f t="shared" si="1"/>
        <v>0</v>
      </c>
      <c r="G41" s="13"/>
      <c r="H41" s="13">
        <v>0</v>
      </c>
      <c r="I41" s="13">
        <v>0</v>
      </c>
      <c r="J41" s="13">
        <f t="shared" si="2"/>
        <v>0</v>
      </c>
      <c r="K41" s="13"/>
    </row>
    <row r="42" spans="1:12" x14ac:dyDescent="0.25">
      <c r="A42" s="156" t="s">
        <v>17</v>
      </c>
      <c r="B42" s="157" t="s">
        <v>18</v>
      </c>
      <c r="C42" s="158">
        <f>C43+C44+C47+C51+C52+C53+C54+C55</f>
        <v>39887000</v>
      </c>
      <c r="D42" s="158">
        <f>D43+D44+D47+D51+D52+D53+D54+D55</f>
        <v>36636960</v>
      </c>
      <c r="E42" s="158">
        <f>E43+E44+E47+E51+E52+E53+E54+E55</f>
        <v>0</v>
      </c>
      <c r="F42" s="158">
        <f t="shared" si="1"/>
        <v>76523960</v>
      </c>
      <c r="G42" s="158">
        <f>G43+G44+G47+G51+G52+G53+G54+G55</f>
        <v>39887000</v>
      </c>
      <c r="H42" s="158">
        <f>H43+H44+H47+H51+H52+H53+H54+H55</f>
        <v>36636960</v>
      </c>
      <c r="I42" s="158">
        <f>I43+I44+I47+I51+I52+I53+I54+I55</f>
        <v>0</v>
      </c>
      <c r="J42" s="158">
        <f t="shared" si="2"/>
        <v>76523960</v>
      </c>
      <c r="K42" s="158">
        <f>+K43+K44+K47+K51+K52+K53+K54+K55</f>
        <v>44379911</v>
      </c>
      <c r="L42" s="60"/>
    </row>
    <row r="43" spans="1:12" x14ac:dyDescent="0.25">
      <c r="A43" s="11"/>
      <c r="B43" s="159" t="s">
        <v>76</v>
      </c>
      <c r="C43" s="86">
        <v>0</v>
      </c>
      <c r="D43" s="86">
        <v>0</v>
      </c>
      <c r="E43" s="86">
        <v>0</v>
      </c>
      <c r="F43" s="86">
        <f t="shared" si="1"/>
        <v>0</v>
      </c>
      <c r="G43" s="86">
        <v>0</v>
      </c>
      <c r="H43" s="86">
        <v>0</v>
      </c>
      <c r="I43" s="86">
        <v>0</v>
      </c>
      <c r="J43" s="86">
        <f t="shared" si="2"/>
        <v>0</v>
      </c>
      <c r="K43" s="86">
        <f t="shared" si="2"/>
        <v>0</v>
      </c>
    </row>
    <row r="44" spans="1:12" x14ac:dyDescent="0.25">
      <c r="A44" s="11"/>
      <c r="B44" s="159" t="s">
        <v>77</v>
      </c>
      <c r="C44" s="86">
        <f>SUM(C45:C46)</f>
        <v>24490000</v>
      </c>
      <c r="D44" s="86">
        <f>SUM(D45:D46)</f>
        <v>0</v>
      </c>
      <c r="E44" s="86">
        <f>SUM(E45:E46)</f>
        <v>0</v>
      </c>
      <c r="F44" s="86">
        <f t="shared" si="1"/>
        <v>24490000</v>
      </c>
      <c r="G44" s="86">
        <f>SUM(G45:G46)</f>
        <v>24490000</v>
      </c>
      <c r="H44" s="86">
        <f>SUM(H45:H46)</f>
        <v>0</v>
      </c>
      <c r="I44" s="86">
        <f>SUM(I45:I46)</f>
        <v>0</v>
      </c>
      <c r="J44" s="86">
        <f t="shared" si="2"/>
        <v>24490000</v>
      </c>
      <c r="K44" s="86">
        <f>+K45+K46</f>
        <v>9560718</v>
      </c>
    </row>
    <row r="45" spans="1:12" x14ac:dyDescent="0.25">
      <c r="A45" s="11"/>
      <c r="B45" s="94" t="s">
        <v>336</v>
      </c>
      <c r="C45" s="13">
        <v>4490000</v>
      </c>
      <c r="D45" s="13">
        <v>0</v>
      </c>
      <c r="E45" s="13">
        <v>0</v>
      </c>
      <c r="F45" s="13">
        <f t="shared" si="1"/>
        <v>4490000</v>
      </c>
      <c r="G45" s="13">
        <v>4490000</v>
      </c>
      <c r="H45" s="13">
        <v>0</v>
      </c>
      <c r="I45" s="13">
        <v>0</v>
      </c>
      <c r="J45" s="13">
        <f t="shared" si="2"/>
        <v>4490000</v>
      </c>
      <c r="K45" s="13">
        <v>6211354</v>
      </c>
    </row>
    <row r="46" spans="1:12" x14ac:dyDescent="0.25">
      <c r="A46" s="11"/>
      <c r="B46" s="94" t="s">
        <v>337</v>
      </c>
      <c r="C46" s="13">
        <f>20000000</f>
        <v>20000000</v>
      </c>
      <c r="D46" s="13">
        <v>0</v>
      </c>
      <c r="E46" s="13">
        <v>0</v>
      </c>
      <c r="F46" s="13">
        <f t="shared" si="1"/>
        <v>20000000</v>
      </c>
      <c r="G46" s="13">
        <f>20000000</f>
        <v>20000000</v>
      </c>
      <c r="H46" s="13">
        <v>0</v>
      </c>
      <c r="I46" s="13">
        <v>0</v>
      </c>
      <c r="J46" s="13">
        <f t="shared" si="2"/>
        <v>20000000</v>
      </c>
      <c r="K46" s="13">
        <v>3349364</v>
      </c>
    </row>
    <row r="47" spans="1:12" x14ac:dyDescent="0.25">
      <c r="A47" s="11"/>
      <c r="B47" s="159" t="s">
        <v>78</v>
      </c>
      <c r="C47" s="86">
        <f>SUM(C48:C50)</f>
        <v>5397000</v>
      </c>
      <c r="D47" s="86">
        <f>SUM(D48:D50)</f>
        <v>28848000</v>
      </c>
      <c r="E47" s="86">
        <f>SUM(E48:E50)</f>
        <v>0</v>
      </c>
      <c r="F47" s="86">
        <f t="shared" si="1"/>
        <v>34245000</v>
      </c>
      <c r="G47" s="86">
        <f>SUM(G48:G50)</f>
        <v>5397000</v>
      </c>
      <c r="H47" s="86">
        <f>SUM(H48:H50)</f>
        <v>28848000</v>
      </c>
      <c r="I47" s="86">
        <f>SUM(I48:I50)</f>
        <v>0</v>
      </c>
      <c r="J47" s="86">
        <f t="shared" si="2"/>
        <v>34245000</v>
      </c>
      <c r="K47" s="86">
        <f>+K48+K49+K50</f>
        <v>14543974</v>
      </c>
    </row>
    <row r="48" spans="1:12" x14ac:dyDescent="0.25">
      <c r="A48" s="11"/>
      <c r="B48" s="94" t="s">
        <v>338</v>
      </c>
      <c r="C48" s="13"/>
      <c r="D48" s="13"/>
      <c r="E48" s="13">
        <v>0</v>
      </c>
      <c r="F48" s="13">
        <f t="shared" si="1"/>
        <v>0</v>
      </c>
      <c r="G48" s="13"/>
      <c r="H48" s="13"/>
      <c r="I48" s="13">
        <v>0</v>
      </c>
      <c r="J48" s="13">
        <f t="shared" si="2"/>
        <v>0</v>
      </c>
      <c r="K48" s="13"/>
    </row>
    <row r="49" spans="1:12" x14ac:dyDescent="0.25">
      <c r="A49" s="11"/>
      <c r="B49" s="94" t="s">
        <v>339</v>
      </c>
      <c r="C49" s="13">
        <v>0</v>
      </c>
      <c r="D49" s="13">
        <v>28848000</v>
      </c>
      <c r="E49" s="13">
        <v>0</v>
      </c>
      <c r="F49" s="13">
        <f t="shared" si="1"/>
        <v>28848000</v>
      </c>
      <c r="G49" s="13">
        <v>0</v>
      </c>
      <c r="H49" s="13">
        <v>28848000</v>
      </c>
      <c r="I49" s="13">
        <v>0</v>
      </c>
      <c r="J49" s="13">
        <f t="shared" si="2"/>
        <v>28848000</v>
      </c>
      <c r="K49" s="13">
        <v>14543974</v>
      </c>
    </row>
    <row r="50" spans="1:12" x14ac:dyDescent="0.25">
      <c r="A50" s="11"/>
      <c r="B50" s="94" t="s">
        <v>340</v>
      </c>
      <c r="C50" s="13">
        <v>5397000</v>
      </c>
      <c r="D50" s="13">
        <v>0</v>
      </c>
      <c r="E50" s="13">
        <v>0</v>
      </c>
      <c r="F50" s="13">
        <f t="shared" si="1"/>
        <v>5397000</v>
      </c>
      <c r="G50" s="13">
        <v>5397000</v>
      </c>
      <c r="H50" s="13">
        <v>0</v>
      </c>
      <c r="I50" s="13">
        <v>0</v>
      </c>
      <c r="J50" s="13">
        <f t="shared" si="2"/>
        <v>5397000</v>
      </c>
      <c r="K50" s="13"/>
    </row>
    <row r="51" spans="1:12" x14ac:dyDescent="0.25">
      <c r="A51" s="11"/>
      <c r="B51" s="159" t="s">
        <v>79</v>
      </c>
      <c r="C51" s="86">
        <v>0</v>
      </c>
      <c r="D51" s="86">
        <v>0</v>
      </c>
      <c r="E51" s="86">
        <v>0</v>
      </c>
      <c r="F51" s="86">
        <f t="shared" si="1"/>
        <v>0</v>
      </c>
      <c r="G51" s="86">
        <v>0</v>
      </c>
      <c r="H51" s="86">
        <v>0</v>
      </c>
      <c r="I51" s="86">
        <v>0</v>
      </c>
      <c r="J51" s="86">
        <f t="shared" si="2"/>
        <v>0</v>
      </c>
      <c r="K51" s="86">
        <v>11580</v>
      </c>
    </row>
    <row r="52" spans="1:12" x14ac:dyDescent="0.25">
      <c r="A52" s="11"/>
      <c r="B52" s="159" t="s">
        <v>80</v>
      </c>
      <c r="C52" s="86">
        <f>ROUND(C49*0.27,0)</f>
        <v>0</v>
      </c>
      <c r="D52" s="86">
        <f>ROUND(D49*0.27,0)</f>
        <v>7788960</v>
      </c>
      <c r="E52" s="86">
        <f>ROUND(E49*0.27,0)</f>
        <v>0</v>
      </c>
      <c r="F52" s="86">
        <f t="shared" si="1"/>
        <v>7788960</v>
      </c>
      <c r="G52" s="86">
        <f>ROUND(G49*0.27,0)</f>
        <v>0</v>
      </c>
      <c r="H52" s="86">
        <f>ROUND(H49*0.27,0)</f>
        <v>7788960</v>
      </c>
      <c r="I52" s="86">
        <f>ROUND(I49*0.27,0)</f>
        <v>0</v>
      </c>
      <c r="J52" s="86">
        <f t="shared" si="2"/>
        <v>7788960</v>
      </c>
      <c r="K52" s="86">
        <v>5920290</v>
      </c>
    </row>
    <row r="53" spans="1:12" x14ac:dyDescent="0.25">
      <c r="A53" s="11"/>
      <c r="B53" s="159" t="s">
        <v>81</v>
      </c>
      <c r="C53" s="86">
        <v>0</v>
      </c>
      <c r="D53" s="86">
        <v>0</v>
      </c>
      <c r="E53" s="86">
        <v>0</v>
      </c>
      <c r="F53" s="86">
        <f t="shared" si="1"/>
        <v>0</v>
      </c>
      <c r="G53" s="86">
        <v>0</v>
      </c>
      <c r="H53" s="86">
        <v>0</v>
      </c>
      <c r="I53" s="86">
        <v>0</v>
      </c>
      <c r="J53" s="86">
        <f t="shared" si="2"/>
        <v>0</v>
      </c>
      <c r="K53" s="86">
        <v>0</v>
      </c>
    </row>
    <row r="54" spans="1:12" x14ac:dyDescent="0.25">
      <c r="A54" s="11"/>
      <c r="B54" s="159" t="s">
        <v>82</v>
      </c>
      <c r="C54" s="86"/>
      <c r="D54" s="86">
        <v>0</v>
      </c>
      <c r="E54" s="86">
        <v>0</v>
      </c>
      <c r="F54" s="86">
        <f t="shared" si="1"/>
        <v>0</v>
      </c>
      <c r="G54" s="86"/>
      <c r="H54" s="86">
        <v>0</v>
      </c>
      <c r="I54" s="86">
        <v>0</v>
      </c>
      <c r="J54" s="86">
        <f t="shared" si="2"/>
        <v>0</v>
      </c>
      <c r="K54" s="86">
        <v>0</v>
      </c>
    </row>
    <row r="55" spans="1:12" x14ac:dyDescent="0.25">
      <c r="A55" s="11"/>
      <c r="B55" s="159" t="s">
        <v>83</v>
      </c>
      <c r="C55" s="86">
        <v>10000000</v>
      </c>
      <c r="D55" s="86">
        <v>0</v>
      </c>
      <c r="E55" s="86">
        <v>0</v>
      </c>
      <c r="F55" s="86">
        <f t="shared" si="1"/>
        <v>10000000</v>
      </c>
      <c r="G55" s="86">
        <v>10000000</v>
      </c>
      <c r="H55" s="86">
        <v>0</v>
      </c>
      <c r="I55" s="86">
        <v>0</v>
      </c>
      <c r="J55" s="86">
        <f t="shared" si="2"/>
        <v>10000000</v>
      </c>
      <c r="K55" s="86">
        <v>14343349</v>
      </c>
    </row>
    <row r="56" spans="1:12" x14ac:dyDescent="0.25">
      <c r="A56" s="156" t="s">
        <v>20</v>
      </c>
      <c r="B56" s="157" t="s">
        <v>21</v>
      </c>
      <c r="C56" s="158">
        <f>C57+C58</f>
        <v>0</v>
      </c>
      <c r="D56" s="158">
        <f>D57+D58</f>
        <v>0</v>
      </c>
      <c r="E56" s="158">
        <f>E57+E58</f>
        <v>0</v>
      </c>
      <c r="F56" s="158">
        <f t="shared" si="1"/>
        <v>0</v>
      </c>
      <c r="G56" s="158">
        <f>G57+G58</f>
        <v>0</v>
      </c>
      <c r="H56" s="158">
        <f>H57+H58</f>
        <v>0</v>
      </c>
      <c r="I56" s="158">
        <f>I57+I58</f>
        <v>0</v>
      </c>
      <c r="J56" s="158">
        <f t="shared" si="2"/>
        <v>0</v>
      </c>
      <c r="K56" s="158">
        <f>+K57+K58</f>
        <v>976767</v>
      </c>
      <c r="L56" s="60"/>
    </row>
    <row r="57" spans="1:12" ht="30" x14ac:dyDescent="0.25">
      <c r="A57" s="11"/>
      <c r="B57" s="159" t="s">
        <v>84</v>
      </c>
      <c r="C57" s="86">
        <v>0</v>
      </c>
      <c r="D57" s="86">
        <v>0</v>
      </c>
      <c r="E57" s="86">
        <v>0</v>
      </c>
      <c r="F57" s="86">
        <f t="shared" si="1"/>
        <v>0</v>
      </c>
      <c r="G57" s="86">
        <v>0</v>
      </c>
      <c r="H57" s="86">
        <v>0</v>
      </c>
      <c r="I57" s="86">
        <v>0</v>
      </c>
      <c r="J57" s="86">
        <f t="shared" si="2"/>
        <v>0</v>
      </c>
      <c r="K57" s="86">
        <v>0</v>
      </c>
    </row>
    <row r="58" spans="1:12" x14ac:dyDescent="0.25">
      <c r="A58" s="11"/>
      <c r="B58" s="159" t="s">
        <v>85</v>
      </c>
      <c r="C58" s="86"/>
      <c r="D58" s="86">
        <f>SUM(D59:D61)</f>
        <v>0</v>
      </c>
      <c r="E58" s="86">
        <v>0</v>
      </c>
      <c r="F58" s="86">
        <f>SUM(F59:F61)</f>
        <v>0</v>
      </c>
      <c r="G58" s="86"/>
      <c r="H58" s="86">
        <f>SUM(H59:H61)</f>
        <v>0</v>
      </c>
      <c r="I58" s="86">
        <v>0</v>
      </c>
      <c r="J58" s="86">
        <f>SUM(J59:J61)</f>
        <v>0</v>
      </c>
      <c r="K58" s="86">
        <v>976767</v>
      </c>
    </row>
    <row r="59" spans="1:12" hidden="1" x14ac:dyDescent="0.25">
      <c r="A59" s="11"/>
      <c r="B59" s="94" t="s">
        <v>341</v>
      </c>
      <c r="C59" s="13"/>
      <c r="D59" s="13"/>
      <c r="E59" s="13"/>
      <c r="F59" s="13">
        <f>SUM(C59:E59)</f>
        <v>0</v>
      </c>
      <c r="G59" s="13"/>
      <c r="H59" s="13"/>
      <c r="I59" s="13"/>
      <c r="J59" s="13">
        <f t="shared" ref="J59:K61" si="3">SUM(G59:I59)</f>
        <v>0</v>
      </c>
      <c r="K59" s="13">
        <f t="shared" si="3"/>
        <v>0</v>
      </c>
    </row>
    <row r="60" spans="1:12" hidden="1" x14ac:dyDescent="0.25">
      <c r="A60" s="11"/>
      <c r="B60" s="94"/>
      <c r="C60" s="13"/>
      <c r="D60" s="13">
        <v>0</v>
      </c>
      <c r="E60" s="13"/>
      <c r="F60" s="13">
        <f>SUM(C60:E60)</f>
        <v>0</v>
      </c>
      <c r="G60" s="13"/>
      <c r="H60" s="13">
        <v>0</v>
      </c>
      <c r="I60" s="13"/>
      <c r="J60" s="13">
        <f t="shared" si="3"/>
        <v>0</v>
      </c>
      <c r="K60" s="13">
        <f t="shared" si="3"/>
        <v>0</v>
      </c>
    </row>
    <row r="61" spans="1:12" hidden="1" x14ac:dyDescent="0.25">
      <c r="A61" s="11"/>
      <c r="B61" s="94"/>
      <c r="C61" s="13"/>
      <c r="D61" s="13">
        <v>0</v>
      </c>
      <c r="E61" s="13"/>
      <c r="F61" s="13">
        <f>SUM(C61:E61)</f>
        <v>0</v>
      </c>
      <c r="G61" s="13"/>
      <c r="H61" s="13">
        <v>0</v>
      </c>
      <c r="I61" s="13"/>
      <c r="J61" s="13">
        <f t="shared" si="3"/>
        <v>0</v>
      </c>
      <c r="K61" s="13">
        <f t="shared" si="3"/>
        <v>0</v>
      </c>
    </row>
    <row r="62" spans="1:12" hidden="1" x14ac:dyDescent="0.25">
      <c r="A62" s="11"/>
      <c r="B62" s="94"/>
      <c r="C62" s="13"/>
      <c r="D62" s="13"/>
      <c r="E62" s="13"/>
      <c r="F62" s="13"/>
      <c r="G62" s="13"/>
      <c r="H62" s="13"/>
      <c r="I62" s="13"/>
      <c r="J62" s="13"/>
      <c r="K62" s="13"/>
    </row>
    <row r="63" spans="1:12" x14ac:dyDescent="0.25">
      <c r="A63" s="5" t="s">
        <v>27</v>
      </c>
      <c r="B63" s="6" t="s">
        <v>28</v>
      </c>
      <c r="C63" s="7">
        <f>C64+C68+C76</f>
        <v>549116000</v>
      </c>
      <c r="D63" s="7">
        <f>D64+D68+D76</f>
        <v>901655</v>
      </c>
      <c r="E63" s="7">
        <f>E64+E68+E76</f>
        <v>0</v>
      </c>
      <c r="F63" s="7">
        <f t="shared" ref="F63:F75" si="4">SUM(C63:E63)</f>
        <v>550017655</v>
      </c>
      <c r="G63" s="7">
        <f>G64+G68+G76</f>
        <v>557524022</v>
      </c>
      <c r="H63" s="7">
        <f>H64+H68+H76</f>
        <v>901655</v>
      </c>
      <c r="I63" s="7">
        <f>I64+I68+I76</f>
        <v>0</v>
      </c>
      <c r="J63" s="7">
        <f t="shared" ref="J63:J75" si="5">SUM(G63:I63)</f>
        <v>558425677</v>
      </c>
      <c r="K63" s="7">
        <f>+K64+K68+K76</f>
        <v>11747532</v>
      </c>
      <c r="L63" s="60"/>
    </row>
    <row r="64" spans="1:12" x14ac:dyDescent="0.25">
      <c r="A64" s="156" t="s">
        <v>11</v>
      </c>
      <c r="B64" s="157" t="s">
        <v>30</v>
      </c>
      <c r="C64" s="158">
        <f>C65+C66+C67</f>
        <v>439116000</v>
      </c>
      <c r="D64" s="164">
        <f>D65+D66+D67</f>
        <v>0</v>
      </c>
      <c r="E64" s="158">
        <f>E65+E66+E67</f>
        <v>0</v>
      </c>
      <c r="F64" s="164">
        <f t="shared" si="4"/>
        <v>439116000</v>
      </c>
      <c r="G64" s="158">
        <f>G65+G66+G67</f>
        <v>447524022</v>
      </c>
      <c r="H64" s="164">
        <f>H65+H66+H67</f>
        <v>0</v>
      </c>
      <c r="I64" s="158">
        <f>I65+I66+I67</f>
        <v>0</v>
      </c>
      <c r="J64" s="164">
        <f t="shared" si="5"/>
        <v>447524022</v>
      </c>
      <c r="K64" s="164">
        <f>+K65+K66+K67</f>
        <v>8408022</v>
      </c>
      <c r="L64" s="60"/>
    </row>
    <row r="65" spans="1:12" x14ac:dyDescent="0.25">
      <c r="A65" s="11"/>
      <c r="B65" s="165" t="s">
        <v>86</v>
      </c>
      <c r="C65" s="86">
        <v>400000000</v>
      </c>
      <c r="D65" s="166">
        <v>0</v>
      </c>
      <c r="E65" s="86">
        <v>0</v>
      </c>
      <c r="F65" s="166">
        <f t="shared" si="4"/>
        <v>400000000</v>
      </c>
      <c r="G65" s="86">
        <v>400000000</v>
      </c>
      <c r="H65" s="166">
        <v>0</v>
      </c>
      <c r="I65" s="86">
        <v>0</v>
      </c>
      <c r="J65" s="166">
        <f t="shared" si="5"/>
        <v>400000000</v>
      </c>
      <c r="K65" s="166"/>
    </row>
    <row r="66" spans="1:12" x14ac:dyDescent="0.25">
      <c r="A66" s="11"/>
      <c r="B66" s="165" t="s">
        <v>87</v>
      </c>
      <c r="C66" s="86">
        <v>0</v>
      </c>
      <c r="D66" s="166">
        <v>0</v>
      </c>
      <c r="E66" s="86">
        <v>0</v>
      </c>
      <c r="F66" s="166">
        <f t="shared" si="4"/>
        <v>0</v>
      </c>
      <c r="G66" s="86">
        <v>0</v>
      </c>
      <c r="H66" s="166">
        <v>0</v>
      </c>
      <c r="I66" s="86">
        <v>0</v>
      </c>
      <c r="J66" s="166">
        <f t="shared" si="5"/>
        <v>0</v>
      </c>
      <c r="K66" s="166"/>
    </row>
    <row r="67" spans="1:12" x14ac:dyDescent="0.25">
      <c r="A67" s="11"/>
      <c r="B67" s="165" t="s">
        <v>88</v>
      </c>
      <c r="C67" s="86">
        <v>39116000</v>
      </c>
      <c r="D67" s="166">
        <v>0</v>
      </c>
      <c r="E67" s="86">
        <v>0</v>
      </c>
      <c r="F67" s="166">
        <f t="shared" si="4"/>
        <v>39116000</v>
      </c>
      <c r="G67" s="166">
        <f>39116000+8408022</f>
        <v>47524022</v>
      </c>
      <c r="H67" s="166">
        <v>0</v>
      </c>
      <c r="I67" s="86">
        <v>0</v>
      </c>
      <c r="J67" s="166">
        <f t="shared" si="5"/>
        <v>47524022</v>
      </c>
      <c r="K67" s="166">
        <v>8408022</v>
      </c>
    </row>
    <row r="68" spans="1:12" x14ac:dyDescent="0.25">
      <c r="A68" s="156" t="s">
        <v>14</v>
      </c>
      <c r="B68" s="157" t="s">
        <v>32</v>
      </c>
      <c r="C68" s="158">
        <f>C69+C70+C74+C75</f>
        <v>110000000</v>
      </c>
      <c r="D68" s="158">
        <f>D69+D70+D74+D75</f>
        <v>0</v>
      </c>
      <c r="E68" s="158">
        <f>E69+E70+E74+E75</f>
        <v>0</v>
      </c>
      <c r="F68" s="158">
        <f t="shared" si="4"/>
        <v>110000000</v>
      </c>
      <c r="G68" s="158">
        <f>G69+G70+G74+G75</f>
        <v>110000000</v>
      </c>
      <c r="H68" s="158">
        <f>H69+H70+H74+H75</f>
        <v>0</v>
      </c>
      <c r="I68" s="158">
        <f>I69+I70+I74+I75</f>
        <v>0</v>
      </c>
      <c r="J68" s="158">
        <f t="shared" si="5"/>
        <v>110000000</v>
      </c>
      <c r="K68" s="158">
        <f>+K69+K70+K74+K75</f>
        <v>1025195</v>
      </c>
      <c r="L68" s="60"/>
    </row>
    <row r="69" spans="1:12" x14ac:dyDescent="0.25">
      <c r="A69" s="11"/>
      <c r="B69" s="165" t="s">
        <v>89</v>
      </c>
      <c r="C69" s="86">
        <v>0</v>
      </c>
      <c r="D69" s="86">
        <v>0</v>
      </c>
      <c r="E69" s="86">
        <v>0</v>
      </c>
      <c r="F69" s="86">
        <f t="shared" si="4"/>
        <v>0</v>
      </c>
      <c r="G69" s="86">
        <v>0</v>
      </c>
      <c r="H69" s="86">
        <v>0</v>
      </c>
      <c r="I69" s="86">
        <v>0</v>
      </c>
      <c r="J69" s="86">
        <f t="shared" si="5"/>
        <v>0</v>
      </c>
      <c r="K69" s="86">
        <v>0</v>
      </c>
    </row>
    <row r="70" spans="1:12" x14ac:dyDescent="0.25">
      <c r="A70" s="11"/>
      <c r="B70" s="165" t="s">
        <v>90</v>
      </c>
      <c r="C70" s="86">
        <f>SUM(C71:C73)</f>
        <v>110000000</v>
      </c>
      <c r="D70" s="86">
        <f>SUM(D71:D73)</f>
        <v>0</v>
      </c>
      <c r="E70" s="86">
        <f>SUM(E71:E73)</f>
        <v>0</v>
      </c>
      <c r="F70" s="86">
        <f t="shared" si="4"/>
        <v>110000000</v>
      </c>
      <c r="G70" s="86">
        <f>SUM(G71:G73)</f>
        <v>110000000</v>
      </c>
      <c r="H70" s="86">
        <f>SUM(H71:H73)</f>
        <v>0</v>
      </c>
      <c r="I70" s="86">
        <f>SUM(I71:I73)</f>
        <v>0</v>
      </c>
      <c r="J70" s="86">
        <f t="shared" si="5"/>
        <v>110000000</v>
      </c>
      <c r="K70" s="86">
        <v>1025195</v>
      </c>
    </row>
    <row r="71" spans="1:12" x14ac:dyDescent="0.25">
      <c r="A71" s="11"/>
      <c r="B71" s="94" t="s">
        <v>342</v>
      </c>
      <c r="C71" s="13">
        <v>0</v>
      </c>
      <c r="D71" s="13"/>
      <c r="E71" s="13">
        <v>0</v>
      </c>
      <c r="F71" s="13">
        <f t="shared" si="4"/>
        <v>0</v>
      </c>
      <c r="G71" s="13">
        <v>0</v>
      </c>
      <c r="H71" s="13"/>
      <c r="I71" s="13">
        <v>0</v>
      </c>
      <c r="J71" s="13">
        <f t="shared" si="5"/>
        <v>0</v>
      </c>
      <c r="K71" s="13"/>
    </row>
    <row r="72" spans="1:12" x14ac:dyDescent="0.25">
      <c r="A72" s="11"/>
      <c r="B72" s="94" t="s">
        <v>343</v>
      </c>
      <c r="C72" s="13">
        <v>0</v>
      </c>
      <c r="D72" s="13">
        <v>0</v>
      </c>
      <c r="E72" s="13">
        <v>0</v>
      </c>
      <c r="F72" s="13">
        <f t="shared" si="4"/>
        <v>0</v>
      </c>
      <c r="G72" s="13">
        <v>0</v>
      </c>
      <c r="H72" s="13">
        <v>0</v>
      </c>
      <c r="I72" s="13">
        <v>0</v>
      </c>
      <c r="J72" s="13">
        <f t="shared" si="5"/>
        <v>0</v>
      </c>
      <c r="K72" s="13"/>
    </row>
    <row r="73" spans="1:12" x14ac:dyDescent="0.25">
      <c r="A73" s="11"/>
      <c r="B73" s="94" t="s">
        <v>344</v>
      </c>
      <c r="C73" s="13">
        <v>110000000</v>
      </c>
      <c r="D73" s="13"/>
      <c r="E73" s="13">
        <v>0</v>
      </c>
      <c r="F73" s="13">
        <f t="shared" si="4"/>
        <v>110000000</v>
      </c>
      <c r="G73" s="13">
        <v>110000000</v>
      </c>
      <c r="H73" s="13"/>
      <c r="I73" s="13">
        <v>0</v>
      </c>
      <c r="J73" s="13">
        <f t="shared" si="5"/>
        <v>110000000</v>
      </c>
      <c r="K73" s="13"/>
    </row>
    <row r="74" spans="1:12" x14ac:dyDescent="0.25">
      <c r="A74" s="11"/>
      <c r="B74" s="165" t="s">
        <v>91</v>
      </c>
      <c r="C74" s="86">
        <v>0</v>
      </c>
      <c r="D74" s="86">
        <v>0</v>
      </c>
      <c r="E74" s="86">
        <v>0</v>
      </c>
      <c r="F74" s="86">
        <f t="shared" si="4"/>
        <v>0</v>
      </c>
      <c r="G74" s="86">
        <v>0</v>
      </c>
      <c r="H74" s="86">
        <v>0</v>
      </c>
      <c r="I74" s="86">
        <v>0</v>
      </c>
      <c r="J74" s="86">
        <f t="shared" si="5"/>
        <v>0</v>
      </c>
      <c r="K74" s="86">
        <v>0</v>
      </c>
    </row>
    <row r="75" spans="1:12" x14ac:dyDescent="0.25">
      <c r="A75" s="11"/>
      <c r="B75" s="165" t="s">
        <v>92</v>
      </c>
      <c r="C75" s="86">
        <v>0</v>
      </c>
      <c r="D75" s="86">
        <v>0</v>
      </c>
      <c r="E75" s="86">
        <v>0</v>
      </c>
      <c r="F75" s="86">
        <f t="shared" si="4"/>
        <v>0</v>
      </c>
      <c r="G75" s="86">
        <v>0</v>
      </c>
      <c r="H75" s="86">
        <v>0</v>
      </c>
      <c r="I75" s="86">
        <v>0</v>
      </c>
      <c r="J75" s="86">
        <f t="shared" si="5"/>
        <v>0</v>
      </c>
      <c r="K75" s="86">
        <v>0</v>
      </c>
    </row>
    <row r="76" spans="1:12" x14ac:dyDescent="0.25">
      <c r="A76" s="156" t="s">
        <v>17</v>
      </c>
      <c r="B76" s="157" t="s">
        <v>34</v>
      </c>
      <c r="C76" s="158">
        <f>C79+C83+C77+C78+C90</f>
        <v>0</v>
      </c>
      <c r="D76" s="158">
        <f>D79+D83+D77+D78</f>
        <v>901655</v>
      </c>
      <c r="E76" s="158">
        <f>E79+E83+E77+E78</f>
        <v>0</v>
      </c>
      <c r="F76" s="158">
        <f t="shared" ref="F76:F94" si="6">SUM(C76:E76)</f>
        <v>901655</v>
      </c>
      <c r="G76" s="158">
        <f>G79+G83+G77+G78+G90</f>
        <v>0</v>
      </c>
      <c r="H76" s="158">
        <f>H79+H83+H77+H78</f>
        <v>901655</v>
      </c>
      <c r="I76" s="158">
        <f>I79+I83+I77+I78</f>
        <v>0</v>
      </c>
      <c r="J76" s="158">
        <f t="shared" ref="J76:J89" si="7">SUM(G76:I76)</f>
        <v>901655</v>
      </c>
      <c r="K76" s="158">
        <f>SUM(K77:K90)</f>
        <v>2314315</v>
      </c>
      <c r="L76" s="60"/>
    </row>
    <row r="77" spans="1:12" x14ac:dyDescent="0.25">
      <c r="A77" s="11"/>
      <c r="B77" s="165" t="s">
        <v>93</v>
      </c>
      <c r="C77" s="86">
        <v>0</v>
      </c>
      <c r="D77" s="86">
        <v>0</v>
      </c>
      <c r="E77" s="86">
        <v>0</v>
      </c>
      <c r="F77" s="86">
        <f t="shared" si="6"/>
        <v>0</v>
      </c>
      <c r="G77" s="86">
        <v>0</v>
      </c>
      <c r="H77" s="86">
        <v>0</v>
      </c>
      <c r="I77" s="86">
        <v>0</v>
      </c>
      <c r="J77" s="86">
        <f t="shared" si="7"/>
        <v>0</v>
      </c>
      <c r="K77" s="86"/>
    </row>
    <row r="78" spans="1:12" s="161" customFormat="1" ht="45" x14ac:dyDescent="0.25">
      <c r="A78" s="11"/>
      <c r="B78" s="167" t="s">
        <v>345</v>
      </c>
      <c r="C78" s="160">
        <v>0</v>
      </c>
      <c r="D78" s="160">
        <v>0</v>
      </c>
      <c r="E78" s="160">
        <v>0</v>
      </c>
      <c r="F78" s="160">
        <f t="shared" si="6"/>
        <v>0</v>
      </c>
      <c r="G78" s="160">
        <v>0</v>
      </c>
      <c r="H78" s="160">
        <v>0</v>
      </c>
      <c r="I78" s="160">
        <v>0</v>
      </c>
      <c r="J78" s="160">
        <f t="shared" si="7"/>
        <v>0</v>
      </c>
      <c r="K78" s="160"/>
    </row>
    <row r="79" spans="1:12" x14ac:dyDescent="0.25">
      <c r="A79" s="11"/>
      <c r="B79" s="165" t="s">
        <v>95</v>
      </c>
      <c r="C79" s="86">
        <f>SUM(C80:C82)</f>
        <v>0</v>
      </c>
      <c r="D79" s="86">
        <f>+D82</f>
        <v>901655</v>
      </c>
      <c r="E79" s="86">
        <f>SUM(E80:E82)</f>
        <v>0</v>
      </c>
      <c r="F79" s="86">
        <f t="shared" si="6"/>
        <v>901655</v>
      </c>
      <c r="G79" s="86">
        <f>SUM(G80:G82)</f>
        <v>0</v>
      </c>
      <c r="H79" s="86">
        <f>+H82</f>
        <v>901655</v>
      </c>
      <c r="I79" s="86">
        <f>SUM(I80:I82)</f>
        <v>0</v>
      </c>
      <c r="J79" s="86">
        <f t="shared" si="7"/>
        <v>901655</v>
      </c>
      <c r="K79" s="86">
        <v>621385</v>
      </c>
    </row>
    <row r="80" spans="1:12" hidden="1" x14ac:dyDescent="0.25">
      <c r="A80" s="11"/>
      <c r="B80" s="94" t="s">
        <v>346</v>
      </c>
      <c r="C80" s="13">
        <v>0</v>
      </c>
      <c r="D80" s="13"/>
      <c r="E80" s="13">
        <v>0</v>
      </c>
      <c r="F80" s="13">
        <f t="shared" si="6"/>
        <v>0</v>
      </c>
      <c r="G80" s="13">
        <v>0</v>
      </c>
      <c r="H80" s="13"/>
      <c r="I80" s="13">
        <v>0</v>
      </c>
      <c r="J80" s="13">
        <f t="shared" si="7"/>
        <v>0</v>
      </c>
      <c r="K80" s="13"/>
    </row>
    <row r="81" spans="1:12" hidden="1" x14ac:dyDescent="0.25">
      <c r="A81" s="11"/>
      <c r="B81" s="94" t="s">
        <v>347</v>
      </c>
      <c r="C81" s="13">
        <v>0</v>
      </c>
      <c r="D81" s="13"/>
      <c r="E81" s="13">
        <v>0</v>
      </c>
      <c r="F81" s="13">
        <f t="shared" si="6"/>
        <v>0</v>
      </c>
      <c r="G81" s="13">
        <v>0</v>
      </c>
      <c r="H81" s="13"/>
      <c r="I81" s="13">
        <v>0</v>
      </c>
      <c r="J81" s="13">
        <f t="shared" si="7"/>
        <v>0</v>
      </c>
      <c r="K81" s="13"/>
    </row>
    <row r="82" spans="1:12" ht="30" hidden="1" x14ac:dyDescent="0.25">
      <c r="A82" s="11"/>
      <c r="B82" s="94" t="s">
        <v>348</v>
      </c>
      <c r="C82" s="13">
        <v>0</v>
      </c>
      <c r="D82" s="13">
        <v>901655</v>
      </c>
      <c r="E82" s="13">
        <v>0</v>
      </c>
      <c r="F82" s="13">
        <f t="shared" si="6"/>
        <v>901655</v>
      </c>
      <c r="G82" s="13">
        <v>0</v>
      </c>
      <c r="H82" s="13">
        <v>901655</v>
      </c>
      <c r="I82" s="13">
        <v>0</v>
      </c>
      <c r="J82" s="13">
        <f t="shared" si="7"/>
        <v>901655</v>
      </c>
      <c r="K82" s="13"/>
    </row>
    <row r="83" spans="1:12" x14ac:dyDescent="0.25">
      <c r="A83" s="11"/>
      <c r="B83" s="165" t="s">
        <v>96</v>
      </c>
      <c r="C83" s="86">
        <f>SUM(C84:C89)</f>
        <v>0</v>
      </c>
      <c r="D83" s="86">
        <f>SUM(D84:D89)</f>
        <v>0</v>
      </c>
      <c r="E83" s="86">
        <f>SUM(E84:E89)</f>
        <v>0</v>
      </c>
      <c r="F83" s="86">
        <f t="shared" si="6"/>
        <v>0</v>
      </c>
      <c r="G83" s="86">
        <f>SUM(G84:G89)</f>
        <v>0</v>
      </c>
      <c r="H83" s="86">
        <v>0</v>
      </c>
      <c r="I83" s="86">
        <f>SUM(I84:I89)</f>
        <v>0</v>
      </c>
      <c r="J83" s="86">
        <f t="shared" si="7"/>
        <v>0</v>
      </c>
      <c r="K83" s="86">
        <v>1692930</v>
      </c>
    </row>
    <row r="84" spans="1:12" hidden="1" x14ac:dyDescent="0.25">
      <c r="A84" s="11"/>
      <c r="B84" s="94" t="s">
        <v>349</v>
      </c>
      <c r="C84" s="13"/>
      <c r="D84" s="13">
        <v>0</v>
      </c>
      <c r="E84" s="13">
        <v>0</v>
      </c>
      <c r="F84" s="13">
        <f t="shared" si="6"/>
        <v>0</v>
      </c>
      <c r="G84" s="13"/>
      <c r="H84" s="13">
        <v>0</v>
      </c>
      <c r="I84" s="13">
        <v>0</v>
      </c>
      <c r="J84" s="13">
        <f t="shared" si="7"/>
        <v>0</v>
      </c>
      <c r="K84" s="13"/>
    </row>
    <row r="85" spans="1:12" hidden="1" x14ac:dyDescent="0.25">
      <c r="A85" s="11"/>
      <c r="B85" s="94" t="s">
        <v>350</v>
      </c>
      <c r="C85" s="13"/>
      <c r="D85" s="13">
        <v>0</v>
      </c>
      <c r="E85" s="13">
        <v>0</v>
      </c>
      <c r="F85" s="13">
        <f t="shared" si="6"/>
        <v>0</v>
      </c>
      <c r="G85" s="13"/>
      <c r="H85" s="13">
        <v>0</v>
      </c>
      <c r="I85" s="13">
        <v>0</v>
      </c>
      <c r="J85" s="13">
        <f t="shared" si="7"/>
        <v>0</v>
      </c>
      <c r="K85" s="13"/>
    </row>
    <row r="86" spans="1:12" hidden="1" x14ac:dyDescent="0.25">
      <c r="A86" s="11"/>
      <c r="B86" s="94" t="s">
        <v>351</v>
      </c>
      <c r="C86" s="13"/>
      <c r="D86" s="13">
        <v>0</v>
      </c>
      <c r="E86" s="13">
        <v>0</v>
      </c>
      <c r="F86" s="13">
        <f t="shared" si="6"/>
        <v>0</v>
      </c>
      <c r="G86" s="13"/>
      <c r="H86" s="13">
        <v>0</v>
      </c>
      <c r="I86" s="13">
        <v>0</v>
      </c>
      <c r="J86" s="13">
        <f t="shared" si="7"/>
        <v>0</v>
      </c>
      <c r="K86" s="13"/>
    </row>
    <row r="87" spans="1:12" hidden="1" x14ac:dyDescent="0.25">
      <c r="A87" s="11"/>
      <c r="B87" s="94" t="s">
        <v>352</v>
      </c>
      <c r="C87" s="13"/>
      <c r="D87" s="13">
        <v>0</v>
      </c>
      <c r="E87" s="13">
        <v>0</v>
      </c>
      <c r="F87" s="13">
        <f t="shared" si="6"/>
        <v>0</v>
      </c>
      <c r="G87" s="13"/>
      <c r="H87" s="13">
        <v>0</v>
      </c>
      <c r="I87" s="13">
        <v>0</v>
      </c>
      <c r="J87" s="13">
        <f t="shared" si="7"/>
        <v>0</v>
      </c>
      <c r="K87" s="13"/>
    </row>
    <row r="88" spans="1:12" hidden="1" x14ac:dyDescent="0.25">
      <c r="A88" s="11"/>
      <c r="B88" s="94"/>
      <c r="C88" s="13"/>
      <c r="D88" s="13">
        <v>0</v>
      </c>
      <c r="E88" s="13">
        <v>0</v>
      </c>
      <c r="F88" s="13">
        <f t="shared" si="6"/>
        <v>0</v>
      </c>
      <c r="G88" s="13"/>
      <c r="H88" s="13">
        <v>0</v>
      </c>
      <c r="I88" s="13">
        <v>0</v>
      </c>
      <c r="J88" s="13">
        <f t="shared" si="7"/>
        <v>0</v>
      </c>
      <c r="K88" s="13"/>
    </row>
    <row r="89" spans="1:12" hidden="1" x14ac:dyDescent="0.25">
      <c r="A89" s="11"/>
      <c r="B89" s="94" t="s">
        <v>353</v>
      </c>
      <c r="C89" s="13"/>
      <c r="D89" s="13">
        <v>0</v>
      </c>
      <c r="E89" s="13">
        <v>0</v>
      </c>
      <c r="F89" s="13">
        <f t="shared" si="6"/>
        <v>0</v>
      </c>
      <c r="G89" s="13"/>
      <c r="H89" s="13">
        <v>0</v>
      </c>
      <c r="I89" s="13">
        <v>0</v>
      </c>
      <c r="J89" s="13">
        <f t="shared" si="7"/>
        <v>0</v>
      </c>
      <c r="K89" s="13"/>
    </row>
    <row r="90" spans="1:12" s="139" customFormat="1" ht="30" x14ac:dyDescent="0.25">
      <c r="A90" s="163"/>
      <c r="B90" s="168" t="s">
        <v>97</v>
      </c>
      <c r="C90" s="86"/>
      <c r="D90" s="86"/>
      <c r="E90" s="86"/>
      <c r="F90" s="86"/>
      <c r="G90" s="86"/>
      <c r="H90" s="86"/>
      <c r="I90" s="86"/>
      <c r="J90" s="86"/>
      <c r="K90" s="86"/>
    </row>
    <row r="91" spans="1:12" hidden="1" x14ac:dyDescent="0.25">
      <c r="A91" s="11"/>
      <c r="B91" s="94" t="s">
        <v>354</v>
      </c>
      <c r="C91" s="13"/>
      <c r="D91" s="13"/>
      <c r="E91" s="13"/>
      <c r="F91" s="13"/>
      <c r="G91" s="13"/>
      <c r="H91" s="13"/>
      <c r="I91" s="13"/>
      <c r="J91" s="13"/>
      <c r="K91" s="13"/>
    </row>
    <row r="92" spans="1:12" x14ac:dyDescent="0.25">
      <c r="A92" s="3"/>
      <c r="B92" s="24" t="s">
        <v>38</v>
      </c>
      <c r="C92" s="26">
        <f>C5+C63</f>
        <v>4897172291</v>
      </c>
      <c r="D92" s="26">
        <f>D5+D63</f>
        <v>50138615</v>
      </c>
      <c r="E92" s="26">
        <f>E5+E63</f>
        <v>0</v>
      </c>
      <c r="F92" s="26">
        <f t="shared" si="6"/>
        <v>4947310906</v>
      </c>
      <c r="G92" s="26">
        <f>G5+G63</f>
        <v>4940661086</v>
      </c>
      <c r="H92" s="26">
        <f>H5+H63</f>
        <v>50138615</v>
      </c>
      <c r="I92" s="26">
        <f>I5+I63</f>
        <v>0</v>
      </c>
      <c r="J92" s="26">
        <f>SUM(G92:I92)</f>
        <v>4990799701</v>
      </c>
      <c r="K92" s="26">
        <f>+K5+K63</f>
        <v>2024188501</v>
      </c>
      <c r="L92" s="60"/>
    </row>
    <row r="93" spans="1:12" x14ac:dyDescent="0.25">
      <c r="A93" s="5" t="s">
        <v>42</v>
      </c>
      <c r="B93" s="6" t="s">
        <v>43</v>
      </c>
      <c r="C93" s="7">
        <f>C94+C106</f>
        <v>1000000000</v>
      </c>
      <c r="D93" s="7">
        <f>D94+D106</f>
        <v>0</v>
      </c>
      <c r="E93" s="7">
        <f>E94+E106</f>
        <v>0</v>
      </c>
      <c r="F93" s="7">
        <f t="shared" si="6"/>
        <v>1000000000</v>
      </c>
      <c r="G93" s="7">
        <f>G94+G106</f>
        <v>1566169657</v>
      </c>
      <c r="H93" s="7">
        <f>H94+H106</f>
        <v>0</v>
      </c>
      <c r="I93" s="7">
        <f>I94+I106</f>
        <v>0</v>
      </c>
      <c r="J93" s="7">
        <f>SUM(G93:I93)</f>
        <v>1566169657</v>
      </c>
      <c r="K93" s="7">
        <f>+K94</f>
        <v>186454375</v>
      </c>
      <c r="L93" s="60"/>
    </row>
    <row r="94" spans="1:12" x14ac:dyDescent="0.25">
      <c r="A94" s="156" t="s">
        <v>11</v>
      </c>
      <c r="B94" s="157" t="s">
        <v>53</v>
      </c>
      <c r="C94" s="158">
        <f>C95+C100+C101+C104+C105</f>
        <v>1000000000</v>
      </c>
      <c r="D94" s="158">
        <f>D95+D100+D101+D104+D105</f>
        <v>0</v>
      </c>
      <c r="E94" s="158">
        <f>E95+E100+E101+E104+E105</f>
        <v>0</v>
      </c>
      <c r="F94" s="158">
        <f t="shared" si="6"/>
        <v>1000000000</v>
      </c>
      <c r="G94" s="158">
        <f>G95+G100+G101+G104+G105</f>
        <v>1566169657</v>
      </c>
      <c r="H94" s="158">
        <f>H95+H100+H101+H104+H105</f>
        <v>0</v>
      </c>
      <c r="I94" s="158">
        <f>I95+I100+I101+I104+I105</f>
        <v>0</v>
      </c>
      <c r="J94" s="158">
        <f>SUM(G94:I94)</f>
        <v>1566169657</v>
      </c>
      <c r="K94" s="158">
        <f>+K95+K100+K101+K104</f>
        <v>186454375</v>
      </c>
      <c r="L94" s="60"/>
    </row>
    <row r="95" spans="1:12" x14ac:dyDescent="0.25">
      <c r="A95" s="11"/>
      <c r="B95" s="165" t="s">
        <v>98</v>
      </c>
      <c r="C95" s="86">
        <f t="shared" ref="C95:J95" si="8">SUM(C96:C99)</f>
        <v>0</v>
      </c>
      <c r="D95" s="86">
        <f t="shared" si="8"/>
        <v>0</v>
      </c>
      <c r="E95" s="86">
        <f t="shared" si="8"/>
        <v>0</v>
      </c>
      <c r="F95" s="86">
        <f t="shared" si="8"/>
        <v>0</v>
      </c>
      <c r="G95" s="86">
        <f t="shared" si="8"/>
        <v>0</v>
      </c>
      <c r="H95" s="86">
        <f t="shared" si="8"/>
        <v>0</v>
      </c>
      <c r="I95" s="86">
        <f t="shared" si="8"/>
        <v>0</v>
      </c>
      <c r="J95" s="86">
        <f t="shared" si="8"/>
        <v>0</v>
      </c>
      <c r="K95" s="86">
        <f>+K96+K98+K99++K100</f>
        <v>0</v>
      </c>
    </row>
    <row r="96" spans="1:12" x14ac:dyDescent="0.25">
      <c r="A96" s="11"/>
      <c r="B96" s="94" t="s">
        <v>99</v>
      </c>
      <c r="C96" s="13">
        <v>0</v>
      </c>
      <c r="D96" s="13"/>
      <c r="E96" s="13">
        <v>0</v>
      </c>
      <c r="F96" s="13">
        <f>SUM(C96:E96)</f>
        <v>0</v>
      </c>
      <c r="G96" s="13">
        <v>0</v>
      </c>
      <c r="H96" s="13"/>
      <c r="I96" s="13">
        <v>0</v>
      </c>
      <c r="J96" s="13">
        <f>SUM(G96:I96)</f>
        <v>0</v>
      </c>
      <c r="K96" s="13"/>
    </row>
    <row r="97" spans="1:12" hidden="1" x14ac:dyDescent="0.25">
      <c r="A97" s="11"/>
      <c r="B97" s="94"/>
      <c r="C97" s="13"/>
      <c r="D97" s="13"/>
      <c r="E97" s="13"/>
      <c r="F97" s="13">
        <f>SUM(C97:E97)</f>
        <v>0</v>
      </c>
      <c r="G97" s="13"/>
      <c r="H97" s="13"/>
      <c r="I97" s="13"/>
      <c r="J97" s="13">
        <f>SUM(G97:I97)</f>
        <v>0</v>
      </c>
      <c r="K97" s="13"/>
    </row>
    <row r="98" spans="1:12" x14ac:dyDescent="0.25">
      <c r="A98" s="11"/>
      <c r="B98" s="94" t="s">
        <v>101</v>
      </c>
      <c r="C98" s="13">
        <v>0</v>
      </c>
      <c r="D98" s="13">
        <v>0</v>
      </c>
      <c r="E98" s="13">
        <v>0</v>
      </c>
      <c r="F98" s="13">
        <f>SUM(C98:E98)</f>
        <v>0</v>
      </c>
      <c r="G98" s="13">
        <v>0</v>
      </c>
      <c r="H98" s="13">
        <v>0</v>
      </c>
      <c r="I98" s="13">
        <v>0</v>
      </c>
      <c r="J98" s="13">
        <f>SUM(G98:I98)</f>
        <v>0</v>
      </c>
      <c r="K98" s="13"/>
    </row>
    <row r="99" spans="1:12" x14ac:dyDescent="0.25">
      <c r="A99" s="11"/>
      <c r="B99" s="94" t="s">
        <v>102</v>
      </c>
      <c r="C99" s="13">
        <v>0</v>
      </c>
      <c r="D99" s="13">
        <v>0</v>
      </c>
      <c r="E99" s="13">
        <v>0</v>
      </c>
      <c r="F99" s="13">
        <f t="shared" ref="F99:F104" si="9">SUM(C99:E99)</f>
        <v>0</v>
      </c>
      <c r="G99" s="13">
        <v>0</v>
      </c>
      <c r="H99" s="13">
        <v>0</v>
      </c>
      <c r="I99" s="13">
        <v>0</v>
      </c>
      <c r="J99" s="13">
        <f t="shared" ref="J99:J104" si="10">SUM(G99:I99)</f>
        <v>0</v>
      </c>
      <c r="K99" s="13"/>
    </row>
    <row r="100" spans="1:12" x14ac:dyDescent="0.25">
      <c r="A100" s="11"/>
      <c r="B100" s="165" t="s">
        <v>355</v>
      </c>
      <c r="C100" s="86">
        <v>0</v>
      </c>
      <c r="D100" s="86">
        <v>0</v>
      </c>
      <c r="E100" s="86">
        <v>0</v>
      </c>
      <c r="F100" s="86">
        <f t="shared" si="9"/>
        <v>0</v>
      </c>
      <c r="G100" s="86">
        <v>0</v>
      </c>
      <c r="H100" s="86">
        <v>0</v>
      </c>
      <c r="I100" s="86">
        <v>0</v>
      </c>
      <c r="J100" s="86">
        <f t="shared" si="10"/>
        <v>0</v>
      </c>
      <c r="K100" s="86">
        <v>0</v>
      </c>
    </row>
    <row r="101" spans="1:12" x14ac:dyDescent="0.25">
      <c r="A101" s="11"/>
      <c r="B101" s="165" t="s">
        <v>104</v>
      </c>
      <c r="C101" s="166">
        <f>C102+C103</f>
        <v>1000000000</v>
      </c>
      <c r="D101" s="166">
        <f>D102+D103</f>
        <v>0</v>
      </c>
      <c r="E101" s="166">
        <f>E102+E103</f>
        <v>0</v>
      </c>
      <c r="F101" s="166">
        <f t="shared" si="9"/>
        <v>1000000000</v>
      </c>
      <c r="G101" s="166">
        <f>G102+G103</f>
        <v>1379715282</v>
      </c>
      <c r="H101" s="166">
        <f>H102+H103</f>
        <v>0</v>
      </c>
      <c r="I101" s="166">
        <f>I102+I103</f>
        <v>0</v>
      </c>
      <c r="J101" s="166">
        <f t="shared" si="10"/>
        <v>1379715282</v>
      </c>
      <c r="K101" s="166">
        <f>+K102+K103</f>
        <v>0</v>
      </c>
      <c r="L101" s="60"/>
    </row>
    <row r="102" spans="1:12" x14ac:dyDescent="0.25">
      <c r="A102" s="11"/>
      <c r="B102" s="94" t="s">
        <v>356</v>
      </c>
      <c r="C102" s="137">
        <v>0</v>
      </c>
      <c r="D102" s="137">
        <v>0</v>
      </c>
      <c r="E102" s="137">
        <v>0</v>
      </c>
      <c r="F102" s="137">
        <f t="shared" si="9"/>
        <v>0</v>
      </c>
      <c r="G102" s="137">
        <v>379715282</v>
      </c>
      <c r="H102" s="137">
        <v>0</v>
      </c>
      <c r="I102" s="137">
        <v>0</v>
      </c>
      <c r="J102" s="137">
        <f t="shared" si="10"/>
        <v>379715282</v>
      </c>
      <c r="K102" s="137"/>
    </row>
    <row r="103" spans="1:12" x14ac:dyDescent="0.25">
      <c r="A103" s="11"/>
      <c r="B103" s="94" t="s">
        <v>357</v>
      </c>
      <c r="C103" s="13">
        <f>800000000+200000000</f>
        <v>1000000000</v>
      </c>
      <c r="D103" s="13"/>
      <c r="E103" s="13">
        <v>0</v>
      </c>
      <c r="F103" s="13">
        <f t="shared" si="9"/>
        <v>1000000000</v>
      </c>
      <c r="G103" s="13">
        <f>800000000+200000000</f>
        <v>1000000000</v>
      </c>
      <c r="H103" s="13"/>
      <c r="I103" s="13">
        <v>0</v>
      </c>
      <c r="J103" s="13">
        <f t="shared" si="10"/>
        <v>1000000000</v>
      </c>
      <c r="K103" s="13"/>
    </row>
    <row r="104" spans="1:12" x14ac:dyDescent="0.25">
      <c r="A104" s="11"/>
      <c r="B104" s="165" t="s">
        <v>358</v>
      </c>
      <c r="C104" s="86">
        <v>0</v>
      </c>
      <c r="D104" s="86">
        <v>0</v>
      </c>
      <c r="E104" s="86">
        <v>0</v>
      </c>
      <c r="F104" s="86">
        <f t="shared" si="9"/>
        <v>0</v>
      </c>
      <c r="G104" s="86">
        <f>50993528+32192282+23227093+38950756+41090716</f>
        <v>186454375</v>
      </c>
      <c r="H104" s="86">
        <v>0</v>
      </c>
      <c r="I104" s="86">
        <v>0</v>
      </c>
      <c r="J104" s="86">
        <f t="shared" si="10"/>
        <v>186454375</v>
      </c>
      <c r="K104" s="86">
        <v>186454375</v>
      </c>
      <c r="L104" s="60"/>
    </row>
    <row r="105" spans="1:12" hidden="1" x14ac:dyDescent="0.25">
      <c r="A105" s="11"/>
      <c r="B105" s="165" t="s">
        <v>106</v>
      </c>
      <c r="C105" s="86">
        <v>0</v>
      </c>
      <c r="D105" s="86"/>
      <c r="E105" s="86">
        <v>0</v>
      </c>
      <c r="F105" s="86"/>
      <c r="G105" s="86">
        <v>0</v>
      </c>
      <c r="H105" s="86"/>
      <c r="I105" s="86">
        <v>0</v>
      </c>
      <c r="J105" s="86"/>
      <c r="K105" s="86"/>
    </row>
    <row r="106" spans="1:12" x14ac:dyDescent="0.25">
      <c r="A106" s="156" t="s">
        <v>14</v>
      </c>
      <c r="B106" s="157" t="s">
        <v>55</v>
      </c>
      <c r="C106" s="158">
        <f>C107+C108</f>
        <v>0</v>
      </c>
      <c r="D106" s="158">
        <f>D107+D108</f>
        <v>0</v>
      </c>
      <c r="E106" s="158">
        <f>E107+E108</f>
        <v>0</v>
      </c>
      <c r="F106" s="158">
        <f>SUM(C106:E106)</f>
        <v>0</v>
      </c>
      <c r="G106" s="158">
        <f>G107+G108</f>
        <v>0</v>
      </c>
      <c r="H106" s="158">
        <f>H107+H108</f>
        <v>0</v>
      </c>
      <c r="I106" s="158">
        <f>I107+I108</f>
        <v>0</v>
      </c>
      <c r="J106" s="158">
        <f t="shared" ref="J106:K108" si="11">SUM(G106:I106)</f>
        <v>0</v>
      </c>
      <c r="K106" s="169">
        <f t="shared" si="11"/>
        <v>0</v>
      </c>
    </row>
    <row r="107" spans="1:12" hidden="1" x14ac:dyDescent="0.25">
      <c r="A107" s="11"/>
      <c r="B107" s="165" t="s">
        <v>107</v>
      </c>
      <c r="C107" s="86">
        <v>0</v>
      </c>
      <c r="D107" s="86">
        <v>0</v>
      </c>
      <c r="E107" s="86">
        <v>0</v>
      </c>
      <c r="F107" s="86">
        <f>SUM(C107:E107)</f>
        <v>0</v>
      </c>
      <c r="G107" s="86">
        <v>0</v>
      </c>
      <c r="H107" s="86">
        <v>0</v>
      </c>
      <c r="I107" s="86">
        <v>0</v>
      </c>
      <c r="J107" s="86">
        <f t="shared" si="11"/>
        <v>0</v>
      </c>
      <c r="K107" s="86">
        <f t="shared" si="11"/>
        <v>0</v>
      </c>
    </row>
    <row r="108" spans="1:12" hidden="1" x14ac:dyDescent="0.25">
      <c r="A108" s="11"/>
      <c r="B108" s="165" t="s">
        <v>108</v>
      </c>
      <c r="C108" s="86">
        <v>0</v>
      </c>
      <c r="D108" s="86">
        <v>0</v>
      </c>
      <c r="E108" s="86">
        <v>0</v>
      </c>
      <c r="F108" s="86">
        <f>SUM(C108:E108)</f>
        <v>0</v>
      </c>
      <c r="G108" s="86">
        <v>0</v>
      </c>
      <c r="H108" s="86">
        <v>0</v>
      </c>
      <c r="I108" s="86">
        <v>0</v>
      </c>
      <c r="J108" s="86">
        <f t="shared" si="11"/>
        <v>0</v>
      </c>
      <c r="K108" s="86">
        <f t="shared" si="11"/>
        <v>0</v>
      </c>
    </row>
    <row r="109" spans="1:12" x14ac:dyDescent="0.25">
      <c r="A109" s="33"/>
      <c r="B109" s="34" t="s">
        <v>57</v>
      </c>
      <c r="C109" s="36">
        <f>C93+C63+C5</f>
        <v>5897172291</v>
      </c>
      <c r="D109" s="36">
        <f>D93+D63+D5</f>
        <v>50138615</v>
      </c>
      <c r="E109" s="36">
        <f>E93+E63+E5</f>
        <v>0</v>
      </c>
      <c r="F109" s="36">
        <f>SUM(C109:E109)</f>
        <v>5947310906</v>
      </c>
      <c r="G109" s="36">
        <f>G93+G63+G5</f>
        <v>6506830743</v>
      </c>
      <c r="H109" s="36">
        <f>H93+H63+H5</f>
        <v>50138615</v>
      </c>
      <c r="I109" s="36">
        <f>I93+I63+I5</f>
        <v>0</v>
      </c>
      <c r="J109" s="36">
        <f>SUM(G109:I109)</f>
        <v>6556969358</v>
      </c>
      <c r="K109" s="36">
        <f>+K5+K93+K63</f>
        <v>2210642876</v>
      </c>
    </row>
    <row r="110" spans="1:12" x14ac:dyDescent="0.25">
      <c r="J110" s="60">
        <f>+J109-F109</f>
        <v>609658452</v>
      </c>
    </row>
    <row r="111" spans="1:12" x14ac:dyDescent="0.25">
      <c r="J111" s="60">
        <f>+J109-'[6]2B Önk kiad'!J44</f>
        <v>0</v>
      </c>
    </row>
    <row r="112" spans="1:12" x14ac:dyDescent="0.25">
      <c r="F112" s="60"/>
      <c r="J112" s="60"/>
    </row>
    <row r="113" spans="6:10" x14ac:dyDescent="0.25">
      <c r="J113" s="60"/>
    </row>
    <row r="114" spans="6:10" x14ac:dyDescent="0.25">
      <c r="F114" s="60"/>
      <c r="J114" s="60"/>
    </row>
  </sheetData>
  <mergeCells count="5">
    <mergeCell ref="A3:A4"/>
    <mergeCell ref="B3:B4"/>
    <mergeCell ref="C3:F3"/>
    <mergeCell ref="G3:J3"/>
    <mergeCell ref="K3:K4"/>
  </mergeCells>
  <printOptions horizontalCentered="1"/>
  <pageMargins left="0.19685039370078741" right="0.19685039370078741" top="0.73" bottom="0.43" header="0.31496062992125984" footer="0.2"/>
  <pageSetup paperSize="8" scale="75" fitToHeight="2" orientation="portrait" r:id="rId1"/>
  <headerFooter>
    <oddHeader>&amp;L2/A.  melléklet a ......./2020. (.................) önkormányzati rendelethez&amp;C&amp;"-,Félkövér"&amp;16
Az Önkormányzat 2020. évi bevételei forrásonként és feladatonként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6777-6353-447E-9EE1-618FDE657C97}">
  <dimension ref="A1:M50"/>
  <sheetViews>
    <sheetView view="pageBreakPreview" zoomScale="91" zoomScaleNormal="100" zoomScaleSheetLayoutView="91" workbookViewId="0">
      <selection activeCell="L1" sqref="L1:M1048576"/>
    </sheetView>
  </sheetViews>
  <sheetFormatPr defaultRowHeight="15" x14ac:dyDescent="0.25"/>
  <cols>
    <col min="1" max="1" width="4.7109375" style="67" customWidth="1"/>
    <col min="2" max="2" width="48.7109375" style="84" customWidth="1"/>
    <col min="3" max="3" width="13.7109375" style="68" customWidth="1"/>
    <col min="4" max="4" width="15" style="68" customWidth="1"/>
    <col min="5" max="5" width="14.85546875" style="68" customWidth="1"/>
    <col min="6" max="6" width="15.7109375" style="99" customWidth="1"/>
    <col min="7" max="7" width="13.7109375" style="68" customWidth="1"/>
    <col min="8" max="8" width="15" style="68" customWidth="1"/>
    <col min="9" max="9" width="14.85546875" style="68" customWidth="1"/>
    <col min="10" max="10" width="15.7109375" style="99" customWidth="1"/>
    <col min="11" max="11" width="16.140625" style="68" hidden="1" customWidth="1"/>
    <col min="12" max="12" width="15.140625" style="68" customWidth="1"/>
    <col min="13" max="13" width="12.28515625" style="68" customWidth="1"/>
    <col min="14" max="16384" width="9.140625" style="68"/>
  </cols>
  <sheetData>
    <row r="1" spans="1:13" x14ac:dyDescent="0.25">
      <c r="F1" s="70"/>
      <c r="J1" s="68" t="s">
        <v>359</v>
      </c>
    </row>
    <row r="2" spans="1:13" ht="30" x14ac:dyDescent="0.25">
      <c r="A2" s="154" t="s">
        <v>310</v>
      </c>
      <c r="B2" s="154" t="s">
        <v>311</v>
      </c>
      <c r="C2" s="155"/>
      <c r="D2" s="155"/>
      <c r="E2" s="155"/>
      <c r="F2" s="170"/>
      <c r="G2" s="155"/>
      <c r="H2" s="155"/>
      <c r="I2" s="155"/>
      <c r="J2" s="170"/>
      <c r="K2" s="170"/>
    </row>
    <row r="3" spans="1:13" ht="48.75" customHeight="1" x14ac:dyDescent="0.25">
      <c r="A3" s="418" t="s">
        <v>1</v>
      </c>
      <c r="B3" s="418" t="s">
        <v>7</v>
      </c>
      <c r="C3" s="419" t="s">
        <v>6</v>
      </c>
      <c r="D3" s="420"/>
      <c r="E3" s="420"/>
      <c r="F3" s="421"/>
      <c r="G3" s="419" t="s">
        <v>59</v>
      </c>
      <c r="H3" s="420"/>
      <c r="I3" s="420"/>
      <c r="J3" s="421"/>
      <c r="K3" s="418" t="s">
        <v>60</v>
      </c>
    </row>
    <row r="4" spans="1:13" ht="45" x14ac:dyDescent="0.25">
      <c r="A4" s="418"/>
      <c r="B4" s="418"/>
      <c r="C4" s="4" t="s">
        <v>61</v>
      </c>
      <c r="D4" s="4" t="s">
        <v>62</v>
      </c>
      <c r="E4" s="4" t="s">
        <v>63</v>
      </c>
      <c r="F4" s="71" t="s">
        <v>64</v>
      </c>
      <c r="G4" s="4" t="s">
        <v>61</v>
      </c>
      <c r="H4" s="4" t="s">
        <v>62</v>
      </c>
      <c r="I4" s="4" t="s">
        <v>63</v>
      </c>
      <c r="J4" s="71" t="s">
        <v>64</v>
      </c>
      <c r="K4" s="418"/>
    </row>
    <row r="5" spans="1:13" x14ac:dyDescent="0.25">
      <c r="A5" s="171"/>
      <c r="B5" s="159" t="s">
        <v>360</v>
      </c>
      <c r="C5" s="172">
        <v>11</v>
      </c>
      <c r="D5" s="172">
        <v>0</v>
      </c>
      <c r="E5" s="172">
        <v>0</v>
      </c>
      <c r="F5" s="173">
        <f>SUM(C5:E5)</f>
        <v>11</v>
      </c>
      <c r="G5" s="172">
        <v>11</v>
      </c>
      <c r="H5" s="172">
        <v>0</v>
      </c>
      <c r="I5" s="172">
        <v>0</v>
      </c>
      <c r="J5" s="173">
        <f t="shared" ref="J5:K38" si="0">SUM(G5:I5)</f>
        <v>11</v>
      </c>
    </row>
    <row r="6" spans="1:13" x14ac:dyDescent="0.25">
      <c r="A6" s="171"/>
      <c r="B6" s="159" t="s">
        <v>361</v>
      </c>
      <c r="C6" s="172">
        <v>0</v>
      </c>
      <c r="D6" s="172">
        <v>0</v>
      </c>
      <c r="E6" s="172">
        <v>0</v>
      </c>
      <c r="F6" s="173">
        <f t="shared" ref="F6:F38" si="1">SUM(C6:E6)</f>
        <v>0</v>
      </c>
      <c r="G6" s="172">
        <v>0</v>
      </c>
      <c r="H6" s="172">
        <v>0</v>
      </c>
      <c r="I6" s="172">
        <v>0</v>
      </c>
      <c r="J6" s="173">
        <f t="shared" si="0"/>
        <v>0</v>
      </c>
    </row>
    <row r="7" spans="1:13" x14ac:dyDescent="0.25">
      <c r="A7" s="72" t="s">
        <v>8</v>
      </c>
      <c r="B7" s="174" t="s">
        <v>109</v>
      </c>
      <c r="C7" s="175">
        <f>C8+C9+C10+C11+C12</f>
        <v>1110576606</v>
      </c>
      <c r="D7" s="175">
        <f>D8+D9+D10+D11+D12</f>
        <v>554189765</v>
      </c>
      <c r="E7" s="175">
        <f>E8+E9+E10+E11+E12</f>
        <v>0</v>
      </c>
      <c r="F7" s="102">
        <f>SUM(C7:E7)</f>
        <v>1664766371</v>
      </c>
      <c r="G7" s="175">
        <f>G8+G9+G10+G11+G12</f>
        <v>1188232049</v>
      </c>
      <c r="H7" s="175">
        <f>H8+H9+H10+H11+H12</f>
        <v>610857510</v>
      </c>
      <c r="I7" s="175">
        <f>I8+I9+I10+I11+I12</f>
        <v>0</v>
      </c>
      <c r="J7" s="102">
        <f t="shared" si="0"/>
        <v>1799089559</v>
      </c>
      <c r="K7" s="102">
        <f>SUM(K8:K12)</f>
        <v>488128804</v>
      </c>
      <c r="L7" s="176"/>
    </row>
    <row r="8" spans="1:13" x14ac:dyDescent="0.25">
      <c r="A8" s="77" t="s">
        <v>11</v>
      </c>
      <c r="B8" s="177" t="s">
        <v>13</v>
      </c>
      <c r="C8" s="178">
        <f>'[6]2C Önk bev kiad fel'!E17+'[6]2C Önk bev kiad fel'!E22+'[6]2C Önk bev kiad fel'!E44+'[6]2C Önk bev kiad fel'!E66</f>
        <v>132280000</v>
      </c>
      <c r="D8" s="178">
        <f>'[6]2C Önk bev kiad fel'!E81+'[6]2C Önk bev kiad fel'!E85+'[6]2C Önk bev kiad fel'!E109+'[6]2C Önk bev kiad fel'!E156+'[6]2C Önk bev kiad fel'!E178+'[6]2C Önk bev kiad fel'!E184+'[6]2C Önk bev kiad fel'!E171+'[6]2C Önk bev kiad fel'!E212+'[6]2C Önk bev kiad fel'!E194</f>
        <v>67548320</v>
      </c>
      <c r="E8" s="178"/>
      <c r="F8" s="106">
        <f t="shared" si="1"/>
        <v>199828320</v>
      </c>
      <c r="G8" s="178">
        <f>'[6]2C Önk bev kiad fel'!I17+'[6]2C Önk bev kiad fel'!I22+'[6]2C Önk bev kiad fel'!I44+'[6]2C Önk bev kiad fel'!I66</f>
        <v>132280000</v>
      </c>
      <c r="H8" s="178">
        <f>'[6]2C Önk bev kiad fel'!I81+'[6]2C Önk bev kiad fel'!I85+'[6]2C Önk bev kiad fel'!I109+'[6]2C Önk bev kiad fel'!I156+'[6]2C Önk bev kiad fel'!I178+'[6]2C Önk bev kiad fel'!I184+'[6]2C Önk bev kiad fel'!I171+'[6]2C Önk bev kiad fel'!I212+'[6]2C Önk bev kiad fel'!I194</f>
        <v>63884007</v>
      </c>
      <c r="I8" s="178"/>
      <c r="J8" s="106">
        <f t="shared" si="0"/>
        <v>196164007</v>
      </c>
      <c r="K8" s="106">
        <f>+'[6]2C Önk bev kiad fel'!J229</f>
        <v>48197367</v>
      </c>
      <c r="L8" s="176"/>
      <c r="M8" s="76"/>
    </row>
    <row r="9" spans="1:13" ht="30" x14ac:dyDescent="0.25">
      <c r="A9" s="77" t="s">
        <v>14</v>
      </c>
      <c r="B9" s="177" t="s">
        <v>16</v>
      </c>
      <c r="C9" s="178">
        <f>'[6]2C Önk bev kiad fel'!E18+'[6]2C Önk bev kiad fel'!E23+'[6]2C Önk bev kiad fel'!E45+'[6]2C Önk bev kiad fel'!E67</f>
        <v>24013000</v>
      </c>
      <c r="D9" s="178">
        <f>'[6]2C Önk bev kiad fel'!E82+'[6]2C Önk bev kiad fel'!E86+'[6]2C Önk bev kiad fel'!E110+'[6]2C Önk bev kiad fel'!E157+'[6]2C Önk bev kiad fel'!E172+'[6]2C Önk bev kiad fel'!E179+'[6]2C Önk bev kiad fel'!E185+'[6]2C Önk bev kiad fel'!E213+'[6]2C Önk bev kiad fel'!E195</f>
        <v>9733000</v>
      </c>
      <c r="E9" s="178"/>
      <c r="F9" s="106">
        <f t="shared" si="1"/>
        <v>33746000</v>
      </c>
      <c r="G9" s="178">
        <f>'[6]2C Önk bev kiad fel'!I18+'[6]2C Önk bev kiad fel'!I23+'[6]2C Önk bev kiad fel'!I45+'[6]2C Önk bev kiad fel'!I67</f>
        <v>24013000</v>
      </c>
      <c r="H9" s="178">
        <f>'[6]2C Önk bev kiad fel'!I82+'[6]2C Önk bev kiad fel'!I86+'[6]2C Önk bev kiad fel'!I110+'[6]2C Önk bev kiad fel'!I157+'[6]2C Önk bev kiad fel'!I172+'[6]2C Önk bev kiad fel'!I179+'[6]2C Önk bev kiad fel'!I185+'[6]2C Önk bev kiad fel'!I213+'[6]2C Önk bev kiad fel'!I195</f>
        <v>9733000</v>
      </c>
      <c r="I9" s="178"/>
      <c r="J9" s="106">
        <f t="shared" si="0"/>
        <v>33746000</v>
      </c>
      <c r="K9" s="106">
        <f>+'[6]2C Önk bev kiad fel'!J230</f>
        <v>7546140</v>
      </c>
      <c r="L9" s="176"/>
      <c r="M9" s="76"/>
    </row>
    <row r="10" spans="1:13" x14ac:dyDescent="0.25">
      <c r="A10" s="77" t="s">
        <v>17</v>
      </c>
      <c r="B10" s="177" t="s">
        <v>19</v>
      </c>
      <c r="C10" s="106">
        <f>'[6]2C Önk bev kiad fel'!E10+'[6]2C Önk bev kiad fel'!E14+'[6]2C Önk bev kiad fel'!E19+'[6]2C Önk bev kiad fel'!E24+'[6]2C Önk bev kiad fel'!E27+'[6]2C Önk bev kiad fel'!E29+'[6]2C Önk bev kiad fel'!E31+'[6]2C Önk bev kiad fel'!E35+'[6]2C Önk bev kiad fel'!E40+'[6]2C Önk bev kiad fel'!E46+'[6]2C Önk bev kiad fel'!E54+'[6]2C Önk bev kiad fel'!E60+'[6]2C Önk bev kiad fel'!E70</f>
        <v>299972600</v>
      </c>
      <c r="D10" s="106">
        <f>'[6]2C Önk bev kiad fel'!E75+'[6]2C Önk bev kiad fel'!E78+'[6]2C Önk bev kiad fel'!E83+'[6]2C Önk bev kiad fel'!E89+'[6]2C Önk bev kiad fel'!E91+'[6]2C Önk bev kiad fel'!E93+'[6]2C Önk bev kiad fel'!E95+'[6]2C Önk bev kiad fel'!E97+'[6]2C Önk bev kiad fel'!E99+'[6]2C Önk bev kiad fel'!E101+'[6]2C Önk bev kiad fel'!E103+'[6]2C Önk bev kiad fel'!E107+'[6]2C Önk bev kiad fel'!E111+'[6]2C Önk bev kiad fel'!E133+'[6]2C Önk bev kiad fel'!E137+'[6]2C Önk bev kiad fel'!E151+'[6]2C Önk bev kiad fel'!E158+'[6]2C Önk bev kiad fel'!E166+'[6]2C Önk bev kiad fel'!E176+'[6]2C Önk bev kiad fel'!E182+'[6]2C Önk bev kiad fel'!E186+'[6]2C Önk bev kiad fel'!E173+'[6]2C Önk bev kiad fel'!E189+'[6]2C Önk bev kiad fel'!E192+'[6]2C Önk bev kiad fel'!E196+'[6]2C Önk bev kiad fel'!E214+'[6]2C Önk bev kiad fel'!E218+'[6]2C Önk bev kiad fel'!E216+'[6]2C Önk bev kiad fel'!E210+'[6]2C Önk bev kiad fel'!E206+'[6]2C Önk bev kiad fel'!E200</f>
        <v>153996445</v>
      </c>
      <c r="E10" s="106"/>
      <c r="F10" s="106">
        <f t="shared" si="1"/>
        <v>453969045</v>
      </c>
      <c r="G10" s="106">
        <f>'[6]2C Önk bev kiad fel'!I10+'[6]2C Önk bev kiad fel'!I14+'[6]2C Önk bev kiad fel'!I19+'[6]2C Önk bev kiad fel'!I24+'[6]2C Önk bev kiad fel'!I27+'[6]2C Önk bev kiad fel'!I29+'[6]2C Önk bev kiad fel'!I31+'[6]2C Önk bev kiad fel'!I35+'[6]2C Önk bev kiad fel'!I40+'[6]2C Önk bev kiad fel'!I46+'[6]2C Önk bev kiad fel'!I54+'[6]2C Önk bev kiad fel'!I60+'[6]2C Önk bev kiad fel'!I70</f>
        <v>373648566</v>
      </c>
      <c r="H10" s="106">
        <f>'[6]2C Önk bev kiad fel'!I75+'[6]2C Önk bev kiad fel'!I78+'[6]2C Önk bev kiad fel'!I83+'[6]2C Önk bev kiad fel'!I89+'[6]2C Önk bev kiad fel'!I91+'[6]2C Önk bev kiad fel'!I93+'[6]2C Önk bev kiad fel'!I95+'[6]2C Önk bev kiad fel'!I97+'[6]2C Önk bev kiad fel'!I99+'[6]2C Önk bev kiad fel'!I101+'[6]2C Önk bev kiad fel'!I103+'[6]2C Önk bev kiad fel'!I107+'[6]2C Önk bev kiad fel'!I111+'[6]2C Önk bev kiad fel'!I133+'[6]2C Önk bev kiad fel'!I137+'[6]2C Önk bev kiad fel'!I151+'[6]2C Önk bev kiad fel'!I158+'[6]2C Önk bev kiad fel'!I166+'[6]2C Önk bev kiad fel'!I176+'[6]2C Önk bev kiad fel'!I182+'[6]2C Önk bev kiad fel'!I186+'[6]2C Önk bev kiad fel'!I173+'[6]2C Önk bev kiad fel'!I189+'[6]2C Önk bev kiad fel'!I192+'[6]2C Önk bev kiad fel'!I196+'[6]2C Önk bev kiad fel'!I214+'[6]2C Önk bev kiad fel'!I218+'[6]2C Önk bev kiad fel'!I216+'[6]2C Önk bev kiad fel'!I210+'[6]2C Önk bev kiad fel'!I206+'[6]2C Önk bev kiad fel'!I200+'[6]2C Önk bev kiad fel'!I220</f>
        <v>216863003</v>
      </c>
      <c r="I10" s="106"/>
      <c r="J10" s="106">
        <f t="shared" si="0"/>
        <v>590511569</v>
      </c>
      <c r="K10" s="106">
        <f>+'[6]2C Önk bev kiad fel'!J231</f>
        <v>128072329</v>
      </c>
      <c r="L10" s="176"/>
      <c r="M10" s="76"/>
    </row>
    <row r="11" spans="1:13" x14ac:dyDescent="0.25">
      <c r="A11" s="77" t="s">
        <v>20</v>
      </c>
      <c r="B11" s="177" t="s">
        <v>22</v>
      </c>
      <c r="C11" s="106">
        <f>+'[6]2C Önk bev kiad fel'!E63</f>
        <v>18000000</v>
      </c>
      <c r="D11" s="106">
        <f>'[6]2C Önk bev kiad fel'!E154</f>
        <v>16000000</v>
      </c>
      <c r="E11" s="106"/>
      <c r="F11" s="106">
        <f>SUM(C11:E11)</f>
        <v>34000000</v>
      </c>
      <c r="G11" s="106">
        <f>+'[6]2C Önk bev kiad fel'!I63+'[6]2C Önk bev kiad fel'!I64</f>
        <v>48233000</v>
      </c>
      <c r="H11" s="106">
        <f>'[6]2C Önk bev kiad fel'!I154</f>
        <v>16484500</v>
      </c>
      <c r="I11" s="106"/>
      <c r="J11" s="106">
        <f t="shared" si="0"/>
        <v>64717500</v>
      </c>
      <c r="K11" s="106">
        <f>+'[6]2C Önk bev kiad fel'!J232</f>
        <v>23564881</v>
      </c>
      <c r="L11" s="176"/>
      <c r="M11" s="76"/>
    </row>
    <row r="12" spans="1:13" x14ac:dyDescent="0.25">
      <c r="A12" s="77" t="s">
        <v>23</v>
      </c>
      <c r="B12" s="177" t="s">
        <v>24</v>
      </c>
      <c r="C12" s="106">
        <f>SUM(C13:C17)</f>
        <v>636311006</v>
      </c>
      <c r="D12" s="106">
        <f>SUM(D13:D17)</f>
        <v>306912000</v>
      </c>
      <c r="E12" s="106">
        <f>SUM(E13:E17)</f>
        <v>0</v>
      </c>
      <c r="F12" s="106">
        <f t="shared" si="1"/>
        <v>943223006</v>
      </c>
      <c r="G12" s="106">
        <f>SUM(G13:G17)</f>
        <v>610057483</v>
      </c>
      <c r="H12" s="106">
        <f>SUM(H13:H17)</f>
        <v>303893000</v>
      </c>
      <c r="I12" s="106">
        <f>SUM(I13:I17)</f>
        <v>0</v>
      </c>
      <c r="J12" s="106">
        <f t="shared" si="0"/>
        <v>913950483</v>
      </c>
      <c r="K12" s="106">
        <f>+'[6]2C Önk bev kiad fel'!J233</f>
        <v>280748087</v>
      </c>
      <c r="L12" s="176"/>
      <c r="M12" s="76"/>
    </row>
    <row r="13" spans="1:13" x14ac:dyDescent="0.25">
      <c r="A13" s="81"/>
      <c r="B13" s="159" t="s">
        <v>110</v>
      </c>
      <c r="C13" s="179">
        <f>+'[6]2C Önk bev kiad fel'!E47</f>
        <v>444312663</v>
      </c>
      <c r="D13" s="179">
        <v>0</v>
      </c>
      <c r="E13" s="179">
        <v>0</v>
      </c>
      <c r="F13" s="179">
        <f t="shared" si="1"/>
        <v>444312663</v>
      </c>
      <c r="G13" s="179">
        <f>+'[6]2C Önk bev kiad fel'!I47</f>
        <v>446142774</v>
      </c>
      <c r="H13" s="179">
        <v>0</v>
      </c>
      <c r="I13" s="179">
        <v>0</v>
      </c>
      <c r="J13" s="179">
        <f t="shared" si="0"/>
        <v>446142774</v>
      </c>
      <c r="K13" s="179"/>
    </row>
    <row r="14" spans="1:13" s="84" customFormat="1" ht="30" x14ac:dyDescent="0.25">
      <c r="A14" s="81"/>
      <c r="B14" s="159" t="s">
        <v>111</v>
      </c>
      <c r="C14" s="179">
        <v>0</v>
      </c>
      <c r="D14" s="179">
        <v>0</v>
      </c>
      <c r="E14" s="179">
        <v>0</v>
      </c>
      <c r="F14" s="179">
        <f t="shared" si="1"/>
        <v>0</v>
      </c>
      <c r="G14" s="179">
        <v>0</v>
      </c>
      <c r="H14" s="179">
        <v>0</v>
      </c>
      <c r="I14" s="179">
        <v>0</v>
      </c>
      <c r="J14" s="179">
        <f t="shared" si="0"/>
        <v>0</v>
      </c>
      <c r="K14" s="179"/>
    </row>
    <row r="15" spans="1:13" s="84" customFormat="1" ht="30" x14ac:dyDescent="0.25">
      <c r="A15" s="81"/>
      <c r="B15" s="159" t="s">
        <v>112</v>
      </c>
      <c r="C15" s="179">
        <f>'[6]2C Önk bev kiad fel'!G87+'[6]2C Önk bev kiad fel'!G117+'[6]2C Önk bev kiad fel'!G114+'[6]2C Önk bev kiad fel'!G119+'[6]2C Önk bev kiad fel'!G123+'[6]2C Önk bev kiad fel'!G125</f>
        <v>0</v>
      </c>
      <c r="D15" s="179">
        <f>'[6]2C Önk bev kiad fel'!E87+'[6]2C Önk bev kiad fel'!E114+'[6]2C Önk bev kiad fel'!E117+'[6]2C Önk bev kiad fel'!E119+'[6]2C Önk bev kiad fel'!E123+'[6]2C Önk bev kiad fel'!E125</f>
        <v>48832000</v>
      </c>
      <c r="E15" s="179">
        <v>0</v>
      </c>
      <c r="F15" s="179">
        <f t="shared" si="1"/>
        <v>48832000</v>
      </c>
      <c r="G15" s="179">
        <f>'[6]2C Önk bev kiad fel'!K87+'[6]2C Önk bev kiad fel'!K117+'[6]2C Önk bev kiad fel'!K114+'[6]2C Önk bev kiad fel'!K119+'[6]2C Önk bev kiad fel'!K123+'[6]2C Önk bev kiad fel'!K125</f>
        <v>0</v>
      </c>
      <c r="H15" s="179">
        <f>'[6]2C Önk bev kiad fel'!I87+'[6]2C Önk bev kiad fel'!I114+'[6]2C Önk bev kiad fel'!I117+'[6]2C Önk bev kiad fel'!I119+'[6]2C Önk bev kiad fel'!I123+'[6]2C Önk bev kiad fel'!I125</f>
        <v>48832000</v>
      </c>
      <c r="I15" s="179">
        <v>0</v>
      </c>
      <c r="J15" s="179">
        <f t="shared" si="0"/>
        <v>48832000</v>
      </c>
      <c r="K15" s="179"/>
    </row>
    <row r="16" spans="1:13" ht="30" x14ac:dyDescent="0.25">
      <c r="A16" s="81"/>
      <c r="B16" s="159" t="s">
        <v>113</v>
      </c>
      <c r="C16" s="179">
        <v>0</v>
      </c>
      <c r="D16" s="180">
        <f>'[6]2C Önk bev kiad fel'!E127+'[6]2C Önk bev kiad fel'!E129+'[6]2C Önk bev kiad fel'!E131+'[6]2C Önk bev kiad fel'!E134+'[6]2C Önk bev kiad fel'!E136+'[6]2C Önk bev kiad fel'!E139+'[6]2C Önk bev kiad fel'!E142+'[6]2C Önk bev kiad fel'!E144+'[6]2C Önk bev kiad fel'!E149+'[6]2C Önk bev kiad fel'!E188+'[6]2C Önk bev kiad fel'!E160+'[6]2C Önk bev kiad fel'!E174</f>
        <v>258080000</v>
      </c>
      <c r="E16" s="180">
        <v>0</v>
      </c>
      <c r="F16" s="180">
        <f t="shared" si="1"/>
        <v>258080000</v>
      </c>
      <c r="G16" s="179">
        <v>0</v>
      </c>
      <c r="H16" s="180">
        <f>'[6]2C Önk bev kiad fel'!I127+'[6]2C Önk bev kiad fel'!I129+'[6]2C Önk bev kiad fel'!I131+'[6]2C Önk bev kiad fel'!I134+'[6]2C Önk bev kiad fel'!I136+'[6]2C Önk bev kiad fel'!I139+'[6]2C Önk bev kiad fel'!I142+'[6]2C Önk bev kiad fel'!I144+'[6]2C Önk bev kiad fel'!I147+'[6]2C Önk bev kiad fel'!I149+'[6]2C Önk bev kiad fel'!I188+'[6]2C Önk bev kiad fel'!I160+'[6]2C Önk bev kiad fel'!I174</f>
        <v>255061000</v>
      </c>
      <c r="I16" s="180">
        <v>0</v>
      </c>
      <c r="J16" s="180">
        <f t="shared" si="0"/>
        <v>255061000</v>
      </c>
      <c r="K16" s="180"/>
      <c r="L16" s="76"/>
    </row>
    <row r="17" spans="1:12" x14ac:dyDescent="0.25">
      <c r="A17" s="81"/>
      <c r="B17" s="159" t="s">
        <v>114</v>
      </c>
      <c r="C17" s="179">
        <f>C18+C19+C20</f>
        <v>191998343</v>
      </c>
      <c r="D17" s="179">
        <f>D18+D19+D20</f>
        <v>0</v>
      </c>
      <c r="E17" s="179">
        <f>E18+E19+E20</f>
        <v>0</v>
      </c>
      <c r="F17" s="179">
        <f t="shared" si="1"/>
        <v>191998343</v>
      </c>
      <c r="G17" s="179">
        <f>G18+G19+G20</f>
        <v>163914709</v>
      </c>
      <c r="H17" s="179">
        <f>H18+H19+H20</f>
        <v>0</v>
      </c>
      <c r="I17" s="179">
        <f>I18+I19+I20</f>
        <v>0</v>
      </c>
      <c r="J17" s="179">
        <f t="shared" si="0"/>
        <v>163914709</v>
      </c>
      <c r="K17" s="179">
        <f>SUM(K18:K20)</f>
        <v>0</v>
      </c>
    </row>
    <row r="18" spans="1:12" x14ac:dyDescent="0.25">
      <c r="A18" s="81"/>
      <c r="B18" s="93" t="s">
        <v>362</v>
      </c>
      <c r="C18" s="90">
        <f>'[6]2D Céltartalék'!B3</f>
        <v>80037488</v>
      </c>
      <c r="D18" s="90">
        <v>0</v>
      </c>
      <c r="E18" s="90">
        <v>0</v>
      </c>
      <c r="F18" s="90">
        <f t="shared" si="1"/>
        <v>80037488</v>
      </c>
      <c r="G18" s="90">
        <f>'[6]2D Céltartalék'!C3</f>
        <v>65945832</v>
      </c>
      <c r="H18" s="90">
        <v>0</v>
      </c>
      <c r="I18" s="90">
        <v>0</v>
      </c>
      <c r="J18" s="90">
        <f t="shared" si="0"/>
        <v>65945832</v>
      </c>
      <c r="K18" s="90"/>
    </row>
    <row r="19" spans="1:12" x14ac:dyDescent="0.25">
      <c r="A19" s="81"/>
      <c r="B19" s="93" t="s">
        <v>363</v>
      </c>
      <c r="C19" s="90">
        <f>'[6]2D Céltartalék'!B4</f>
        <v>108960855</v>
      </c>
      <c r="D19" s="90">
        <v>0</v>
      </c>
      <c r="E19" s="90">
        <f>'[6]2D Céltartalék'!L4</f>
        <v>0</v>
      </c>
      <c r="F19" s="90">
        <f t="shared" si="1"/>
        <v>108960855</v>
      </c>
      <c r="G19" s="90">
        <f>'[6]2D Céltartalék'!C4</f>
        <v>94968877</v>
      </c>
      <c r="H19" s="90">
        <v>0</v>
      </c>
      <c r="I19" s="90">
        <f>'[6]2D Céltartalék'!P4</f>
        <v>0</v>
      </c>
      <c r="J19" s="90">
        <f t="shared" si="0"/>
        <v>94968877</v>
      </c>
      <c r="K19" s="90"/>
    </row>
    <row r="20" spans="1:12" x14ac:dyDescent="0.25">
      <c r="A20" s="81"/>
      <c r="B20" s="93" t="s">
        <v>364</v>
      </c>
      <c r="C20" s="89">
        <f>'[6]2D Céltartalék'!B26</f>
        <v>3000000</v>
      </c>
      <c r="D20" s="89">
        <f>'[6]2D Céltartalék'!K26</f>
        <v>0</v>
      </c>
      <c r="E20" s="89">
        <f>'[6]2D Céltartalék'!L26</f>
        <v>0</v>
      </c>
      <c r="F20" s="90">
        <f t="shared" si="1"/>
        <v>3000000</v>
      </c>
      <c r="G20" s="89">
        <f>'[6]2D Céltartalék'!C26</f>
        <v>3000000</v>
      </c>
      <c r="H20" s="89">
        <f>'[6]2D Céltartalék'!O26</f>
        <v>0</v>
      </c>
      <c r="I20" s="89">
        <f>'[6]2D Céltartalék'!P26</f>
        <v>0</v>
      </c>
      <c r="J20" s="90">
        <f t="shared" si="0"/>
        <v>3000000</v>
      </c>
      <c r="K20" s="90"/>
    </row>
    <row r="21" spans="1:12" x14ac:dyDescent="0.25">
      <c r="A21" s="72" t="s">
        <v>27</v>
      </c>
      <c r="B21" s="174" t="s">
        <v>115</v>
      </c>
      <c r="C21" s="175">
        <f>C22+C23+C24</f>
        <v>960406190</v>
      </c>
      <c r="D21" s="175">
        <f>D22+D23+D24</f>
        <v>392408000</v>
      </c>
      <c r="E21" s="175">
        <f>E22+E23+E24</f>
        <v>0</v>
      </c>
      <c r="F21" s="102">
        <f>SUM(C21:E21)</f>
        <v>1352814190</v>
      </c>
      <c r="G21" s="175">
        <f>G22+G23+G24</f>
        <v>1017387377</v>
      </c>
      <c r="H21" s="175">
        <f>H22+H23+H24</f>
        <v>599212502</v>
      </c>
      <c r="I21" s="175">
        <f>I22+I23+I24</f>
        <v>0</v>
      </c>
      <c r="J21" s="102">
        <f t="shared" si="0"/>
        <v>1616599879</v>
      </c>
      <c r="K21" s="102">
        <f>+K22+K23+K24</f>
        <v>147426311</v>
      </c>
      <c r="L21" s="176"/>
    </row>
    <row r="22" spans="1:12" x14ac:dyDescent="0.25">
      <c r="A22" s="77" t="s">
        <v>11</v>
      </c>
      <c r="B22" s="177" t="s">
        <v>31</v>
      </c>
      <c r="C22" s="106">
        <f>'[6]2C Önk bev kiad fel'!E11+'[6]2C Önk bev kiad fel'!E15+'[6]2C Önk bev kiad fel'!E32+'[6]2C Önk bev kiad fel'!E36+'[6]2C Önk bev kiad fel'!E42+'[6]2C Önk bev kiad fel'!E49+'[6]2C Önk bev kiad fel'!E55</f>
        <v>744196350</v>
      </c>
      <c r="D22" s="106">
        <f>'[6]2C Önk bev kiad fel'!E79+'[6]2C Önk bev kiad fel'!E112+'[6]2C Önk bev kiad fel'!E167+'[6]2C Önk bev kiad fel'!E190+'[6]2C Önk bev kiad fel'!E175</f>
        <v>392408000</v>
      </c>
      <c r="E22" s="106"/>
      <c r="F22" s="106">
        <f>SUM(C22:E22)</f>
        <v>1136604350</v>
      </c>
      <c r="G22" s="106">
        <f>'[6]2C Önk bev kiad fel'!I11+'[6]2C Önk bev kiad fel'!I15+'[6]2C Önk bev kiad fel'!I32+'[6]2C Önk bev kiad fel'!I36+'[6]2C Önk bev kiad fel'!I42+'[6]2C Önk bev kiad fel'!I49+'[6]2C Önk bev kiad fel'!I55</f>
        <v>799740926</v>
      </c>
      <c r="H22" s="106">
        <f>'[6]2C Önk bev kiad fel'!I79+'[6]2C Önk bev kiad fel'!I112+'[6]2C Önk bev kiad fel'!I167+'[6]2C Önk bev kiad fel'!I190+'[6]2C Önk bev kiad fel'!I175+'[6]2C Önk bev kiad fel'!I162+'[6]2C Önk bev kiad fel'!I221</f>
        <v>571066901</v>
      </c>
      <c r="I22" s="106"/>
      <c r="J22" s="106">
        <f t="shared" si="0"/>
        <v>1370807827</v>
      </c>
      <c r="K22" s="106">
        <f>+'[6]2C Önk bev kiad fel'!J234</f>
        <v>141999855</v>
      </c>
      <c r="L22" s="176"/>
    </row>
    <row r="23" spans="1:12" x14ac:dyDescent="0.25">
      <c r="A23" s="77" t="s">
        <v>14</v>
      </c>
      <c r="B23" s="177" t="s">
        <v>33</v>
      </c>
      <c r="C23" s="106">
        <f>'[6]2C Önk bev kiad fel'!E56+'[6]2C Önk bev kiad fel'!E72</f>
        <v>215509840</v>
      </c>
      <c r="D23" s="106">
        <f>'[6]2C Önk bev kiad fel'!E168+'[6]2C Önk bev kiad fel'!E176</f>
        <v>0</v>
      </c>
      <c r="E23" s="106"/>
      <c r="F23" s="106">
        <f t="shared" si="1"/>
        <v>215509840</v>
      </c>
      <c r="G23" s="106">
        <f>'[6]2C Önk bev kiad fel'!I56+'[6]2C Önk bev kiad fel'!I72+'[6]2C Önk bev kiad fel'!I50</f>
        <v>216246451</v>
      </c>
      <c r="H23" s="106">
        <f>'[6]2C Önk bev kiad fel'!I168+'[6]2C Önk bev kiad fel'!I176</f>
        <v>28145601</v>
      </c>
      <c r="I23" s="106"/>
      <c r="J23" s="106">
        <f t="shared" si="0"/>
        <v>244392052</v>
      </c>
      <c r="K23" s="106">
        <f>+'[6]2C Önk bev kiad fel'!J235</f>
        <v>5426456</v>
      </c>
      <c r="L23" s="176"/>
    </row>
    <row r="24" spans="1:12" x14ac:dyDescent="0.25">
      <c r="A24" s="77" t="s">
        <v>17</v>
      </c>
      <c r="B24" s="177" t="s">
        <v>35</v>
      </c>
      <c r="C24" s="178">
        <f>SUM(C25:C29)</f>
        <v>700000</v>
      </c>
      <c r="D24" s="178">
        <f>SUM(D25:D29)</f>
        <v>0</v>
      </c>
      <c r="E24" s="178">
        <f>SUM(E25:E29)</f>
        <v>0</v>
      </c>
      <c r="F24" s="106">
        <f t="shared" si="1"/>
        <v>700000</v>
      </c>
      <c r="G24" s="178">
        <f>SUM(G25:G29)</f>
        <v>1400000</v>
      </c>
      <c r="H24" s="178">
        <f>SUM(H25:H29)</f>
        <v>0</v>
      </c>
      <c r="I24" s="178">
        <f>SUM(I25:I29)</f>
        <v>0</v>
      </c>
      <c r="J24" s="106">
        <f t="shared" si="0"/>
        <v>1400000</v>
      </c>
      <c r="K24" s="106">
        <f>+'[6]2C Önk bev kiad fel'!J236</f>
        <v>0</v>
      </c>
      <c r="L24" s="176"/>
    </row>
    <row r="25" spans="1:12" ht="30" x14ac:dyDescent="0.25">
      <c r="A25" s="81"/>
      <c r="B25" s="159" t="s">
        <v>116</v>
      </c>
      <c r="C25" s="181">
        <v>0</v>
      </c>
      <c r="D25" s="181">
        <v>0</v>
      </c>
      <c r="E25" s="181">
        <v>0</v>
      </c>
      <c r="F25" s="179">
        <f t="shared" si="1"/>
        <v>0</v>
      </c>
      <c r="G25" s="181">
        <v>0</v>
      </c>
      <c r="H25" s="181">
        <v>0</v>
      </c>
      <c r="I25" s="181">
        <v>0</v>
      </c>
      <c r="J25" s="179">
        <f t="shared" si="0"/>
        <v>0</v>
      </c>
      <c r="K25" s="179"/>
    </row>
    <row r="26" spans="1:12" ht="26.25" customHeight="1" x14ac:dyDescent="0.25">
      <c r="A26" s="81"/>
      <c r="B26" s="159" t="s">
        <v>117</v>
      </c>
      <c r="C26" s="181">
        <v>0</v>
      </c>
      <c r="D26" s="181">
        <v>0</v>
      </c>
      <c r="E26" s="181">
        <v>0</v>
      </c>
      <c r="F26" s="179">
        <f t="shared" si="1"/>
        <v>0</v>
      </c>
      <c r="G26" s="181">
        <v>0</v>
      </c>
      <c r="H26" s="181">
        <v>0</v>
      </c>
      <c r="I26" s="181">
        <v>0</v>
      </c>
      <c r="J26" s="179">
        <f t="shared" si="0"/>
        <v>0</v>
      </c>
      <c r="K26" s="179"/>
    </row>
    <row r="27" spans="1:12" x14ac:dyDescent="0.25">
      <c r="A27" s="81"/>
      <c r="B27" s="159" t="s">
        <v>118</v>
      </c>
      <c r="C27" s="181">
        <v>0</v>
      </c>
      <c r="D27" s="181">
        <v>0</v>
      </c>
      <c r="E27" s="181">
        <v>0</v>
      </c>
      <c r="F27" s="179">
        <f t="shared" si="1"/>
        <v>0</v>
      </c>
      <c r="G27" s="181">
        <v>0</v>
      </c>
      <c r="H27" s="181">
        <v>0</v>
      </c>
      <c r="I27" s="181">
        <v>0</v>
      </c>
      <c r="J27" s="179">
        <f t="shared" si="0"/>
        <v>0</v>
      </c>
      <c r="K27" s="179"/>
    </row>
    <row r="28" spans="1:12" ht="24" customHeight="1" x14ac:dyDescent="0.25">
      <c r="A28" s="81"/>
      <c r="B28" s="159" t="s">
        <v>119</v>
      </c>
      <c r="C28" s="181">
        <v>0</v>
      </c>
      <c r="D28" s="181">
        <v>0</v>
      </c>
      <c r="E28" s="181">
        <v>0</v>
      </c>
      <c r="F28" s="179">
        <f t="shared" si="1"/>
        <v>0</v>
      </c>
      <c r="G28" s="181">
        <v>0</v>
      </c>
      <c r="H28" s="181">
        <v>0</v>
      </c>
      <c r="I28" s="181">
        <v>0</v>
      </c>
      <c r="J28" s="179">
        <f t="shared" si="0"/>
        <v>0</v>
      </c>
      <c r="K28" s="179"/>
    </row>
    <row r="29" spans="1:12" ht="30" x14ac:dyDescent="0.25">
      <c r="A29" s="81"/>
      <c r="B29" s="159" t="s">
        <v>120</v>
      </c>
      <c r="C29" s="181">
        <f>'[6]2C Önk bev kiad fel'!E12</f>
        <v>700000</v>
      </c>
      <c r="D29" s="181">
        <v>0</v>
      </c>
      <c r="E29" s="181">
        <v>0</v>
      </c>
      <c r="F29" s="179">
        <f t="shared" si="1"/>
        <v>700000</v>
      </c>
      <c r="G29" s="181">
        <f>'[6]2C Önk bev kiad fel'!I12</f>
        <v>1400000</v>
      </c>
      <c r="H29" s="181">
        <v>0</v>
      </c>
      <c r="I29" s="181">
        <v>0</v>
      </c>
      <c r="J29" s="179">
        <f t="shared" si="0"/>
        <v>1400000</v>
      </c>
      <c r="K29" s="179"/>
    </row>
    <row r="30" spans="1:12" x14ac:dyDescent="0.25">
      <c r="A30" s="2"/>
      <c r="B30" s="91" t="s">
        <v>39</v>
      </c>
      <c r="C30" s="26">
        <f>C21+C7</f>
        <v>2070982796</v>
      </c>
      <c r="D30" s="26">
        <f>D21+D7</f>
        <v>946597765</v>
      </c>
      <c r="E30" s="26">
        <f>E21+E7</f>
        <v>0</v>
      </c>
      <c r="F30" s="92">
        <f>SUM(C30:E30)</f>
        <v>3017580561</v>
      </c>
      <c r="G30" s="26">
        <f>G21+G7</f>
        <v>2205619426</v>
      </c>
      <c r="H30" s="26">
        <f>H21+H7</f>
        <v>1210070012</v>
      </c>
      <c r="I30" s="26">
        <f>I21+I7</f>
        <v>0</v>
      </c>
      <c r="J30" s="92">
        <f t="shared" si="0"/>
        <v>3415689438</v>
      </c>
      <c r="K30" s="92">
        <f>+K7+K21</f>
        <v>635555115</v>
      </c>
      <c r="L30" s="176"/>
    </row>
    <row r="31" spans="1:12" x14ac:dyDescent="0.25">
      <c r="A31" s="72" t="s">
        <v>42</v>
      </c>
      <c r="B31" s="174" t="s">
        <v>44</v>
      </c>
      <c r="C31" s="175">
        <f>C32+C41</f>
        <v>180645000</v>
      </c>
      <c r="D31" s="175">
        <f>D32+D41</f>
        <v>0</v>
      </c>
      <c r="E31" s="175">
        <f>E32+E41</f>
        <v>2749085345</v>
      </c>
      <c r="F31" s="102">
        <f t="shared" si="1"/>
        <v>2929730345</v>
      </c>
      <c r="G31" s="175">
        <f>G32+G41</f>
        <v>180645000</v>
      </c>
      <c r="H31" s="175">
        <f>H32+H41</f>
        <v>0</v>
      </c>
      <c r="I31" s="175">
        <f>I32+I41</f>
        <v>2960634920</v>
      </c>
      <c r="J31" s="102">
        <f t="shared" si="0"/>
        <v>3141279920</v>
      </c>
      <c r="K31" s="102">
        <f>+K32</f>
        <v>1150493202</v>
      </c>
      <c r="L31" s="176"/>
    </row>
    <row r="32" spans="1:12" x14ac:dyDescent="0.25">
      <c r="A32" s="77" t="s">
        <v>11</v>
      </c>
      <c r="B32" s="177" t="s">
        <v>54</v>
      </c>
      <c r="C32" s="182">
        <f>C33+C38+C36+C40+C39+C37</f>
        <v>180645000</v>
      </c>
      <c r="D32" s="182">
        <f>D33+D38+D36+D40+D39+D37</f>
        <v>0</v>
      </c>
      <c r="E32" s="182">
        <f>E33+E38+E36+E40+E39+E37</f>
        <v>2749085345</v>
      </c>
      <c r="F32" s="111">
        <f t="shared" si="1"/>
        <v>2929730345</v>
      </c>
      <c r="G32" s="182">
        <f>G33+G38+G36+G40+G39+G37</f>
        <v>180645000</v>
      </c>
      <c r="H32" s="182">
        <f>H33+H38+H36+H40+H39+H37</f>
        <v>0</v>
      </c>
      <c r="I32" s="182">
        <f>I33+I38+I36+I40+I39+I37</f>
        <v>2960634920</v>
      </c>
      <c r="J32" s="111">
        <f t="shared" si="0"/>
        <v>3141279920</v>
      </c>
      <c r="K32" s="111">
        <f>+K33+K36+K37+K38</f>
        <v>1150493202</v>
      </c>
      <c r="L32" s="176"/>
    </row>
    <row r="33" spans="1:13" ht="30" x14ac:dyDescent="0.25">
      <c r="A33" s="81"/>
      <c r="B33" s="167" t="s">
        <v>121</v>
      </c>
      <c r="C33" s="183">
        <f>SUM(C34:C35)</f>
        <v>180645000</v>
      </c>
      <c r="D33" s="183"/>
      <c r="E33" s="183"/>
      <c r="F33" s="180">
        <f t="shared" si="1"/>
        <v>180645000</v>
      </c>
      <c r="G33" s="183">
        <f>SUM(G34:G35)</f>
        <v>180645000</v>
      </c>
      <c r="H33" s="183"/>
      <c r="I33" s="183"/>
      <c r="J33" s="180">
        <f t="shared" si="0"/>
        <v>180645000</v>
      </c>
      <c r="K33" s="180">
        <f>+K34</f>
        <v>45161289</v>
      </c>
    </row>
    <row r="34" spans="1:13" x14ac:dyDescent="0.25">
      <c r="A34" s="81"/>
      <c r="B34" s="93" t="s">
        <v>365</v>
      </c>
      <c r="C34" s="85">
        <f>+'[6]2C Önk bev kiad fel'!E226</f>
        <v>180645000</v>
      </c>
      <c r="D34" s="85"/>
      <c r="E34" s="85"/>
      <c r="F34" s="83">
        <f t="shared" si="1"/>
        <v>180645000</v>
      </c>
      <c r="G34" s="85">
        <f>+'[6]2C Önk bev kiad fel'!I226</f>
        <v>180645000</v>
      </c>
      <c r="H34" s="85"/>
      <c r="I34" s="85"/>
      <c r="J34" s="83">
        <f t="shared" si="0"/>
        <v>180645000</v>
      </c>
      <c r="K34" s="83">
        <f>+'[6]2C Önk bev kiad fel'!J226</f>
        <v>45161289</v>
      </c>
    </row>
    <row r="35" spans="1:13" hidden="1" x14ac:dyDescent="0.25">
      <c r="A35" s="81"/>
      <c r="B35" s="93" t="s">
        <v>366</v>
      </c>
      <c r="C35" s="85"/>
      <c r="D35" s="85"/>
      <c r="E35" s="85"/>
      <c r="F35" s="83">
        <f t="shared" si="1"/>
        <v>0</v>
      </c>
      <c r="G35" s="85"/>
      <c r="H35" s="85"/>
      <c r="I35" s="85"/>
      <c r="J35" s="83">
        <f t="shared" si="0"/>
        <v>0</v>
      </c>
      <c r="K35" s="83">
        <f t="shared" si="0"/>
        <v>0</v>
      </c>
    </row>
    <row r="36" spans="1:13" x14ac:dyDescent="0.25">
      <c r="A36" s="81"/>
      <c r="B36" s="167" t="s">
        <v>122</v>
      </c>
      <c r="C36" s="183"/>
      <c r="D36" s="183"/>
      <c r="E36" s="183"/>
      <c r="F36" s="180">
        <f t="shared" si="1"/>
        <v>0</v>
      </c>
      <c r="G36" s="183"/>
      <c r="H36" s="183"/>
      <c r="I36" s="183"/>
      <c r="J36" s="180">
        <f t="shared" si="0"/>
        <v>0</v>
      </c>
      <c r="K36" s="180"/>
    </row>
    <row r="37" spans="1:13" ht="21.75" customHeight="1" x14ac:dyDescent="0.25">
      <c r="A37" s="81"/>
      <c r="B37" s="167" t="s">
        <v>367</v>
      </c>
      <c r="C37" s="183"/>
      <c r="D37" s="183">
        <v>0</v>
      </c>
      <c r="E37" s="183">
        <f>'[6]2C Önk bev kiad fel'!E225</f>
        <v>24816000</v>
      </c>
      <c r="F37" s="180">
        <f t="shared" si="1"/>
        <v>24816000</v>
      </c>
      <c r="G37" s="183"/>
      <c r="H37" s="183">
        <v>0</v>
      </c>
      <c r="I37" s="183">
        <f>'[6]2C Önk bev kiad fel'!I225</f>
        <v>211270375</v>
      </c>
      <c r="J37" s="180">
        <f t="shared" si="0"/>
        <v>211270375</v>
      </c>
      <c r="K37" s="180">
        <f>+'[6]2C Önk bev kiad fel'!J225</f>
        <v>211269867</v>
      </c>
    </row>
    <row r="38" spans="1:13" x14ac:dyDescent="0.25">
      <c r="A38" s="81"/>
      <c r="B38" s="167" t="s">
        <v>368</v>
      </c>
      <c r="C38" s="183">
        <v>0</v>
      </c>
      <c r="D38" s="183">
        <v>0</v>
      </c>
      <c r="E38" s="183">
        <f>'[6]2C Önk bev kiad fel'!E224</f>
        <v>2724269345</v>
      </c>
      <c r="F38" s="180">
        <f t="shared" si="1"/>
        <v>2724269345</v>
      </c>
      <c r="G38" s="183">
        <v>0</v>
      </c>
      <c r="H38" s="183">
        <v>0</v>
      </c>
      <c r="I38" s="183">
        <f>'[6]2C Önk bev kiad fel'!I224</f>
        <v>2749364545</v>
      </c>
      <c r="J38" s="180">
        <f t="shared" si="0"/>
        <v>2749364545</v>
      </c>
      <c r="K38" s="180">
        <f>+'[6]2C Önk bev kiad fel'!J224</f>
        <v>894062046</v>
      </c>
    </row>
    <row r="39" spans="1:13" hidden="1" x14ac:dyDescent="0.25">
      <c r="A39" s="81"/>
      <c r="B39" s="167" t="s">
        <v>369</v>
      </c>
      <c r="C39" s="183"/>
      <c r="E39" s="183">
        <f>'[6]2C Önk bev kiad fel'!E227</f>
        <v>0</v>
      </c>
      <c r="F39" s="180">
        <f t="shared" ref="F39:F44" si="2">SUM(C39:E39)</f>
        <v>0</v>
      </c>
      <c r="G39" s="183"/>
      <c r="I39" s="183">
        <f>'[6]2C Önk bev kiad fel'!I227</f>
        <v>0</v>
      </c>
      <c r="J39" s="180">
        <f t="shared" ref="J39:K44" si="3">SUM(G39:I39)</f>
        <v>0</v>
      </c>
      <c r="K39" s="180">
        <f t="shared" si="3"/>
        <v>0</v>
      </c>
    </row>
    <row r="40" spans="1:13" hidden="1" x14ac:dyDescent="0.25">
      <c r="A40" s="81"/>
      <c r="B40" s="167" t="s">
        <v>370</v>
      </c>
      <c r="C40" s="183"/>
      <c r="D40" s="183"/>
      <c r="E40" s="183"/>
      <c r="F40" s="180">
        <f t="shared" si="2"/>
        <v>0</v>
      </c>
      <c r="G40" s="183"/>
      <c r="H40" s="183"/>
      <c r="I40" s="183"/>
      <c r="J40" s="180">
        <f t="shared" si="3"/>
        <v>0</v>
      </c>
      <c r="K40" s="180">
        <f t="shared" si="3"/>
        <v>0</v>
      </c>
    </row>
    <row r="41" spans="1:13" x14ac:dyDescent="0.25">
      <c r="A41" s="77" t="s">
        <v>14</v>
      </c>
      <c r="B41" s="177" t="s">
        <v>56</v>
      </c>
      <c r="C41" s="182">
        <f>C42+C43</f>
        <v>0</v>
      </c>
      <c r="D41" s="182">
        <f>D42+D43</f>
        <v>0</v>
      </c>
      <c r="E41" s="182">
        <f>E42+E43</f>
        <v>0</v>
      </c>
      <c r="F41" s="111">
        <f t="shared" si="2"/>
        <v>0</v>
      </c>
      <c r="G41" s="182">
        <f>G42+G43</f>
        <v>0</v>
      </c>
      <c r="H41" s="182">
        <f>H42+H43</f>
        <v>0</v>
      </c>
      <c r="I41" s="182">
        <f>I42+I43</f>
        <v>0</v>
      </c>
      <c r="J41" s="111">
        <f t="shared" si="3"/>
        <v>0</v>
      </c>
      <c r="K41" s="111">
        <f t="shared" si="3"/>
        <v>0</v>
      </c>
    </row>
    <row r="42" spans="1:13" hidden="1" x14ac:dyDescent="0.25">
      <c r="A42" s="81"/>
      <c r="B42" s="167" t="s">
        <v>126</v>
      </c>
      <c r="C42" s="183"/>
      <c r="D42" s="183"/>
      <c r="E42" s="183"/>
      <c r="F42" s="180">
        <f t="shared" si="2"/>
        <v>0</v>
      </c>
      <c r="G42" s="183"/>
      <c r="H42" s="183"/>
      <c r="I42" s="183"/>
      <c r="J42" s="180">
        <f t="shared" si="3"/>
        <v>0</v>
      </c>
      <c r="K42" s="180">
        <f t="shared" si="3"/>
        <v>0</v>
      </c>
    </row>
    <row r="43" spans="1:13" hidden="1" x14ac:dyDescent="0.25">
      <c r="A43" s="81"/>
      <c r="B43" s="167" t="s">
        <v>127</v>
      </c>
      <c r="C43" s="183"/>
      <c r="D43" s="183"/>
      <c r="E43" s="183"/>
      <c r="F43" s="180">
        <f t="shared" si="2"/>
        <v>0</v>
      </c>
      <c r="G43" s="183"/>
      <c r="H43" s="183"/>
      <c r="I43" s="183"/>
      <c r="J43" s="180">
        <f t="shared" si="3"/>
        <v>0</v>
      </c>
      <c r="K43" s="180">
        <f t="shared" si="3"/>
        <v>0</v>
      </c>
    </row>
    <row r="44" spans="1:13" x14ac:dyDescent="0.25">
      <c r="A44" s="95"/>
      <c r="B44" s="96" t="s">
        <v>58</v>
      </c>
      <c r="C44" s="36">
        <f>C31+C30</f>
        <v>2251627796</v>
      </c>
      <c r="D44" s="36">
        <f>D31+D30</f>
        <v>946597765</v>
      </c>
      <c r="E44" s="36">
        <f>E31+E30</f>
        <v>2749085345</v>
      </c>
      <c r="F44" s="36">
        <f t="shared" si="2"/>
        <v>5947310906</v>
      </c>
      <c r="G44" s="36">
        <f>G31+G30</f>
        <v>2386264426</v>
      </c>
      <c r="H44" s="36">
        <f>H31+H30</f>
        <v>1210070012</v>
      </c>
      <c r="I44" s="36">
        <f>I31+I30</f>
        <v>2960634920</v>
      </c>
      <c r="J44" s="36">
        <f t="shared" si="3"/>
        <v>6556969358</v>
      </c>
      <c r="K44" s="36">
        <f>+K7+K21+K31</f>
        <v>1786048317</v>
      </c>
      <c r="L44" s="176"/>
      <c r="M44" s="76"/>
    </row>
    <row r="45" spans="1:13" x14ac:dyDescent="0.25">
      <c r="J45" s="103">
        <f>+J44-F44</f>
        <v>609658452</v>
      </c>
    </row>
    <row r="46" spans="1:13" x14ac:dyDescent="0.25">
      <c r="F46" s="103">
        <f>+'[6]2C Önk bev kiad fel'!E5</f>
        <v>5947310906</v>
      </c>
      <c r="J46" s="103">
        <f>+'[6]2C Önk bev kiad fel'!I5</f>
        <v>6556969358</v>
      </c>
    </row>
    <row r="47" spans="1:13" x14ac:dyDescent="0.25">
      <c r="F47" s="103">
        <f>+F44-F46</f>
        <v>0</v>
      </c>
      <c r="J47" s="103">
        <f>+J44-J46</f>
        <v>0</v>
      </c>
    </row>
    <row r="48" spans="1:13" x14ac:dyDescent="0.25">
      <c r="F48" s="103"/>
      <c r="J48" s="103"/>
    </row>
    <row r="50" spans="6:10" x14ac:dyDescent="0.25">
      <c r="F50" s="103"/>
      <c r="J50" s="103"/>
    </row>
  </sheetData>
  <mergeCells count="5">
    <mergeCell ref="A3:A4"/>
    <mergeCell ref="B3:B4"/>
    <mergeCell ref="C3:F3"/>
    <mergeCell ref="G3:J3"/>
    <mergeCell ref="K3:K4"/>
  </mergeCells>
  <printOptions horizontalCentered="1"/>
  <pageMargins left="0.19685039370078741" right="0.19685039370078741" top="0.51" bottom="0.15748031496062992" header="0.15748031496062992" footer="0.23622047244094491"/>
  <pageSetup paperSize="9" scale="70" fitToWidth="0" fitToHeight="0" orientation="landscape" copies="4" r:id="rId1"/>
  <headerFooter>
    <oddHeader>&amp;L2/B.  melléklet a ......./2020. (.................) önkormányzati rendelethez&amp;C&amp;"-,Félkövér"&amp;16
Az Önkormányzat 2020. évi kiadásai jogcímenként és feladatonként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4C0D-5AE2-460D-BE2A-92D4ABA73C1F}">
  <dimension ref="A1:L241"/>
  <sheetViews>
    <sheetView view="pageBreakPreview" zoomScaleNormal="100" zoomScaleSheetLayoutView="100" workbookViewId="0">
      <selection activeCell="K1" sqref="K1:M1048576"/>
    </sheetView>
  </sheetViews>
  <sheetFormatPr defaultRowHeight="15" x14ac:dyDescent="0.25"/>
  <cols>
    <col min="1" max="1" width="6.140625" style="152" customWidth="1"/>
    <col min="2" max="2" width="40.7109375" style="184" customWidth="1"/>
    <col min="3" max="4" width="10.85546875" style="153" customWidth="1"/>
    <col min="5" max="5" width="13.28515625" style="153" customWidth="1"/>
    <col min="6" max="6" width="13.28515625" style="153" hidden="1" customWidth="1"/>
    <col min="7" max="8" width="10.85546875" style="153" customWidth="1"/>
    <col min="9" max="9" width="13.28515625" style="153" customWidth="1"/>
    <col min="10" max="10" width="15.7109375" style="153" hidden="1" customWidth="1"/>
    <col min="11" max="11" width="11.5703125" style="153" bestFit="1" customWidth="1"/>
    <col min="12" max="12" width="9.85546875" style="153" bestFit="1" customWidth="1"/>
    <col min="13" max="16384" width="9.140625" style="153"/>
  </cols>
  <sheetData>
    <row r="1" spans="1:12" x14ac:dyDescent="0.25">
      <c r="E1" s="69"/>
      <c r="F1" s="69"/>
      <c r="I1" s="69" t="s">
        <v>0</v>
      </c>
    </row>
    <row r="2" spans="1:12" ht="27.75" customHeight="1" x14ac:dyDescent="0.25">
      <c r="A2" s="438" t="s">
        <v>371</v>
      </c>
      <c r="B2" s="440" t="s">
        <v>128</v>
      </c>
      <c r="C2" s="433" t="s">
        <v>129</v>
      </c>
      <c r="D2" s="433" t="s">
        <v>372</v>
      </c>
      <c r="E2" s="435" t="s">
        <v>373</v>
      </c>
      <c r="F2" s="185"/>
      <c r="G2" s="433" t="s">
        <v>129</v>
      </c>
      <c r="H2" s="433" t="s">
        <v>372</v>
      </c>
      <c r="I2" s="435" t="s">
        <v>373</v>
      </c>
      <c r="J2" s="422" t="s">
        <v>60</v>
      </c>
    </row>
    <row r="3" spans="1:12" s="187" customFormat="1" ht="27.75" customHeight="1" x14ac:dyDescent="0.25">
      <c r="A3" s="438"/>
      <c r="B3" s="440"/>
      <c r="C3" s="434"/>
      <c r="D3" s="434"/>
      <c r="E3" s="436"/>
      <c r="F3" s="186"/>
      <c r="G3" s="434"/>
      <c r="H3" s="434"/>
      <c r="I3" s="436"/>
      <c r="J3" s="423"/>
    </row>
    <row r="4" spans="1:12" s="187" customFormat="1" ht="53.65" customHeight="1" x14ac:dyDescent="0.25">
      <c r="A4" s="439"/>
      <c r="B4" s="441"/>
      <c r="C4" s="437" t="s">
        <v>374</v>
      </c>
      <c r="D4" s="426"/>
      <c r="E4" s="427"/>
      <c r="F4" s="188"/>
      <c r="G4" s="419" t="s">
        <v>59</v>
      </c>
      <c r="H4" s="420"/>
      <c r="I4" s="421"/>
      <c r="J4" s="423"/>
    </row>
    <row r="5" spans="1:12" s="187" customFormat="1" x14ac:dyDescent="0.25">
      <c r="A5" s="189" t="s">
        <v>11</v>
      </c>
      <c r="B5" s="190" t="s">
        <v>375</v>
      </c>
      <c r="C5" s="191"/>
      <c r="D5" s="191"/>
      <c r="E5" s="115">
        <f>+E6+E73+E222+E223</f>
        <v>5947310906</v>
      </c>
      <c r="F5" s="115"/>
      <c r="G5" s="191"/>
      <c r="H5" s="191"/>
      <c r="I5" s="115">
        <f>+I6+I73+I222+I223</f>
        <v>6556969358</v>
      </c>
      <c r="J5" s="115">
        <f>+J6+J73+J222+J223</f>
        <v>1786048317</v>
      </c>
      <c r="K5" s="192"/>
      <c r="L5" s="192"/>
    </row>
    <row r="6" spans="1:12" x14ac:dyDescent="0.25">
      <c r="A6" s="142" t="s">
        <v>8</v>
      </c>
      <c r="B6" s="193" t="s">
        <v>134</v>
      </c>
      <c r="C6" s="194">
        <v>11</v>
      </c>
      <c r="D6" s="194"/>
      <c r="E6" s="102">
        <f>+E7+E13+E16+E21+E26+E28+E30+E34+E37+E43+E51+E57+E61+E65+E69</f>
        <v>2070982796</v>
      </c>
      <c r="F6" s="102"/>
      <c r="G6" s="194">
        <v>11</v>
      </c>
      <c r="H6" s="194"/>
      <c r="I6" s="102">
        <f>+I7+I13+I16+I21+I26+I28+I30+I34+I37+I43+I51+I57+I61+I65+I69</f>
        <v>2205619426</v>
      </c>
      <c r="J6" s="102">
        <f>+J7+J13+J16+J21+J26+J28+J30+J34+J37+J43+J51+J57+J61+J65+J69</f>
        <v>444698687</v>
      </c>
      <c r="K6" s="192"/>
    </row>
    <row r="7" spans="1:12" s="198" customFormat="1" x14ac:dyDescent="0.25">
      <c r="A7" s="195" t="s">
        <v>11</v>
      </c>
      <c r="B7" s="150" t="s">
        <v>136</v>
      </c>
      <c r="C7" s="196"/>
      <c r="D7" s="196"/>
      <c r="E7" s="197">
        <f>SUM(E8:E12)</f>
        <v>20230000</v>
      </c>
      <c r="F7" s="197"/>
      <c r="G7" s="196"/>
      <c r="H7" s="196"/>
      <c r="I7" s="197">
        <f>SUM(I8:I12)</f>
        <v>23463000</v>
      </c>
      <c r="J7" s="197">
        <f>SUM(J8:J12)</f>
        <v>24130</v>
      </c>
    </row>
    <row r="8" spans="1:12" s="198" customFormat="1" x14ac:dyDescent="0.25">
      <c r="A8" s="195"/>
      <c r="B8" s="147" t="s">
        <v>13</v>
      </c>
      <c r="C8" s="196"/>
      <c r="D8" s="196"/>
      <c r="E8" s="197"/>
      <c r="F8" s="197"/>
      <c r="G8" s="196"/>
      <c r="H8" s="196"/>
      <c r="I8" s="197"/>
      <c r="J8" s="197"/>
    </row>
    <row r="9" spans="1:12" s="198" customFormat="1" x14ac:dyDescent="0.25">
      <c r="A9" s="195"/>
      <c r="B9" s="147" t="s">
        <v>376</v>
      </c>
      <c r="C9" s="196"/>
      <c r="D9" s="196"/>
      <c r="E9" s="197"/>
      <c r="F9" s="197"/>
      <c r="G9" s="196"/>
      <c r="H9" s="196"/>
      <c r="I9" s="197"/>
      <c r="J9" s="197"/>
    </row>
    <row r="10" spans="1:12" s="198" customFormat="1" x14ac:dyDescent="0.25">
      <c r="A10" s="133"/>
      <c r="B10" s="147" t="s">
        <v>19</v>
      </c>
      <c r="C10" s="199"/>
      <c r="D10" s="199"/>
      <c r="E10" s="88">
        <v>4530000</v>
      </c>
      <c r="F10" s="88"/>
      <c r="G10" s="199"/>
      <c r="H10" s="199"/>
      <c r="I10" s="88">
        <f>4530000+120000</f>
        <v>4650000</v>
      </c>
      <c r="J10" s="88">
        <v>24130</v>
      </c>
    </row>
    <row r="11" spans="1:12" s="198" customFormat="1" x14ac:dyDescent="0.25">
      <c r="A11" s="133"/>
      <c r="B11" s="147" t="s">
        <v>31</v>
      </c>
      <c r="C11" s="199"/>
      <c r="D11" s="199"/>
      <c r="E11" s="88">
        <f>+'[6]7. Fejlesztések'!D11+'[6]7. Fejlesztések'!E11</f>
        <v>15000000</v>
      </c>
      <c r="F11" s="88"/>
      <c r="G11" s="199"/>
      <c r="H11" s="199"/>
      <c r="I11" s="88">
        <f>+'[6]7. Fejlesztések'!G11+'[6]7. Fejlesztések'!H11</f>
        <v>17413000</v>
      </c>
      <c r="J11" s="88"/>
    </row>
    <row r="12" spans="1:12" s="198" customFormat="1" x14ac:dyDescent="0.25">
      <c r="A12" s="133"/>
      <c r="B12" s="147" t="s">
        <v>35</v>
      </c>
      <c r="C12" s="199"/>
      <c r="D12" s="199"/>
      <c r="E12" s="88">
        <v>700000</v>
      </c>
      <c r="F12" s="88"/>
      <c r="G12" s="199"/>
      <c r="H12" s="199"/>
      <c r="I12" s="88">
        <f>700000+700000</f>
        <v>1400000</v>
      </c>
      <c r="J12" s="88"/>
    </row>
    <row r="13" spans="1:12" s="198" customFormat="1" x14ac:dyDescent="0.25">
      <c r="A13" s="195" t="s">
        <v>14</v>
      </c>
      <c r="B13" s="150" t="s">
        <v>138</v>
      </c>
      <c r="C13" s="196"/>
      <c r="D13" s="196"/>
      <c r="E13" s="197">
        <f>SUM(E14:E15)</f>
        <v>6175000</v>
      </c>
      <c r="F13" s="197"/>
      <c r="G13" s="196"/>
      <c r="H13" s="196"/>
      <c r="I13" s="197">
        <f>SUM(I14:I15)</f>
        <v>6831717</v>
      </c>
      <c r="J13" s="197">
        <f>SUM(J14:J15)</f>
        <v>681430</v>
      </c>
    </row>
    <row r="14" spans="1:12" s="198" customFormat="1" x14ac:dyDescent="0.25">
      <c r="A14" s="133"/>
      <c r="B14" s="147" t="s">
        <v>19</v>
      </c>
      <c r="C14" s="199"/>
      <c r="D14" s="199"/>
      <c r="E14" s="88">
        <f>1000000+3862000+1313000</f>
        <v>6175000</v>
      </c>
      <c r="F14" s="88"/>
      <c r="G14" s="199"/>
      <c r="H14" s="199"/>
      <c r="I14" s="88">
        <f>1000000+3862000+1313000+517100+139617</f>
        <v>6831717</v>
      </c>
      <c r="J14" s="88">
        <v>681430</v>
      </c>
    </row>
    <row r="15" spans="1:12" s="198" customFormat="1" x14ac:dyDescent="0.25">
      <c r="A15" s="133"/>
      <c r="B15" s="147" t="s">
        <v>31</v>
      </c>
      <c r="C15" s="199"/>
      <c r="D15" s="199"/>
      <c r="E15" s="88"/>
      <c r="F15" s="88"/>
      <c r="G15" s="199"/>
      <c r="H15" s="199"/>
      <c r="I15" s="88"/>
      <c r="J15" s="88"/>
    </row>
    <row r="16" spans="1:12" s="198" customFormat="1" x14ac:dyDescent="0.25">
      <c r="A16" s="195" t="s">
        <v>17</v>
      </c>
      <c r="B16" s="150" t="s">
        <v>140</v>
      </c>
      <c r="C16" s="196"/>
      <c r="D16" s="196"/>
      <c r="E16" s="197">
        <f>SUM(E17:E20)</f>
        <v>31417000</v>
      </c>
      <c r="F16" s="197"/>
      <c r="G16" s="196"/>
      <c r="H16" s="196"/>
      <c r="I16" s="197">
        <f>SUM(I17:I20)</f>
        <v>32760248</v>
      </c>
      <c r="J16" s="197">
        <f>SUM(J17:J20)</f>
        <v>13248128</v>
      </c>
    </row>
    <row r="17" spans="1:10" s="198" customFormat="1" x14ac:dyDescent="0.25">
      <c r="A17" s="133"/>
      <c r="B17" s="147" t="s">
        <v>13</v>
      </c>
      <c r="C17" s="199"/>
      <c r="D17" s="199"/>
      <c r="E17" s="88"/>
      <c r="F17" s="88"/>
      <c r="G17" s="199"/>
      <c r="H17" s="199"/>
      <c r="I17" s="88"/>
      <c r="J17" s="88"/>
    </row>
    <row r="18" spans="1:10" s="198" customFormat="1" x14ac:dyDescent="0.25">
      <c r="A18" s="133"/>
      <c r="B18" s="147" t="s">
        <v>376</v>
      </c>
      <c r="C18" s="199"/>
      <c r="D18" s="199"/>
      <c r="E18" s="88"/>
      <c r="F18" s="88"/>
      <c r="G18" s="199"/>
      <c r="H18" s="199"/>
      <c r="I18" s="88"/>
      <c r="J18" s="88"/>
    </row>
    <row r="19" spans="1:10" s="198" customFormat="1" x14ac:dyDescent="0.25">
      <c r="A19" s="133"/>
      <c r="B19" s="147" t="s">
        <v>19</v>
      </c>
      <c r="C19" s="199"/>
      <c r="D19" s="199"/>
      <c r="E19" s="88">
        <f>100000+300000+2062000+27455000+1500000</f>
        <v>31417000</v>
      </c>
      <c r="F19" s="88"/>
      <c r="G19" s="199"/>
      <c r="H19" s="199"/>
      <c r="I19" s="88">
        <f>100000+300000+2062000+27455000+1500000+153254+362200+97794+276000+454000</f>
        <v>32760248</v>
      </c>
      <c r="J19" s="88">
        <v>13087838</v>
      </c>
    </row>
    <row r="20" spans="1:10" s="198" customFormat="1" x14ac:dyDescent="0.25">
      <c r="A20" s="133"/>
      <c r="B20" s="147" t="s">
        <v>31</v>
      </c>
      <c r="C20" s="199"/>
      <c r="D20" s="199"/>
      <c r="E20" s="88"/>
      <c r="F20" s="88"/>
      <c r="G20" s="199"/>
      <c r="H20" s="199"/>
      <c r="I20" s="88"/>
      <c r="J20" s="88">
        <v>160290</v>
      </c>
    </row>
    <row r="21" spans="1:10" s="198" customFormat="1" x14ac:dyDescent="0.25">
      <c r="A21" s="195" t="s">
        <v>20</v>
      </c>
      <c r="B21" s="150" t="s">
        <v>142</v>
      </c>
      <c r="C21" s="196">
        <v>7</v>
      </c>
      <c r="D21" s="196"/>
      <c r="E21" s="197">
        <f>SUM(E22:E25)</f>
        <v>57394100</v>
      </c>
      <c r="F21" s="197"/>
      <c r="G21" s="196">
        <v>7</v>
      </c>
      <c r="H21" s="196"/>
      <c r="I21" s="197">
        <f>SUM(I22:I25)</f>
        <v>57394100</v>
      </c>
      <c r="J21" s="197">
        <f>SUM(J22:J25)</f>
        <v>20748075</v>
      </c>
    </row>
    <row r="22" spans="1:10" s="198" customFormat="1" x14ac:dyDescent="0.25">
      <c r="A22" s="133"/>
      <c r="B22" s="147" t="s">
        <v>13</v>
      </c>
      <c r="C22" s="199"/>
      <c r="D22" s="199"/>
      <c r="E22" s="88">
        <f>39025000+2100000+700000+700000+84000+3500000+20000</f>
        <v>46129000</v>
      </c>
      <c r="F22" s="88"/>
      <c r="G22" s="199"/>
      <c r="H22" s="199"/>
      <c r="I22" s="88">
        <f>39025000+2100000+700000+700000+84000+3500000+20000</f>
        <v>46129000</v>
      </c>
      <c r="J22" s="88">
        <v>17099523</v>
      </c>
    </row>
    <row r="23" spans="1:10" s="198" customFormat="1" x14ac:dyDescent="0.25">
      <c r="A23" s="133"/>
      <c r="B23" s="147" t="s">
        <v>376</v>
      </c>
      <c r="C23" s="199"/>
      <c r="D23" s="199"/>
      <c r="E23" s="88">
        <v>8303000</v>
      </c>
      <c r="F23" s="88"/>
      <c r="G23" s="199"/>
      <c r="H23" s="199"/>
      <c r="I23" s="88">
        <v>8303000</v>
      </c>
      <c r="J23" s="88">
        <v>2980035</v>
      </c>
    </row>
    <row r="24" spans="1:10" s="198" customFormat="1" x14ac:dyDescent="0.25">
      <c r="A24" s="133"/>
      <c r="B24" s="147" t="s">
        <v>19</v>
      </c>
      <c r="C24" s="199"/>
      <c r="D24" s="199"/>
      <c r="E24" s="88">
        <f>50000+620000+450000+190000+70000+50000+200000+600000+602100+130000</f>
        <v>2962100</v>
      </c>
      <c r="F24" s="88"/>
      <c r="G24" s="199"/>
      <c r="H24" s="199"/>
      <c r="I24" s="88">
        <f>50000+620000+450000+190000+70000+50000+200000+600000+602100+130000</f>
        <v>2962100</v>
      </c>
      <c r="J24" s="88">
        <v>668517</v>
      </c>
    </row>
    <row r="25" spans="1:10" s="198" customFormat="1" x14ac:dyDescent="0.25">
      <c r="A25" s="133"/>
      <c r="B25" s="147" t="s">
        <v>31</v>
      </c>
      <c r="C25" s="199"/>
      <c r="D25" s="199"/>
      <c r="E25" s="88"/>
      <c r="F25" s="88"/>
      <c r="G25" s="199"/>
      <c r="H25" s="199"/>
      <c r="I25" s="88"/>
      <c r="J25" s="88"/>
    </row>
    <row r="26" spans="1:10" s="198" customFormat="1" x14ac:dyDescent="0.25">
      <c r="A26" s="195" t="s">
        <v>23</v>
      </c>
      <c r="B26" s="150" t="s">
        <v>144</v>
      </c>
      <c r="C26" s="196"/>
      <c r="D26" s="196"/>
      <c r="E26" s="197">
        <f>SUM(E27)</f>
        <v>1000000</v>
      </c>
      <c r="F26" s="197"/>
      <c r="G26" s="196"/>
      <c r="H26" s="196"/>
      <c r="I26" s="197">
        <f>SUM(I27)</f>
        <v>1000000</v>
      </c>
      <c r="J26" s="197">
        <f>SUM(J27)</f>
        <v>0</v>
      </c>
    </row>
    <row r="27" spans="1:10" s="198" customFormat="1" x14ac:dyDescent="0.25">
      <c r="A27" s="133"/>
      <c r="B27" s="200" t="s">
        <v>19</v>
      </c>
      <c r="C27" s="201"/>
      <c r="D27" s="201"/>
      <c r="E27" s="90">
        <v>1000000</v>
      </c>
      <c r="F27" s="90"/>
      <c r="G27" s="201"/>
      <c r="H27" s="201"/>
      <c r="I27" s="90">
        <v>1000000</v>
      </c>
      <c r="J27" s="90"/>
    </row>
    <row r="28" spans="1:10" s="198" customFormat="1" x14ac:dyDescent="0.25">
      <c r="A28" s="195" t="s">
        <v>377</v>
      </c>
      <c r="B28" s="202" t="s">
        <v>378</v>
      </c>
      <c r="C28" s="203"/>
      <c r="D28" s="203"/>
      <c r="E28" s="179">
        <f>SUM(E29)</f>
        <v>500000</v>
      </c>
      <c r="F28" s="179"/>
      <c r="G28" s="203"/>
      <c r="H28" s="203"/>
      <c r="I28" s="179">
        <f>SUM(I29)</f>
        <v>500000</v>
      </c>
      <c r="J28" s="179">
        <f>SUM(J29)</f>
        <v>0</v>
      </c>
    </row>
    <row r="29" spans="1:10" s="198" customFormat="1" x14ac:dyDescent="0.25">
      <c r="A29" s="133"/>
      <c r="B29" s="200" t="s">
        <v>19</v>
      </c>
      <c r="C29" s="201"/>
      <c r="D29" s="201"/>
      <c r="E29" s="90">
        <v>500000</v>
      </c>
      <c r="F29" s="90"/>
      <c r="G29" s="201"/>
      <c r="H29" s="201"/>
      <c r="I29" s="90">
        <v>500000</v>
      </c>
      <c r="J29" s="90"/>
    </row>
    <row r="30" spans="1:10" s="198" customFormat="1" x14ac:dyDescent="0.25">
      <c r="A30" s="195" t="s">
        <v>379</v>
      </c>
      <c r="B30" s="150" t="s">
        <v>150</v>
      </c>
      <c r="C30" s="196"/>
      <c r="D30" s="196"/>
      <c r="E30" s="197">
        <f>SUM(E31:E33)</f>
        <v>4483000</v>
      </c>
      <c r="F30" s="197"/>
      <c r="G30" s="196"/>
      <c r="H30" s="196"/>
      <c r="I30" s="197">
        <f>SUM(I31:I33)</f>
        <v>7095590</v>
      </c>
      <c r="J30" s="197">
        <f>SUM(J31:J33)</f>
        <v>1269159</v>
      </c>
    </row>
    <row r="31" spans="1:10" s="198" customFormat="1" x14ac:dyDescent="0.25">
      <c r="A31" s="133"/>
      <c r="B31" s="147" t="s">
        <v>19</v>
      </c>
      <c r="C31" s="199"/>
      <c r="D31" s="199"/>
      <c r="E31" s="88">
        <f>2900000+783000+800000</f>
        <v>4483000</v>
      </c>
      <c r="F31" s="88"/>
      <c r="G31" s="199"/>
      <c r="H31" s="199"/>
      <c r="I31" s="88">
        <f>2900000+783000+800000+39812+17886+15578</f>
        <v>4556276</v>
      </c>
      <c r="J31" s="88">
        <v>1269159</v>
      </c>
    </row>
    <row r="32" spans="1:10" s="198" customFormat="1" x14ac:dyDescent="0.25">
      <c r="A32" s="133"/>
      <c r="B32" s="200" t="s">
        <v>31</v>
      </c>
      <c r="C32" s="199"/>
      <c r="D32" s="199"/>
      <c r="E32" s="88"/>
      <c r="F32" s="88"/>
      <c r="G32" s="199"/>
      <c r="H32" s="199"/>
      <c r="I32" s="88">
        <f>1999458+539856</f>
        <v>2539314</v>
      </c>
      <c r="J32" s="88"/>
    </row>
    <row r="33" spans="1:10" s="198" customFormat="1" x14ac:dyDescent="0.25">
      <c r="A33" s="133"/>
      <c r="B33" s="200" t="s">
        <v>380</v>
      </c>
      <c r="C33" s="199"/>
      <c r="D33" s="199"/>
      <c r="E33" s="88"/>
      <c r="F33" s="88"/>
      <c r="G33" s="199"/>
      <c r="H33" s="199"/>
      <c r="I33" s="88"/>
      <c r="J33" s="88"/>
    </row>
    <row r="34" spans="1:10" s="198" customFormat="1" x14ac:dyDescent="0.25">
      <c r="A34" s="195" t="s">
        <v>381</v>
      </c>
      <c r="B34" s="150" t="s">
        <v>152</v>
      </c>
      <c r="C34" s="196"/>
      <c r="D34" s="196"/>
      <c r="E34" s="197">
        <f>SUM(E35:E36)</f>
        <v>9040000</v>
      </c>
      <c r="F34" s="197"/>
      <c r="G34" s="196"/>
      <c r="H34" s="196"/>
      <c r="I34" s="197">
        <f>SUM(I35:I36)</f>
        <v>9040000</v>
      </c>
      <c r="J34" s="197">
        <f>SUM(J35:J36)</f>
        <v>1270000</v>
      </c>
    </row>
    <row r="35" spans="1:10" s="198" customFormat="1" x14ac:dyDescent="0.25">
      <c r="A35" s="133"/>
      <c r="B35" s="147" t="s">
        <v>19</v>
      </c>
      <c r="C35" s="199"/>
      <c r="D35" s="199"/>
      <c r="E35" s="88">
        <v>9040000</v>
      </c>
      <c r="F35" s="88"/>
      <c r="G35" s="199"/>
      <c r="H35" s="199"/>
      <c r="I35" s="88">
        <v>9040000</v>
      </c>
      <c r="J35" s="88">
        <v>1270000</v>
      </c>
    </row>
    <row r="36" spans="1:10" s="198" customFormat="1" x14ac:dyDescent="0.25">
      <c r="A36" s="133"/>
      <c r="B36" s="147" t="s">
        <v>31</v>
      </c>
      <c r="C36" s="199"/>
      <c r="D36" s="199"/>
      <c r="E36" s="88">
        <v>0</v>
      </c>
      <c r="F36" s="88"/>
      <c r="G36" s="199"/>
      <c r="H36" s="199"/>
      <c r="I36" s="88">
        <v>0</v>
      </c>
      <c r="J36" s="88">
        <v>0</v>
      </c>
    </row>
    <row r="37" spans="1:10" s="198" customFormat="1" x14ac:dyDescent="0.25">
      <c r="A37" s="195" t="s">
        <v>382</v>
      </c>
      <c r="B37" s="150" t="s">
        <v>154</v>
      </c>
      <c r="C37" s="196"/>
      <c r="D37" s="196"/>
      <c r="E37" s="197">
        <f>SUM(E38:E42)</f>
        <v>9000500</v>
      </c>
      <c r="F37" s="197"/>
      <c r="G37" s="196"/>
      <c r="H37" s="196"/>
      <c r="I37" s="197">
        <f>SUM(I38:I42)</f>
        <v>13001255</v>
      </c>
      <c r="J37" s="197">
        <f>SUM(J38:J42)</f>
        <v>4000755</v>
      </c>
    </row>
    <row r="38" spans="1:10" s="198" customFormat="1" x14ac:dyDescent="0.25">
      <c r="A38" s="195"/>
      <c r="B38" s="147" t="s">
        <v>13</v>
      </c>
      <c r="C38" s="196"/>
      <c r="D38" s="196"/>
      <c r="E38" s="197"/>
      <c r="F38" s="197"/>
      <c r="G38" s="196"/>
      <c r="H38" s="196"/>
      <c r="I38" s="197"/>
      <c r="J38" s="197"/>
    </row>
    <row r="39" spans="1:10" s="198" customFormat="1" x14ac:dyDescent="0.25">
      <c r="A39" s="195"/>
      <c r="B39" s="147" t="s">
        <v>376</v>
      </c>
      <c r="C39" s="196"/>
      <c r="D39" s="196"/>
      <c r="E39" s="197"/>
      <c r="F39" s="197"/>
      <c r="G39" s="196"/>
      <c r="H39" s="196"/>
      <c r="I39" s="197"/>
      <c r="J39" s="197"/>
    </row>
    <row r="40" spans="1:10" s="198" customFormat="1" x14ac:dyDescent="0.25">
      <c r="A40" s="133"/>
      <c r="B40" s="147" t="s">
        <v>19</v>
      </c>
      <c r="C40" s="199"/>
      <c r="D40" s="199"/>
      <c r="E40" s="88">
        <f>3150000+850500+3000000</f>
        <v>7000500</v>
      </c>
      <c r="F40" s="88"/>
      <c r="G40" s="199"/>
      <c r="H40" s="199"/>
      <c r="I40" s="88">
        <f>3150000+850500+3000000+1574750+425183</f>
        <v>9000433</v>
      </c>
      <c r="J40" s="88">
        <v>1999933</v>
      </c>
    </row>
    <row r="41" spans="1:10" s="198" customFormat="1" x14ac:dyDescent="0.25">
      <c r="A41" s="133"/>
      <c r="B41" s="147" t="s">
        <v>383</v>
      </c>
      <c r="C41" s="199"/>
      <c r="D41" s="199"/>
      <c r="E41" s="88"/>
      <c r="F41" s="88"/>
      <c r="G41" s="199"/>
      <c r="H41" s="199"/>
      <c r="I41" s="88"/>
      <c r="J41" s="88"/>
    </row>
    <row r="42" spans="1:10" s="198" customFormat="1" x14ac:dyDescent="0.25">
      <c r="A42" s="133"/>
      <c r="B42" s="147" t="s">
        <v>31</v>
      </c>
      <c r="C42" s="199"/>
      <c r="D42" s="199"/>
      <c r="E42" s="88">
        <f>+'[6]7. Fejlesztések'!D21+'[6]7. Fejlesztések'!E21</f>
        <v>2000000</v>
      </c>
      <c r="F42" s="88"/>
      <c r="G42" s="199"/>
      <c r="H42" s="199"/>
      <c r="I42" s="88">
        <f>+'[6]7. Fejlesztések'!G21+'[6]7. Fejlesztések'!H21+1575450+425372</f>
        <v>4000822</v>
      </c>
      <c r="J42" s="88">
        <v>2000822</v>
      </c>
    </row>
    <row r="43" spans="1:10" s="198" customFormat="1" x14ac:dyDescent="0.25">
      <c r="A43" s="195" t="s">
        <v>384</v>
      </c>
      <c r="B43" s="150" t="s">
        <v>156</v>
      </c>
      <c r="C43" s="196">
        <v>4</v>
      </c>
      <c r="D43" s="196"/>
      <c r="E43" s="197">
        <f>SUM(E44:E50)</f>
        <v>928637006</v>
      </c>
      <c r="F43" s="197"/>
      <c r="G43" s="196">
        <v>4</v>
      </c>
      <c r="H43" s="196"/>
      <c r="I43" s="197">
        <f>SUM(I44:I50)</f>
        <v>931589813</v>
      </c>
      <c r="J43" s="197">
        <f>SUM(J44:J50)</f>
        <v>260016212</v>
      </c>
    </row>
    <row r="44" spans="1:10" s="198" customFormat="1" x14ac:dyDescent="0.25">
      <c r="A44" s="133"/>
      <c r="B44" s="147" t="s">
        <v>13</v>
      </c>
      <c r="C44" s="199"/>
      <c r="D44" s="199"/>
      <c r="E44" s="88">
        <f>77775000+7180000+1196000</f>
        <v>86151000</v>
      </c>
      <c r="F44" s="88"/>
      <c r="G44" s="199"/>
      <c r="H44" s="199"/>
      <c r="I44" s="88">
        <f>77775000+7180000+1196000</f>
        <v>86151000</v>
      </c>
      <c r="J44" s="88">
        <f>21456707-226806</f>
        <v>21229901</v>
      </c>
    </row>
    <row r="45" spans="1:10" s="198" customFormat="1" x14ac:dyDescent="0.25">
      <c r="A45" s="133"/>
      <c r="B45" s="147" t="s">
        <v>376</v>
      </c>
      <c r="C45" s="199"/>
      <c r="D45" s="199"/>
      <c r="E45" s="88">
        <v>15710000</v>
      </c>
      <c r="F45" s="88"/>
      <c r="G45" s="199"/>
      <c r="H45" s="199"/>
      <c r="I45" s="88">
        <v>15710000</v>
      </c>
      <c r="J45" s="88">
        <f>3429701+54020</f>
        <v>3483721</v>
      </c>
    </row>
    <row r="46" spans="1:10" s="198" customFormat="1" x14ac:dyDescent="0.25">
      <c r="A46" s="133"/>
      <c r="B46" s="147" t="s">
        <v>19</v>
      </c>
      <c r="C46" s="199"/>
      <c r="D46" s="199"/>
      <c r="E46" s="88">
        <f>1800000+28736000+1000000+7300000+3500000+300000+2630000+1000000+30932000+25500000+1415000+27670000+23032000+35650000</f>
        <v>190465000</v>
      </c>
      <c r="F46" s="88"/>
      <c r="G46" s="199"/>
      <c r="H46" s="199"/>
      <c r="I46" s="88">
        <f>1800000+28736000+1000000+7300000+3500000+300000+2630000+1000000+30932000+25500000+1415000+27670000+23032000+35650000+6900+50000+5285000+6712103+2796547+2054040+90269-19000000+202500+100000+184150+1771650-330111</f>
        <v>190388048</v>
      </c>
      <c r="J46" s="88">
        <f>44953691+21149</f>
        <v>44974840</v>
      </c>
    </row>
    <row r="47" spans="1:10" s="198" customFormat="1" x14ac:dyDescent="0.25">
      <c r="A47" s="133"/>
      <c r="B47" s="147" t="s">
        <v>24</v>
      </c>
      <c r="C47" s="199"/>
      <c r="D47" s="199"/>
      <c r="E47" s="88">
        <f>15000000+458287000-458287000+429312663</f>
        <v>444312663</v>
      </c>
      <c r="F47" s="88"/>
      <c r="G47" s="199"/>
      <c r="H47" s="199"/>
      <c r="I47" s="88">
        <f>15000000+458287000-458287000+429312663+1500000+330111</f>
        <v>446142774</v>
      </c>
      <c r="J47" s="88">
        <f>188897572+330111</f>
        <v>189227683</v>
      </c>
    </row>
    <row r="48" spans="1:10" s="198" customFormat="1" x14ac:dyDescent="0.25">
      <c r="A48" s="133"/>
      <c r="B48" s="147" t="s">
        <v>385</v>
      </c>
      <c r="C48" s="199"/>
      <c r="D48" s="199"/>
      <c r="E48" s="88">
        <f>+'[6]2D Céltartalék'!B34</f>
        <v>191998343</v>
      </c>
      <c r="F48" s="88"/>
      <c r="G48" s="199"/>
      <c r="H48" s="199"/>
      <c r="I48" s="88">
        <f>+'[6]2D Céltartalék'!C34</f>
        <v>163914709</v>
      </c>
      <c r="J48" s="88"/>
    </row>
    <row r="49" spans="1:10" s="198" customFormat="1" ht="15.75" customHeight="1" x14ac:dyDescent="0.25">
      <c r="A49" s="133"/>
      <c r="B49" s="147" t="s">
        <v>31</v>
      </c>
      <c r="C49" s="199"/>
      <c r="D49" s="199"/>
      <c r="E49" s="88"/>
      <c r="F49" s="88"/>
      <c r="G49" s="199"/>
      <c r="H49" s="199"/>
      <c r="I49" s="88">
        <f>160000+11311213+3097227</f>
        <v>14568440</v>
      </c>
      <c r="J49" s="88">
        <f>451612+255747+127000+265708</f>
        <v>1100067</v>
      </c>
    </row>
    <row r="50" spans="1:10" s="198" customFormat="1" x14ac:dyDescent="0.25">
      <c r="A50" s="133"/>
      <c r="B50" s="147" t="s">
        <v>33</v>
      </c>
      <c r="C50" s="199"/>
      <c r="D50" s="199"/>
      <c r="E50" s="88"/>
      <c r="F50" s="88"/>
      <c r="G50" s="199"/>
      <c r="H50" s="199"/>
      <c r="I50" s="88">
        <f>2444545+9661651+2608646</f>
        <v>14714842</v>
      </c>
      <c r="J50" s="88"/>
    </row>
    <row r="51" spans="1:10" s="198" customFormat="1" x14ac:dyDescent="0.25">
      <c r="A51" s="195" t="s">
        <v>386</v>
      </c>
      <c r="B51" s="150" t="s">
        <v>387</v>
      </c>
      <c r="C51" s="199"/>
      <c r="D51" s="199"/>
      <c r="E51" s="197">
        <f>SUM(E52:E56)</f>
        <v>889706190</v>
      </c>
      <c r="F51" s="197"/>
      <c r="G51" s="199"/>
      <c r="H51" s="199"/>
      <c r="I51" s="197">
        <f>SUM(I52:I56)</f>
        <v>979310703</v>
      </c>
      <c r="J51" s="197">
        <f>SUM(J52:J56)</f>
        <v>119495716</v>
      </c>
    </row>
    <row r="52" spans="1:10" s="198" customFormat="1" x14ac:dyDescent="0.25">
      <c r="A52" s="133"/>
      <c r="B52" s="147" t="s">
        <v>13</v>
      </c>
      <c r="C52" s="199"/>
      <c r="D52" s="199"/>
      <c r="E52" s="88"/>
      <c r="F52" s="88"/>
      <c r="G52" s="199"/>
      <c r="H52" s="199"/>
      <c r="I52" s="88"/>
      <c r="J52" s="88"/>
    </row>
    <row r="53" spans="1:10" s="198" customFormat="1" x14ac:dyDescent="0.25">
      <c r="A53" s="133"/>
      <c r="B53" s="147" t="s">
        <v>376</v>
      </c>
      <c r="C53" s="199"/>
      <c r="D53" s="199"/>
      <c r="E53" s="88"/>
      <c r="F53" s="88"/>
      <c r="G53" s="199"/>
      <c r="H53" s="199"/>
      <c r="I53" s="88"/>
      <c r="J53" s="88"/>
    </row>
    <row r="54" spans="1:10" s="198" customFormat="1" x14ac:dyDescent="0.25">
      <c r="A54" s="133"/>
      <c r="B54" s="147" t="s">
        <v>19</v>
      </c>
      <c r="C54" s="199"/>
      <c r="D54" s="199"/>
      <c r="E54" s="88">
        <f>10000000</f>
        <v>10000000</v>
      </c>
      <c r="F54" s="88"/>
      <c r="G54" s="199"/>
      <c r="H54" s="199"/>
      <c r="I54" s="88">
        <f>10000000+3039955+2550000+950000+200000+1819789</f>
        <v>18559744</v>
      </c>
      <c r="J54" s="88">
        <v>16845776</v>
      </c>
    </row>
    <row r="55" spans="1:10" s="198" customFormat="1" x14ac:dyDescent="0.25">
      <c r="A55" s="133"/>
      <c r="B55" s="147" t="s">
        <v>31</v>
      </c>
      <c r="C55" s="199"/>
      <c r="D55" s="199"/>
      <c r="E55" s="88">
        <f>+'[6]7. Fejlesztések'!F5+'[6]7. Fejlesztések'!F9+'[6]7. Fejlesztések'!F12+'[6]7. Fejlesztések'!F13+'[6]7. Fejlesztések'!F22+'[6]7. Fejlesztések'!F23+'[6]7. Fejlesztések'!F24+'[6]7. Fejlesztések'!F25+'[6]7. Fejlesztések'!F26+'[6]7. Fejlesztések'!F27</f>
        <v>727196350</v>
      </c>
      <c r="F55" s="88"/>
      <c r="G55" s="199"/>
      <c r="H55" s="199"/>
      <c r="I55" s="88">
        <f>+'[6]7. Fejlesztések'!I5+'[6]7. Fejlesztések'!I9+'[6]7. Fejlesztések'!I12+'[6]7. Fejlesztések'!I13+'[6]7. Fejlesztések'!I22+'[6]7. Fejlesztések'!I23+'[6]7. Fejlesztések'!I24+'[6]7. Fejlesztések'!I25+'[6]7. Fejlesztések'!I26+'[6]7. Fejlesztések'!I27+'[6]7. Fejlesztések'!I41</f>
        <v>761219350</v>
      </c>
      <c r="J55" s="88">
        <f>+'[6]7. Fejlesztések'!J5+'[6]7. Fejlesztések'!J9+'[6]7. Fejlesztések'!J12+'[6]7. Fejlesztések'!J13+'[6]7. Fejlesztések'!J22+'[6]7. Fejlesztések'!J23+'[6]7. Fejlesztések'!J24+'[6]7. Fejlesztések'!J25+'[6]7. Fejlesztések'!J26+'[6]7. Fejlesztések'!J27+'[6]7. Fejlesztések'!J30+'[6]7. Fejlesztések'!J31+'[6]7. Fejlesztések'!J32+'[6]7. Fejlesztések'!J33+'[6]7. Fejlesztések'!J34</f>
        <v>97223484</v>
      </c>
    </row>
    <row r="56" spans="1:10" s="198" customFormat="1" x14ac:dyDescent="0.25">
      <c r="A56" s="133"/>
      <c r="B56" s="147" t="s">
        <v>33</v>
      </c>
      <c r="C56" s="199"/>
      <c r="D56" s="199"/>
      <c r="E56" s="88">
        <f>+'[6]7. Fejlesztések'!F50+'[6]7. Fejlesztések'!F51+'[6]7. Fejlesztések'!F52+'[6]7. Fejlesztések'!F53+'[6]7. Fejlesztések'!F54+'[6]7. Fejlesztések'!F55+'[6]7. Fejlesztések'!F56+'[6]7. Fejlesztések'!F57+'[6]7. Fejlesztések'!F59</f>
        <v>152509840</v>
      </c>
      <c r="F56" s="88"/>
      <c r="G56" s="199"/>
      <c r="H56" s="199"/>
      <c r="I56" s="88">
        <f>+'[6]7. Fejlesztések'!I50+'[6]7. Fejlesztések'!I51+'[6]7. Fejlesztések'!I52+'[6]7. Fejlesztések'!I53+'[6]7. Fejlesztések'!I54+'[6]7. Fejlesztések'!I55+'[6]7. Fejlesztések'!I56+'[6]7. Fejlesztések'!I57+'[6]7. Fejlesztések'!I59+'[6]7. Fejlesztések'!I58+'[6]7. Fejlesztések'!I61</f>
        <v>199531609</v>
      </c>
      <c r="J56" s="88">
        <f>+'[6]7. Fejlesztések'!J50+'[6]7. Fejlesztések'!J51+'[6]7. Fejlesztések'!J52+'[6]7. Fejlesztések'!J53+'[6]7. Fejlesztések'!J54+'[6]7. Fejlesztések'!J55+'[6]7. Fejlesztések'!J56+'[6]7. Fejlesztések'!J57+'[6]7. Fejlesztések'!J59+'[6]7. Fejlesztések'!J60</f>
        <v>5426456</v>
      </c>
    </row>
    <row r="57" spans="1:10" s="198" customFormat="1" x14ac:dyDescent="0.25">
      <c r="A57" s="195" t="s">
        <v>388</v>
      </c>
      <c r="B57" s="150" t="s">
        <v>160</v>
      </c>
      <c r="C57" s="196"/>
      <c r="D57" s="196"/>
      <c r="E57" s="197">
        <f>SUM(E60)</f>
        <v>400000</v>
      </c>
      <c r="F57" s="197"/>
      <c r="G57" s="196"/>
      <c r="H57" s="196"/>
      <c r="I57" s="197">
        <f>SUM(I60)</f>
        <v>400000</v>
      </c>
      <c r="J57" s="197">
        <f>SUM(J60)</f>
        <v>0</v>
      </c>
    </row>
    <row r="58" spans="1:10" s="198" customFormat="1" x14ac:dyDescent="0.25">
      <c r="A58" s="195"/>
      <c r="B58" s="147" t="s">
        <v>13</v>
      </c>
      <c r="C58" s="196"/>
      <c r="D58" s="196"/>
      <c r="E58" s="197"/>
      <c r="F58" s="197"/>
      <c r="G58" s="196"/>
      <c r="H58" s="196"/>
      <c r="I58" s="197"/>
      <c r="J58" s="197"/>
    </row>
    <row r="59" spans="1:10" s="198" customFormat="1" x14ac:dyDescent="0.25">
      <c r="A59" s="195"/>
      <c r="B59" s="147" t="s">
        <v>376</v>
      </c>
      <c r="C59" s="196"/>
      <c r="D59" s="196"/>
      <c r="E59" s="197"/>
      <c r="F59" s="197"/>
      <c r="G59" s="196"/>
      <c r="H59" s="196"/>
      <c r="I59" s="197"/>
      <c r="J59" s="197"/>
    </row>
    <row r="60" spans="1:10" s="198" customFormat="1" x14ac:dyDescent="0.25">
      <c r="A60" s="133"/>
      <c r="B60" s="147" t="s">
        <v>19</v>
      </c>
      <c r="C60" s="199"/>
      <c r="D60" s="199"/>
      <c r="E60" s="88">
        <v>400000</v>
      </c>
      <c r="F60" s="88"/>
      <c r="G60" s="199"/>
      <c r="H60" s="199"/>
      <c r="I60" s="88">
        <v>400000</v>
      </c>
      <c r="J60" s="88"/>
    </row>
    <row r="61" spans="1:10" s="198" customFormat="1" x14ac:dyDescent="0.25">
      <c r="A61" s="195" t="s">
        <v>389</v>
      </c>
      <c r="B61" s="150" t="s">
        <v>390</v>
      </c>
      <c r="C61" s="196"/>
      <c r="D61" s="196"/>
      <c r="E61" s="197">
        <f>SUM(E62:E63)</f>
        <v>18000000</v>
      </c>
      <c r="F61" s="197"/>
      <c r="G61" s="196"/>
      <c r="H61" s="196"/>
      <c r="I61" s="197">
        <f>SUM(I62:I64)</f>
        <v>48233000</v>
      </c>
      <c r="J61" s="197">
        <f>SUM(J62:J64)</f>
        <v>22014966</v>
      </c>
    </row>
    <row r="62" spans="1:10" s="198" customFormat="1" x14ac:dyDescent="0.25">
      <c r="A62" s="195"/>
      <c r="B62" s="147" t="s">
        <v>19</v>
      </c>
      <c r="C62" s="196"/>
      <c r="D62" s="196"/>
      <c r="E62" s="197"/>
      <c r="F62" s="197"/>
      <c r="G62" s="196"/>
      <c r="H62" s="196"/>
      <c r="I62" s="197"/>
      <c r="J62" s="197"/>
    </row>
    <row r="63" spans="1:10" s="198" customFormat="1" x14ac:dyDescent="0.25">
      <c r="A63" s="133"/>
      <c r="B63" s="147" t="s">
        <v>22</v>
      </c>
      <c r="C63" s="199"/>
      <c r="D63" s="199"/>
      <c r="E63" s="88">
        <v>18000000</v>
      </c>
      <c r="F63" s="88"/>
      <c r="G63" s="199"/>
      <c r="H63" s="199"/>
      <c r="I63" s="88">
        <f>18000000+28500+204500</f>
        <v>18233000</v>
      </c>
      <c r="J63" s="88">
        <f>6454311+741755</f>
        <v>7196066</v>
      </c>
    </row>
    <row r="64" spans="1:10" s="198" customFormat="1" x14ac:dyDescent="0.25">
      <c r="A64" s="133"/>
      <c r="B64" s="147" t="s">
        <v>391</v>
      </c>
      <c r="C64" s="199"/>
      <c r="D64" s="199"/>
      <c r="E64" s="88"/>
      <c r="F64" s="88"/>
      <c r="G64" s="199"/>
      <c r="H64" s="199"/>
      <c r="I64" s="88">
        <v>30000000</v>
      </c>
      <c r="J64" s="88">
        <f>2946150+11872750</f>
        <v>14818900</v>
      </c>
    </row>
    <row r="65" spans="1:11" s="204" customFormat="1" x14ac:dyDescent="0.25">
      <c r="A65" s="195"/>
      <c r="B65" s="150" t="s">
        <v>392</v>
      </c>
      <c r="C65" s="196"/>
      <c r="D65" s="196"/>
      <c r="E65" s="197">
        <f>SUM(E66:E68)</f>
        <v>0</v>
      </c>
      <c r="F65" s="197"/>
      <c r="G65" s="196"/>
      <c r="H65" s="196"/>
      <c r="I65" s="197">
        <f>SUM(I66:I68)</f>
        <v>0</v>
      </c>
      <c r="J65" s="197">
        <f>SUM(J66:J68)</f>
        <v>0</v>
      </c>
    </row>
    <row r="66" spans="1:11" s="198" customFormat="1" hidden="1" x14ac:dyDescent="0.25">
      <c r="A66" s="133"/>
      <c r="B66" s="147"/>
      <c r="C66" s="199"/>
      <c r="D66" s="199"/>
      <c r="E66" s="88"/>
      <c r="F66" s="88"/>
      <c r="G66" s="199"/>
      <c r="H66" s="199"/>
      <c r="I66" s="88"/>
      <c r="J66" s="88"/>
    </row>
    <row r="67" spans="1:11" s="198" customFormat="1" hidden="1" x14ac:dyDescent="0.25">
      <c r="A67" s="133"/>
      <c r="B67" s="147"/>
      <c r="C67" s="199"/>
      <c r="D67" s="199"/>
      <c r="E67" s="88"/>
      <c r="F67" s="88"/>
      <c r="G67" s="199"/>
      <c r="H67" s="199"/>
      <c r="I67" s="88"/>
      <c r="J67" s="88"/>
    </row>
    <row r="68" spans="1:11" s="198" customFormat="1" hidden="1" x14ac:dyDescent="0.25">
      <c r="A68" s="133"/>
      <c r="B68" s="147"/>
      <c r="C68" s="199"/>
      <c r="D68" s="199"/>
      <c r="E68" s="88"/>
      <c r="F68" s="88"/>
      <c r="G68" s="199"/>
      <c r="H68" s="199"/>
      <c r="I68" s="88"/>
      <c r="J68" s="88"/>
    </row>
    <row r="69" spans="1:11" s="198" customFormat="1" x14ac:dyDescent="0.25">
      <c r="A69" s="195" t="s">
        <v>393</v>
      </c>
      <c r="B69" s="150" t="s">
        <v>174</v>
      </c>
      <c r="C69" s="199"/>
      <c r="D69" s="199"/>
      <c r="E69" s="197">
        <f>SUM(E70:E72)</f>
        <v>95000000</v>
      </c>
      <c r="F69" s="197"/>
      <c r="G69" s="199"/>
      <c r="H69" s="199"/>
      <c r="I69" s="197">
        <f>SUM(I70:I72)</f>
        <v>95000000</v>
      </c>
      <c r="J69" s="197">
        <f>SUM(J70:J72)</f>
        <v>1930116</v>
      </c>
    </row>
    <row r="70" spans="1:11" s="198" customFormat="1" x14ac:dyDescent="0.25">
      <c r="A70" s="133"/>
      <c r="B70" s="147" t="s">
        <v>19</v>
      </c>
      <c r="C70" s="199"/>
      <c r="D70" s="199"/>
      <c r="E70" s="88">
        <f>31500000+8500000-8000000</f>
        <v>32000000</v>
      </c>
      <c r="F70" s="88"/>
      <c r="G70" s="199"/>
      <c r="H70" s="199"/>
      <c r="I70" s="88">
        <f>31500000+8500000-8000000+61000000</f>
        <v>93000000</v>
      </c>
      <c r="J70" s="88">
        <v>1930116</v>
      </c>
    </row>
    <row r="71" spans="1:11" s="198" customFormat="1" hidden="1" x14ac:dyDescent="0.25">
      <c r="A71" s="133"/>
      <c r="B71" s="147" t="s">
        <v>31</v>
      </c>
      <c r="C71" s="199"/>
      <c r="D71" s="199"/>
      <c r="E71" s="88"/>
      <c r="F71" s="88"/>
      <c r="G71" s="199"/>
      <c r="H71" s="199"/>
      <c r="I71" s="88"/>
      <c r="J71" s="88"/>
    </row>
    <row r="72" spans="1:11" s="198" customFormat="1" x14ac:dyDescent="0.25">
      <c r="A72" s="133"/>
      <c r="B72" s="147" t="s">
        <v>33</v>
      </c>
      <c r="C72" s="199"/>
      <c r="D72" s="199"/>
      <c r="E72" s="88">
        <f>+'[6]7. Fejlesztések'!D49+'[6]7. Fejlesztések'!E49</f>
        <v>63000000</v>
      </c>
      <c r="F72" s="88"/>
      <c r="G72" s="199"/>
      <c r="H72" s="199"/>
      <c r="I72" s="88">
        <f>+'[6]7. Fejlesztések'!G49+'[6]7. Fejlesztések'!H49</f>
        <v>2000000</v>
      </c>
      <c r="J72" s="88">
        <f>+'[6]7. Fejlesztések'!J49</f>
        <v>0</v>
      </c>
    </row>
    <row r="73" spans="1:11" x14ac:dyDescent="0.25">
      <c r="A73" s="142" t="s">
        <v>27</v>
      </c>
      <c r="B73" s="193" t="s">
        <v>205</v>
      </c>
      <c r="C73" s="194"/>
      <c r="D73" s="194"/>
      <c r="E73" s="102">
        <f>+E74+E77+E80+E84+E88+E90+E92+E94+E96+E98+E100+E102+E104+E108+E113+E115+E118+E122+E124+E126+E128+E130+E132+E135+E138+E141+E143+E148+E150+E152+E155+E163+E170+E177+E181+E183+E187+E191+E193+E211+E215+E217+E197+E201+E205+E207+E219</f>
        <v>946597765</v>
      </c>
      <c r="F73" s="102"/>
      <c r="G73" s="194"/>
      <c r="H73" s="194"/>
      <c r="I73" s="102">
        <f>+I74+I77+I80+I84+I88+I90+I92+I94+I96+I98+I100+I102+I104+I108+I113+I115+I118+I122+I124+I126+I128+I130+I132+I135+I138+I141+I143+I146+I148+I150+I152+I155+I163+I170+I177+I181+I183+I187+I191+I193+I211+I215+I217+I197+I201+I205+I207+I219</f>
        <v>1210070012</v>
      </c>
      <c r="J73" s="102">
        <f>+J74+J77+J80+J84+J88+J90+J92+J94+J96+J98+J100+J102+J104+J108+J113+J115+J118+J122+J124+J126+J128+J130+J132+J135+J138+J141+J143+J146+J148+J150+J152+J155+J163+J170+J177+J181+J183+J187+J191+J193+J211+J215+J217+J197+J201+J205+J207+J219</f>
        <v>190856428</v>
      </c>
      <c r="K73" s="192"/>
    </row>
    <row r="74" spans="1:11" s="206" customFormat="1" x14ac:dyDescent="0.25">
      <c r="A74" s="195" t="s">
        <v>11</v>
      </c>
      <c r="B74" s="150" t="s">
        <v>207</v>
      </c>
      <c r="C74" s="205"/>
      <c r="D74" s="205"/>
      <c r="E74" s="197">
        <f>SUM(E75:E76)</f>
        <v>5360000</v>
      </c>
      <c r="F74" s="197"/>
      <c r="G74" s="205"/>
      <c r="H74" s="205"/>
      <c r="I74" s="197">
        <f>SUM(I75:I76)</f>
        <v>5360000</v>
      </c>
      <c r="J74" s="197">
        <f>SUM(J75:J76)</f>
        <v>2104096</v>
      </c>
    </row>
    <row r="75" spans="1:11" x14ac:dyDescent="0.25">
      <c r="A75" s="133"/>
      <c r="B75" s="147" t="s">
        <v>19</v>
      </c>
      <c r="C75" s="207"/>
      <c r="D75" s="207"/>
      <c r="E75" s="88">
        <f>400000+4860000+100000</f>
        <v>5360000</v>
      </c>
      <c r="F75" s="88"/>
      <c r="G75" s="207"/>
      <c r="H75" s="207"/>
      <c r="I75" s="88">
        <f>400000+4860000+100000</f>
        <v>5360000</v>
      </c>
      <c r="J75" s="88">
        <v>2104096</v>
      </c>
    </row>
    <row r="76" spans="1:11" x14ac:dyDescent="0.25">
      <c r="A76" s="133"/>
      <c r="B76" s="147" t="s">
        <v>31</v>
      </c>
      <c r="C76" s="207"/>
      <c r="D76" s="207"/>
      <c r="E76" s="88">
        <v>0</v>
      </c>
      <c r="F76" s="88"/>
      <c r="G76" s="207"/>
      <c r="H76" s="207"/>
      <c r="I76" s="88">
        <v>0</v>
      </c>
      <c r="J76" s="88">
        <v>0</v>
      </c>
    </row>
    <row r="77" spans="1:11" s="206" customFormat="1" x14ac:dyDescent="0.25">
      <c r="A77" s="195" t="s">
        <v>14</v>
      </c>
      <c r="B77" s="150" t="s">
        <v>209</v>
      </c>
      <c r="C77" s="205"/>
      <c r="D77" s="205"/>
      <c r="E77" s="197">
        <f>+E79+E78</f>
        <v>1000000</v>
      </c>
      <c r="F77" s="197"/>
      <c r="G77" s="205"/>
      <c r="H77" s="205"/>
      <c r="I77" s="197">
        <f>+I79+I78</f>
        <v>1000000</v>
      </c>
      <c r="J77" s="197">
        <f>+J79+J78</f>
        <v>151930</v>
      </c>
    </row>
    <row r="78" spans="1:11" x14ac:dyDescent="0.25">
      <c r="A78" s="133"/>
      <c r="B78" s="147" t="s">
        <v>19</v>
      </c>
      <c r="C78" s="207"/>
      <c r="D78" s="207"/>
      <c r="E78" s="88">
        <v>1000000</v>
      </c>
      <c r="F78" s="88"/>
      <c r="G78" s="207"/>
      <c r="H78" s="207"/>
      <c r="I78" s="88">
        <v>1000000</v>
      </c>
      <c r="J78" s="88">
        <v>0</v>
      </c>
    </row>
    <row r="79" spans="1:11" x14ac:dyDescent="0.25">
      <c r="A79" s="133"/>
      <c r="B79" s="147" t="s">
        <v>31</v>
      </c>
      <c r="C79" s="207"/>
      <c r="D79" s="207"/>
      <c r="E79" s="88"/>
      <c r="F79" s="88"/>
      <c r="G79" s="207"/>
      <c r="H79" s="207"/>
      <c r="I79" s="88"/>
      <c r="J79" s="88">
        <v>151930</v>
      </c>
    </row>
    <row r="80" spans="1:11" s="206" customFormat="1" x14ac:dyDescent="0.25">
      <c r="A80" s="195" t="s">
        <v>17</v>
      </c>
      <c r="B80" s="202" t="s">
        <v>394</v>
      </c>
      <c r="C80" s="208"/>
      <c r="D80" s="208"/>
      <c r="E80" s="179">
        <f>+E81+E82+E83</f>
        <v>1500000</v>
      </c>
      <c r="F80" s="179"/>
      <c r="G80" s="208"/>
      <c r="H80" s="208"/>
      <c r="I80" s="179">
        <f>+I81+I82+I83</f>
        <v>1500000</v>
      </c>
      <c r="J80" s="179">
        <f>+J81+J82+J83</f>
        <v>81960</v>
      </c>
    </row>
    <row r="81" spans="1:11" x14ac:dyDescent="0.25">
      <c r="A81" s="133"/>
      <c r="B81" s="200" t="s">
        <v>13</v>
      </c>
      <c r="C81" s="209"/>
      <c r="D81" s="209"/>
      <c r="E81" s="90">
        <v>500000</v>
      </c>
      <c r="F81" s="90"/>
      <c r="G81" s="209"/>
      <c r="H81" s="209"/>
      <c r="I81" s="90">
        <v>500000</v>
      </c>
      <c r="J81" s="90">
        <v>67990</v>
      </c>
    </row>
    <row r="82" spans="1:11" x14ac:dyDescent="0.25">
      <c r="A82" s="133"/>
      <c r="B82" s="200" t="s">
        <v>376</v>
      </c>
      <c r="C82" s="209"/>
      <c r="D82" s="209"/>
      <c r="E82" s="90">
        <v>250000</v>
      </c>
      <c r="F82" s="90"/>
      <c r="G82" s="209"/>
      <c r="H82" s="209"/>
      <c r="I82" s="90">
        <v>250000</v>
      </c>
      <c r="J82" s="90">
        <v>13970</v>
      </c>
    </row>
    <row r="83" spans="1:11" x14ac:dyDescent="0.25">
      <c r="A83" s="133"/>
      <c r="B83" s="200" t="s">
        <v>19</v>
      </c>
      <c r="C83" s="209"/>
      <c r="D83" s="209"/>
      <c r="E83" s="90">
        <f>400000+100000+250000</f>
        <v>750000</v>
      </c>
      <c r="F83" s="90"/>
      <c r="G83" s="209"/>
      <c r="H83" s="209"/>
      <c r="I83" s="90">
        <f>400000+100000+250000</f>
        <v>750000</v>
      </c>
      <c r="J83" s="90">
        <v>0</v>
      </c>
    </row>
    <row r="84" spans="1:11" s="206" customFormat="1" x14ac:dyDescent="0.25">
      <c r="A84" s="195" t="s">
        <v>20</v>
      </c>
      <c r="B84" s="150" t="s">
        <v>395</v>
      </c>
      <c r="C84" s="205"/>
      <c r="D84" s="205"/>
      <c r="E84" s="197">
        <f>+E85+E86+E87</f>
        <v>4000000</v>
      </c>
      <c r="F84" s="197"/>
      <c r="G84" s="205"/>
      <c r="H84" s="205"/>
      <c r="I84" s="197">
        <f>+I85+I86+I87</f>
        <v>4000000</v>
      </c>
      <c r="J84" s="197">
        <f>+J85+J86+J87</f>
        <v>450000</v>
      </c>
    </row>
    <row r="85" spans="1:11" x14ac:dyDescent="0.25">
      <c r="A85" s="133"/>
      <c r="B85" s="147" t="s">
        <v>13</v>
      </c>
      <c r="C85" s="207"/>
      <c r="D85" s="207"/>
      <c r="E85" s="88">
        <v>1500000</v>
      </c>
      <c r="F85" s="88"/>
      <c r="G85" s="207"/>
      <c r="H85" s="207"/>
      <c r="I85" s="88">
        <v>1500000</v>
      </c>
      <c r="J85" s="88"/>
    </row>
    <row r="86" spans="1:11" x14ac:dyDescent="0.25">
      <c r="A86" s="133"/>
      <c r="B86" s="147" t="s">
        <v>376</v>
      </c>
      <c r="C86" s="207"/>
      <c r="D86" s="207"/>
      <c r="E86" s="88"/>
      <c r="F86" s="88"/>
      <c r="G86" s="207"/>
      <c r="H86" s="207"/>
      <c r="I86" s="88"/>
      <c r="J86" s="88"/>
    </row>
    <row r="87" spans="1:11" x14ac:dyDescent="0.25">
      <c r="A87" s="133"/>
      <c r="B87" s="147" t="s">
        <v>396</v>
      </c>
      <c r="C87" s="207"/>
      <c r="D87" s="207"/>
      <c r="E87" s="88">
        <v>2500000</v>
      </c>
      <c r="F87" s="88"/>
      <c r="G87" s="207"/>
      <c r="H87" s="207"/>
      <c r="I87" s="88">
        <v>2500000</v>
      </c>
      <c r="J87" s="88">
        <v>450000</v>
      </c>
    </row>
    <row r="88" spans="1:11" s="206" customFormat="1" x14ac:dyDescent="0.25">
      <c r="A88" s="195" t="s">
        <v>23</v>
      </c>
      <c r="B88" s="150" t="s">
        <v>397</v>
      </c>
      <c r="C88" s="205"/>
      <c r="D88" s="205"/>
      <c r="E88" s="197">
        <f>+E89</f>
        <v>6308000</v>
      </c>
      <c r="F88" s="197"/>
      <c r="G88" s="205"/>
      <c r="H88" s="205"/>
      <c r="I88" s="197">
        <f>+I89</f>
        <v>6308000</v>
      </c>
      <c r="J88" s="197">
        <f>+J89</f>
        <v>0</v>
      </c>
    </row>
    <row r="89" spans="1:11" x14ac:dyDescent="0.25">
      <c r="A89" s="133"/>
      <c r="B89" s="147" t="s">
        <v>19</v>
      </c>
      <c r="C89" s="207"/>
      <c r="D89" s="207"/>
      <c r="E89" s="88">
        <v>6308000</v>
      </c>
      <c r="F89" s="88"/>
      <c r="G89" s="207"/>
      <c r="H89" s="207"/>
      <c r="I89" s="88">
        <v>6308000</v>
      </c>
      <c r="J89" s="88"/>
    </row>
    <row r="90" spans="1:11" s="206" customFormat="1" x14ac:dyDescent="0.25">
      <c r="A90" s="195" t="s">
        <v>377</v>
      </c>
      <c r="B90" s="150" t="s">
        <v>398</v>
      </c>
      <c r="C90" s="205"/>
      <c r="D90" s="205"/>
      <c r="E90" s="197">
        <f>+E91</f>
        <v>5000000</v>
      </c>
      <c r="F90" s="197"/>
      <c r="G90" s="205"/>
      <c r="H90" s="205"/>
      <c r="I90" s="197">
        <f>+I91</f>
        <v>5000000</v>
      </c>
      <c r="J90" s="197">
        <f>+J91</f>
        <v>1600000</v>
      </c>
    </row>
    <row r="91" spans="1:11" x14ac:dyDescent="0.25">
      <c r="A91" s="133"/>
      <c r="B91" s="147" t="s">
        <v>19</v>
      </c>
      <c r="C91" s="207"/>
      <c r="D91" s="207"/>
      <c r="E91" s="88">
        <v>5000000</v>
      </c>
      <c r="F91" s="88"/>
      <c r="G91" s="207"/>
      <c r="H91" s="207"/>
      <c r="I91" s="88">
        <v>5000000</v>
      </c>
      <c r="J91" s="88">
        <v>1600000</v>
      </c>
    </row>
    <row r="92" spans="1:11" s="210" customFormat="1" x14ac:dyDescent="0.25">
      <c r="A92" s="195" t="s">
        <v>379</v>
      </c>
      <c r="B92" s="150" t="s">
        <v>399</v>
      </c>
      <c r="C92" s="205"/>
      <c r="D92" s="205"/>
      <c r="E92" s="197">
        <f>+E93</f>
        <v>5810400</v>
      </c>
      <c r="F92" s="197"/>
      <c r="G92" s="205"/>
      <c r="H92" s="205"/>
      <c r="I92" s="197">
        <f>+I93</f>
        <v>5810400</v>
      </c>
      <c r="J92" s="197">
        <f>+J93</f>
        <v>2246400</v>
      </c>
      <c r="K92" s="206"/>
    </row>
    <row r="93" spans="1:11" x14ac:dyDescent="0.25">
      <c r="A93" s="133"/>
      <c r="B93" s="147" t="s">
        <v>19</v>
      </c>
      <c r="C93" s="207"/>
      <c r="D93" s="207"/>
      <c r="E93" s="88">
        <f>3550000+1032000+1228400</f>
        <v>5810400</v>
      </c>
      <c r="F93" s="88"/>
      <c r="G93" s="207"/>
      <c r="H93" s="207"/>
      <c r="I93" s="88">
        <f>3550000+1032000+1228400</f>
        <v>5810400</v>
      </c>
      <c r="J93" s="88">
        <v>2246400</v>
      </c>
    </row>
    <row r="94" spans="1:11" s="211" customFormat="1" x14ac:dyDescent="0.25">
      <c r="A94" s="195" t="s">
        <v>381</v>
      </c>
      <c r="B94" s="202" t="s">
        <v>221</v>
      </c>
      <c r="C94" s="208"/>
      <c r="D94" s="208"/>
      <c r="E94" s="179">
        <f>+E95</f>
        <v>1080000</v>
      </c>
      <c r="F94" s="179"/>
      <c r="G94" s="208"/>
      <c r="H94" s="208"/>
      <c r="I94" s="179">
        <f>+I95</f>
        <v>1080000</v>
      </c>
      <c r="J94" s="179">
        <f>+J95</f>
        <v>0</v>
      </c>
    </row>
    <row r="95" spans="1:11" s="212" customFormat="1" x14ac:dyDescent="0.25">
      <c r="A95" s="133"/>
      <c r="B95" s="200" t="s">
        <v>19</v>
      </c>
      <c r="C95" s="209"/>
      <c r="D95" s="209"/>
      <c r="E95" s="90">
        <v>1080000</v>
      </c>
      <c r="F95" s="90"/>
      <c r="G95" s="209"/>
      <c r="H95" s="209"/>
      <c r="I95" s="90">
        <v>1080000</v>
      </c>
      <c r="J95" s="90"/>
    </row>
    <row r="96" spans="1:11" s="206" customFormat="1" x14ac:dyDescent="0.25">
      <c r="A96" s="195" t="s">
        <v>382</v>
      </c>
      <c r="B96" s="150" t="s">
        <v>223</v>
      </c>
      <c r="C96" s="205"/>
      <c r="D96" s="205"/>
      <c r="E96" s="197">
        <f>+E97</f>
        <v>0</v>
      </c>
      <c r="F96" s="197"/>
      <c r="G96" s="205"/>
      <c r="H96" s="205"/>
      <c r="I96" s="197">
        <f>+I97</f>
        <v>0</v>
      </c>
      <c r="J96" s="197">
        <f>+J97</f>
        <v>0</v>
      </c>
    </row>
    <row r="97" spans="1:11" x14ac:dyDescent="0.25">
      <c r="A97" s="133"/>
      <c r="B97" s="147" t="s">
        <v>19</v>
      </c>
      <c r="C97" s="207"/>
      <c r="D97" s="207"/>
      <c r="E97" s="88"/>
      <c r="F97" s="88"/>
      <c r="G97" s="207"/>
      <c r="H97" s="207"/>
      <c r="I97" s="88"/>
      <c r="J97" s="88"/>
    </row>
    <row r="98" spans="1:11" s="206" customFormat="1" x14ac:dyDescent="0.25">
      <c r="A98" s="195" t="s">
        <v>384</v>
      </c>
      <c r="B98" s="150" t="s">
        <v>225</v>
      </c>
      <c r="C98" s="205"/>
      <c r="D98" s="205"/>
      <c r="E98" s="197">
        <f>+E99</f>
        <v>2286000</v>
      </c>
      <c r="F98" s="197"/>
      <c r="G98" s="205"/>
      <c r="H98" s="205"/>
      <c r="I98" s="197">
        <f>+I99</f>
        <v>2286000</v>
      </c>
      <c r="J98" s="197">
        <f>+J99</f>
        <v>952500</v>
      </c>
    </row>
    <row r="99" spans="1:11" x14ac:dyDescent="0.25">
      <c r="A99" s="133"/>
      <c r="B99" s="147" t="s">
        <v>19</v>
      </c>
      <c r="C99" s="207"/>
      <c r="D99" s="207"/>
      <c r="E99" s="88">
        <f>1800000+486000</f>
        <v>2286000</v>
      </c>
      <c r="F99" s="88"/>
      <c r="G99" s="207"/>
      <c r="H99" s="207"/>
      <c r="I99" s="88">
        <f>1800000+486000</f>
        <v>2286000</v>
      </c>
      <c r="J99" s="88">
        <v>952500</v>
      </c>
    </row>
    <row r="100" spans="1:11" s="206" customFormat="1" x14ac:dyDescent="0.25">
      <c r="A100" s="195" t="s">
        <v>386</v>
      </c>
      <c r="B100" s="150" t="s">
        <v>227</v>
      </c>
      <c r="C100" s="205"/>
      <c r="D100" s="205"/>
      <c r="E100" s="197">
        <f>+E101</f>
        <v>2420000</v>
      </c>
      <c r="F100" s="197"/>
      <c r="G100" s="205"/>
      <c r="H100" s="205"/>
      <c r="I100" s="197">
        <f>+I101</f>
        <v>2420000</v>
      </c>
      <c r="J100" s="197">
        <f>+J101</f>
        <v>1008170</v>
      </c>
    </row>
    <row r="101" spans="1:11" x14ac:dyDescent="0.25">
      <c r="A101" s="133"/>
      <c r="B101" s="147" t="s">
        <v>19</v>
      </c>
      <c r="C101" s="207"/>
      <c r="D101" s="207"/>
      <c r="E101" s="88">
        <f>1905000+515000</f>
        <v>2420000</v>
      </c>
      <c r="F101" s="88"/>
      <c r="G101" s="207"/>
      <c r="H101" s="207"/>
      <c r="I101" s="88">
        <f>1905000+515000</f>
        <v>2420000</v>
      </c>
      <c r="J101" s="88">
        <v>1008170</v>
      </c>
    </row>
    <row r="102" spans="1:11" s="210" customFormat="1" x14ac:dyDescent="0.25">
      <c r="A102" s="195" t="s">
        <v>388</v>
      </c>
      <c r="B102" s="150" t="s">
        <v>229</v>
      </c>
      <c r="C102" s="196"/>
      <c r="D102" s="196"/>
      <c r="E102" s="197">
        <f>+E103</f>
        <v>2400000</v>
      </c>
      <c r="F102" s="197"/>
      <c r="G102" s="196"/>
      <c r="H102" s="196"/>
      <c r="I102" s="197">
        <f>+I103</f>
        <v>2400000</v>
      </c>
      <c r="J102" s="197">
        <f>+J103</f>
        <v>236200</v>
      </c>
      <c r="K102" s="206"/>
    </row>
    <row r="103" spans="1:11" s="213" customFormat="1" x14ac:dyDescent="0.25">
      <c r="A103" s="133"/>
      <c r="B103" s="147" t="s">
        <v>19</v>
      </c>
      <c r="C103" s="199"/>
      <c r="D103" s="199"/>
      <c r="E103" s="88">
        <v>2400000</v>
      </c>
      <c r="F103" s="88"/>
      <c r="G103" s="199"/>
      <c r="H103" s="199"/>
      <c r="I103" s="88">
        <v>2400000</v>
      </c>
      <c r="J103" s="88">
        <v>236200</v>
      </c>
    </row>
    <row r="104" spans="1:11" s="206" customFormat="1" x14ac:dyDescent="0.25">
      <c r="A104" s="195" t="s">
        <v>389</v>
      </c>
      <c r="B104" s="150" t="s">
        <v>400</v>
      </c>
      <c r="C104" s="196"/>
      <c r="D104" s="196"/>
      <c r="E104" s="197">
        <f>+E105+E106+E107</f>
        <v>2540000</v>
      </c>
      <c r="F104" s="197"/>
      <c r="G104" s="196"/>
      <c r="H104" s="196"/>
      <c r="I104" s="197">
        <f>+I105+I106+I107</f>
        <v>2540000</v>
      </c>
      <c r="J104" s="197">
        <f>+J105+J106+J107</f>
        <v>0</v>
      </c>
    </row>
    <row r="105" spans="1:11" s="206" customFormat="1" x14ac:dyDescent="0.25">
      <c r="A105" s="195"/>
      <c r="B105" s="147" t="s">
        <v>13</v>
      </c>
      <c r="C105" s="196"/>
      <c r="D105" s="196"/>
      <c r="E105" s="197"/>
      <c r="F105" s="197"/>
      <c r="G105" s="196"/>
      <c r="H105" s="196"/>
      <c r="I105" s="197"/>
      <c r="J105" s="197"/>
    </row>
    <row r="106" spans="1:11" s="206" customFormat="1" x14ac:dyDescent="0.25">
      <c r="A106" s="195"/>
      <c r="B106" s="147" t="s">
        <v>376</v>
      </c>
      <c r="C106" s="196"/>
      <c r="D106" s="196"/>
      <c r="E106" s="197"/>
      <c r="F106" s="197"/>
      <c r="G106" s="196"/>
      <c r="H106" s="196"/>
      <c r="I106" s="197"/>
      <c r="J106" s="197"/>
    </row>
    <row r="107" spans="1:11" x14ac:dyDescent="0.25">
      <c r="A107" s="133"/>
      <c r="B107" s="147" t="s">
        <v>19</v>
      </c>
      <c r="C107" s="199"/>
      <c r="D107" s="199"/>
      <c r="E107" s="88">
        <f>2000000+540000</f>
        <v>2540000</v>
      </c>
      <c r="F107" s="88"/>
      <c r="G107" s="199"/>
      <c r="H107" s="199"/>
      <c r="I107" s="88">
        <f>2000000+540000</f>
        <v>2540000</v>
      </c>
      <c r="J107" s="88"/>
    </row>
    <row r="108" spans="1:11" s="210" customFormat="1" x14ac:dyDescent="0.25">
      <c r="A108" s="195" t="s">
        <v>393</v>
      </c>
      <c r="B108" s="150" t="s">
        <v>233</v>
      </c>
      <c r="C108" s="196"/>
      <c r="D108" s="196"/>
      <c r="E108" s="197">
        <f>SUM(E109:E112)</f>
        <v>17819045</v>
      </c>
      <c r="F108" s="197"/>
      <c r="G108" s="196"/>
      <c r="H108" s="196"/>
      <c r="I108" s="197">
        <f>SUM(I109:I112)</f>
        <v>19446133</v>
      </c>
      <c r="J108" s="197">
        <f>SUM(J109:J112)</f>
        <v>11185728</v>
      </c>
      <c r="K108" s="206"/>
    </row>
    <row r="109" spans="1:11" s="213" customFormat="1" x14ac:dyDescent="0.25">
      <c r="A109" s="133"/>
      <c r="B109" s="147" t="s">
        <v>13</v>
      </c>
      <c r="C109" s="199"/>
      <c r="D109" s="199"/>
      <c r="E109" s="88"/>
      <c r="F109" s="88"/>
      <c r="G109" s="199"/>
      <c r="H109" s="199"/>
      <c r="I109" s="88"/>
      <c r="J109" s="88"/>
    </row>
    <row r="110" spans="1:11" s="213" customFormat="1" x14ac:dyDescent="0.25">
      <c r="A110" s="133"/>
      <c r="B110" s="147" t="s">
        <v>376</v>
      </c>
      <c r="C110" s="199"/>
      <c r="D110" s="199"/>
      <c r="E110" s="88"/>
      <c r="F110" s="88"/>
      <c r="G110" s="199"/>
      <c r="H110" s="199"/>
      <c r="I110" s="88"/>
      <c r="J110" s="88"/>
    </row>
    <row r="111" spans="1:11" s="213" customFormat="1" x14ac:dyDescent="0.25">
      <c r="A111" s="214"/>
      <c r="B111" s="147" t="s">
        <v>19</v>
      </c>
      <c r="C111" s="199"/>
      <c r="D111" s="199"/>
      <c r="E111" s="88">
        <v>17819045</v>
      </c>
      <c r="F111" s="88"/>
      <c r="G111" s="199"/>
      <c r="H111" s="199"/>
      <c r="I111" s="88">
        <f>17819045+1281172+345916</f>
        <v>19446133</v>
      </c>
      <c r="J111" s="88">
        <v>11185728</v>
      </c>
    </row>
    <row r="112" spans="1:11" s="213" customFormat="1" x14ac:dyDescent="0.25">
      <c r="A112" s="214"/>
      <c r="B112" s="147" t="s">
        <v>31</v>
      </c>
      <c r="C112" s="199"/>
      <c r="D112" s="199"/>
      <c r="E112" s="88"/>
      <c r="F112" s="88"/>
      <c r="G112" s="199"/>
      <c r="H112" s="199"/>
      <c r="I112" s="88"/>
      <c r="J112" s="88"/>
    </row>
    <row r="113" spans="1:10" s="211" customFormat="1" ht="30" x14ac:dyDescent="0.25">
      <c r="A113" s="195" t="s">
        <v>401</v>
      </c>
      <c r="B113" s="202" t="s">
        <v>402</v>
      </c>
      <c r="C113" s="203"/>
      <c r="D113" s="203"/>
      <c r="E113" s="179">
        <f>+E114</f>
        <v>8163000</v>
      </c>
      <c r="F113" s="179"/>
      <c r="G113" s="203"/>
      <c r="H113" s="203"/>
      <c r="I113" s="179">
        <f>+I114</f>
        <v>8163000</v>
      </c>
      <c r="J113" s="179">
        <f>+J114</f>
        <v>4081500</v>
      </c>
    </row>
    <row r="114" spans="1:10" x14ac:dyDescent="0.25">
      <c r="A114" s="133"/>
      <c r="B114" s="147" t="s">
        <v>396</v>
      </c>
      <c r="C114" s="207"/>
      <c r="D114" s="207"/>
      <c r="E114" s="88">
        <v>8163000</v>
      </c>
      <c r="F114" s="88"/>
      <c r="G114" s="207"/>
      <c r="H114" s="207"/>
      <c r="I114" s="88">
        <v>8163000</v>
      </c>
      <c r="J114" s="88">
        <v>4081500</v>
      </c>
    </row>
    <row r="115" spans="1:10" s="206" customFormat="1" x14ac:dyDescent="0.25">
      <c r="A115" s="195" t="s">
        <v>403</v>
      </c>
      <c r="B115" s="150" t="s">
        <v>404</v>
      </c>
      <c r="C115" s="205"/>
      <c r="D115" s="205"/>
      <c r="E115" s="197">
        <f>+E116+E117</f>
        <v>3024000</v>
      </c>
      <c r="F115" s="197"/>
      <c r="G115" s="205"/>
      <c r="H115" s="205"/>
      <c r="I115" s="197">
        <f>+I116+I117</f>
        <v>3024000</v>
      </c>
      <c r="J115" s="197">
        <f>+J116+J117</f>
        <v>0</v>
      </c>
    </row>
    <row r="116" spans="1:10" x14ac:dyDescent="0.25">
      <c r="A116" s="133"/>
      <c r="B116" s="147" t="s">
        <v>19</v>
      </c>
      <c r="C116" s="207"/>
      <c r="D116" s="207"/>
      <c r="E116" s="88"/>
      <c r="F116" s="88"/>
      <c r="G116" s="207"/>
      <c r="H116" s="207"/>
      <c r="I116" s="88"/>
      <c r="J116" s="88"/>
    </row>
    <row r="117" spans="1:10" x14ac:dyDescent="0.25">
      <c r="A117" s="133"/>
      <c r="B117" s="147" t="s">
        <v>396</v>
      </c>
      <c r="C117" s="207"/>
      <c r="D117" s="207"/>
      <c r="E117" s="88">
        <f>336000*9</f>
        <v>3024000</v>
      </c>
      <c r="F117" s="88"/>
      <c r="G117" s="207"/>
      <c r="H117" s="207"/>
      <c r="I117" s="88">
        <f>336000*9</f>
        <v>3024000</v>
      </c>
      <c r="J117" s="88"/>
    </row>
    <row r="118" spans="1:10" s="206" customFormat="1" ht="31.5" customHeight="1" x14ac:dyDescent="0.25">
      <c r="A118" s="195" t="s">
        <v>405</v>
      </c>
      <c r="B118" s="202" t="s">
        <v>406</v>
      </c>
      <c r="C118" s="205"/>
      <c r="D118" s="205"/>
      <c r="E118" s="197">
        <f>+E119</f>
        <v>32945000</v>
      </c>
      <c r="F118" s="197"/>
      <c r="G118" s="205"/>
      <c r="H118" s="205"/>
      <c r="I118" s="197">
        <f>+I119</f>
        <v>32945000</v>
      </c>
      <c r="J118" s="197">
        <f>+J119</f>
        <v>12437500</v>
      </c>
    </row>
    <row r="119" spans="1:10" x14ac:dyDescent="0.25">
      <c r="A119" s="133"/>
      <c r="B119" s="147" t="s">
        <v>396</v>
      </c>
      <c r="C119" s="207"/>
      <c r="D119" s="207"/>
      <c r="E119" s="88">
        <f>+E120+E121</f>
        <v>32945000</v>
      </c>
      <c r="F119" s="88"/>
      <c r="G119" s="207"/>
      <c r="H119" s="207"/>
      <c r="I119" s="88">
        <f>+I120+I121</f>
        <v>32945000</v>
      </c>
      <c r="J119" s="88">
        <v>12437500</v>
      </c>
    </row>
    <row r="120" spans="1:10" x14ac:dyDescent="0.25">
      <c r="A120" s="133"/>
      <c r="B120" s="147" t="s">
        <v>407</v>
      </c>
      <c r="C120" s="207"/>
      <c r="D120" s="207"/>
      <c r="E120" s="88">
        <v>5000000</v>
      </c>
      <c r="F120" s="88"/>
      <c r="G120" s="207"/>
      <c r="H120" s="207"/>
      <c r="I120" s="88">
        <v>5000000</v>
      </c>
      <c r="J120" s="88">
        <v>2500000</v>
      </c>
    </row>
    <row r="121" spans="1:10" x14ac:dyDescent="0.25">
      <c r="A121" s="133"/>
      <c r="B121" s="147" t="s">
        <v>408</v>
      </c>
      <c r="C121" s="207"/>
      <c r="D121" s="207"/>
      <c r="E121" s="88">
        <f>27000000+714000+231000</f>
        <v>27945000</v>
      </c>
      <c r="F121" s="88"/>
      <c r="G121" s="207"/>
      <c r="H121" s="207"/>
      <c r="I121" s="88">
        <f>27000000+714000+231000</f>
        <v>27945000</v>
      </c>
      <c r="J121" s="88">
        <v>9937500</v>
      </c>
    </row>
    <row r="122" spans="1:10" s="206" customFormat="1" x14ac:dyDescent="0.25">
      <c r="A122" s="195" t="s">
        <v>409</v>
      </c>
      <c r="B122" s="150" t="s">
        <v>410</v>
      </c>
      <c r="C122" s="205"/>
      <c r="D122" s="205"/>
      <c r="E122" s="197">
        <f>+E123</f>
        <v>2000000</v>
      </c>
      <c r="F122" s="197"/>
      <c r="G122" s="205"/>
      <c r="H122" s="205"/>
      <c r="I122" s="197">
        <f>+I123</f>
        <v>2000000</v>
      </c>
      <c r="J122" s="197">
        <f>+J123</f>
        <v>1000000</v>
      </c>
    </row>
    <row r="123" spans="1:10" x14ac:dyDescent="0.25">
      <c r="A123" s="133"/>
      <c r="B123" s="147" t="s">
        <v>396</v>
      </c>
      <c r="C123" s="207"/>
      <c r="D123" s="207"/>
      <c r="E123" s="88">
        <v>2000000</v>
      </c>
      <c r="F123" s="88"/>
      <c r="G123" s="207"/>
      <c r="H123" s="207"/>
      <c r="I123" s="88">
        <v>2000000</v>
      </c>
      <c r="J123" s="88">
        <v>1000000</v>
      </c>
    </row>
    <row r="124" spans="1:10" s="206" customFormat="1" x14ac:dyDescent="0.25">
      <c r="A124" s="195" t="s">
        <v>411</v>
      </c>
      <c r="B124" s="150" t="s">
        <v>412</v>
      </c>
      <c r="C124" s="205"/>
      <c r="D124" s="205"/>
      <c r="E124" s="197">
        <f>+E125</f>
        <v>200000</v>
      </c>
      <c r="F124" s="197"/>
      <c r="G124" s="205"/>
      <c r="H124" s="205"/>
      <c r="I124" s="197">
        <f>+I125</f>
        <v>200000</v>
      </c>
      <c r="J124" s="197">
        <f>+J125</f>
        <v>100000</v>
      </c>
    </row>
    <row r="125" spans="1:10" x14ac:dyDescent="0.25">
      <c r="A125" s="133"/>
      <c r="B125" s="147" t="s">
        <v>396</v>
      </c>
      <c r="C125" s="207"/>
      <c r="D125" s="207"/>
      <c r="E125" s="88">
        <v>200000</v>
      </c>
      <c r="F125" s="88"/>
      <c r="G125" s="207"/>
      <c r="H125" s="207"/>
      <c r="I125" s="88">
        <v>200000</v>
      </c>
      <c r="J125" s="88">
        <v>100000</v>
      </c>
    </row>
    <row r="126" spans="1:10" s="206" customFormat="1" x14ac:dyDescent="0.25">
      <c r="A126" s="195" t="s">
        <v>413</v>
      </c>
      <c r="B126" s="150" t="s">
        <v>245</v>
      </c>
      <c r="C126" s="205"/>
      <c r="D126" s="205"/>
      <c r="E126" s="197">
        <f>+E127</f>
        <v>3000000</v>
      </c>
      <c r="F126" s="197"/>
      <c r="G126" s="205"/>
      <c r="H126" s="205"/>
      <c r="I126" s="197">
        <f>+I127</f>
        <v>3000000</v>
      </c>
      <c r="J126" s="197">
        <f>+J127</f>
        <v>0</v>
      </c>
    </row>
    <row r="127" spans="1:10" x14ac:dyDescent="0.25">
      <c r="A127" s="133"/>
      <c r="B127" s="147" t="s">
        <v>383</v>
      </c>
      <c r="C127" s="207"/>
      <c r="D127" s="207"/>
      <c r="E127" s="88">
        <v>3000000</v>
      </c>
      <c r="F127" s="88"/>
      <c r="G127" s="207"/>
      <c r="H127" s="207"/>
      <c r="I127" s="88">
        <v>3000000</v>
      </c>
      <c r="J127" s="88"/>
    </row>
    <row r="128" spans="1:10" s="206" customFormat="1" x14ac:dyDescent="0.25">
      <c r="A128" s="195" t="s">
        <v>414</v>
      </c>
      <c r="B128" s="150" t="s">
        <v>247</v>
      </c>
      <c r="C128" s="205"/>
      <c r="D128" s="205"/>
      <c r="E128" s="197">
        <f>+E129</f>
        <v>5400000</v>
      </c>
      <c r="F128" s="197"/>
      <c r="G128" s="205"/>
      <c r="H128" s="205"/>
      <c r="I128" s="197">
        <f>+I129</f>
        <v>5400000</v>
      </c>
      <c r="J128" s="197">
        <f>+J129</f>
        <v>5400000</v>
      </c>
    </row>
    <row r="129" spans="1:11" x14ac:dyDescent="0.25">
      <c r="A129" s="133"/>
      <c r="B129" s="147" t="s">
        <v>383</v>
      </c>
      <c r="C129" s="207"/>
      <c r="D129" s="207"/>
      <c r="E129" s="88">
        <v>5400000</v>
      </c>
      <c r="F129" s="88"/>
      <c r="G129" s="207"/>
      <c r="H129" s="207"/>
      <c r="I129" s="88">
        <v>5400000</v>
      </c>
      <c r="J129" s="88">
        <v>5400000</v>
      </c>
    </row>
    <row r="130" spans="1:11" s="206" customFormat="1" x14ac:dyDescent="0.25">
      <c r="A130" s="195" t="s">
        <v>415</v>
      </c>
      <c r="B130" s="150" t="s">
        <v>249</v>
      </c>
      <c r="C130" s="205"/>
      <c r="D130" s="205"/>
      <c r="E130" s="197">
        <f>+E131</f>
        <v>400000</v>
      </c>
      <c r="F130" s="197"/>
      <c r="G130" s="205"/>
      <c r="H130" s="205"/>
      <c r="I130" s="197">
        <f>+I131</f>
        <v>400000</v>
      </c>
      <c r="J130" s="197">
        <f>+J131</f>
        <v>0</v>
      </c>
    </row>
    <row r="131" spans="1:11" x14ac:dyDescent="0.25">
      <c r="A131" s="133"/>
      <c r="B131" s="147" t="s">
        <v>383</v>
      </c>
      <c r="C131" s="207"/>
      <c r="D131" s="207"/>
      <c r="E131" s="88">
        <v>400000</v>
      </c>
      <c r="F131" s="88"/>
      <c r="G131" s="207"/>
      <c r="H131" s="207"/>
      <c r="I131" s="88">
        <v>400000</v>
      </c>
      <c r="J131" s="88"/>
    </row>
    <row r="132" spans="1:11" s="206" customFormat="1" x14ac:dyDescent="0.25">
      <c r="A132" s="195" t="s">
        <v>416</v>
      </c>
      <c r="B132" s="150" t="s">
        <v>417</v>
      </c>
      <c r="C132" s="205"/>
      <c r="D132" s="205"/>
      <c r="E132" s="197">
        <f>+E133+E134</f>
        <v>81300000</v>
      </c>
      <c r="F132" s="197"/>
      <c r="G132" s="205"/>
      <c r="H132" s="205"/>
      <c r="I132" s="197">
        <f>+I133+I134</f>
        <v>81300000</v>
      </c>
      <c r="J132" s="197">
        <f>+J133+J134</f>
        <v>6762069</v>
      </c>
    </row>
    <row r="133" spans="1:11" x14ac:dyDescent="0.25">
      <c r="A133" s="133"/>
      <c r="B133" s="147" t="s">
        <v>19</v>
      </c>
      <c r="C133" s="207"/>
      <c r="D133" s="207"/>
      <c r="E133" s="88"/>
      <c r="F133" s="88"/>
      <c r="G133" s="207"/>
      <c r="H133" s="207"/>
      <c r="I133" s="88"/>
      <c r="J133" s="88"/>
    </row>
    <row r="134" spans="1:11" x14ac:dyDescent="0.25">
      <c r="A134" s="133"/>
      <c r="B134" s="147" t="s">
        <v>383</v>
      </c>
      <c r="C134" s="207"/>
      <c r="D134" s="207"/>
      <c r="E134" s="88">
        <v>81300000</v>
      </c>
      <c r="F134" s="88"/>
      <c r="G134" s="207"/>
      <c r="H134" s="207"/>
      <c r="I134" s="88">
        <v>81300000</v>
      </c>
      <c r="J134" s="88">
        <v>6762069</v>
      </c>
    </row>
    <row r="135" spans="1:11" s="204" customFormat="1" x14ac:dyDescent="0.25">
      <c r="A135" s="195" t="s">
        <v>418</v>
      </c>
      <c r="B135" s="150" t="s">
        <v>253</v>
      </c>
      <c r="C135" s="205"/>
      <c r="D135" s="205"/>
      <c r="E135" s="197">
        <f>+E136+E137</f>
        <v>45380000</v>
      </c>
      <c r="F135" s="197"/>
      <c r="G135" s="205"/>
      <c r="H135" s="205"/>
      <c r="I135" s="197">
        <f>+I136+I137</f>
        <v>46861000</v>
      </c>
      <c r="J135" s="197">
        <f>+J136+J137</f>
        <v>20389335</v>
      </c>
      <c r="K135" s="206"/>
    </row>
    <row r="136" spans="1:11" s="198" customFormat="1" x14ac:dyDescent="0.25">
      <c r="A136" s="133"/>
      <c r="B136" s="147" t="s">
        <v>383</v>
      </c>
      <c r="C136" s="207"/>
      <c r="D136" s="207"/>
      <c r="E136" s="88">
        <v>45380000</v>
      </c>
      <c r="F136" s="88"/>
      <c r="G136" s="207"/>
      <c r="H136" s="207"/>
      <c r="I136" s="88">
        <f>45380000+1481000</f>
        <v>46861000</v>
      </c>
      <c r="J136" s="88">
        <v>20389335</v>
      </c>
    </row>
    <row r="137" spans="1:11" s="198" customFormat="1" x14ac:dyDescent="0.25">
      <c r="A137" s="133"/>
      <c r="B137" s="147" t="s">
        <v>19</v>
      </c>
      <c r="C137" s="207"/>
      <c r="D137" s="207"/>
      <c r="E137" s="88">
        <v>0</v>
      </c>
      <c r="F137" s="88"/>
      <c r="G137" s="207"/>
      <c r="H137" s="207"/>
      <c r="I137" s="88">
        <v>0</v>
      </c>
      <c r="J137" s="88"/>
    </row>
    <row r="138" spans="1:11" s="206" customFormat="1" x14ac:dyDescent="0.25">
      <c r="A138" s="195" t="s">
        <v>419</v>
      </c>
      <c r="B138" s="150" t="s">
        <v>255</v>
      </c>
      <c r="C138" s="205"/>
      <c r="D138" s="205"/>
      <c r="E138" s="197">
        <f>+E139</f>
        <v>6500000</v>
      </c>
      <c r="F138" s="197"/>
      <c r="G138" s="205"/>
      <c r="H138" s="205"/>
      <c r="I138" s="197">
        <f>+I139</f>
        <v>6200000</v>
      </c>
      <c r="J138" s="197">
        <f>+J139</f>
        <v>900000</v>
      </c>
    </row>
    <row r="139" spans="1:11" x14ac:dyDescent="0.25">
      <c r="A139" s="133"/>
      <c r="B139" s="147" t="s">
        <v>383</v>
      </c>
      <c r="C139" s="207"/>
      <c r="D139" s="207"/>
      <c r="E139" s="88">
        <v>6500000</v>
      </c>
      <c r="F139" s="88"/>
      <c r="G139" s="207"/>
      <c r="H139" s="207"/>
      <c r="I139" s="88">
        <f>6500000+900000+1000000+400000-2600000</f>
        <v>6200000</v>
      </c>
      <c r="J139" s="88">
        <v>900000</v>
      </c>
    </row>
    <row r="140" spans="1:11" x14ac:dyDescent="0.25">
      <c r="A140" s="133"/>
      <c r="B140" s="147" t="s">
        <v>420</v>
      </c>
      <c r="C140" s="207"/>
      <c r="D140" s="207"/>
      <c r="E140" s="88"/>
      <c r="F140" s="88"/>
      <c r="G140" s="207"/>
      <c r="H140" s="207"/>
      <c r="I140" s="88"/>
      <c r="J140" s="88"/>
    </row>
    <row r="141" spans="1:11" s="206" customFormat="1" x14ac:dyDescent="0.25">
      <c r="A141" s="195" t="s">
        <v>421</v>
      </c>
      <c r="B141" s="150" t="s">
        <v>422</v>
      </c>
      <c r="C141" s="205"/>
      <c r="D141" s="205"/>
      <c r="E141" s="197">
        <f>+E142</f>
        <v>2000000</v>
      </c>
      <c r="F141" s="197"/>
      <c r="G141" s="205"/>
      <c r="H141" s="205"/>
      <c r="I141" s="197">
        <f>+I142</f>
        <v>2000000</v>
      </c>
      <c r="J141" s="197">
        <f>+J142</f>
        <v>0</v>
      </c>
    </row>
    <row r="142" spans="1:11" x14ac:dyDescent="0.25">
      <c r="A142" s="133"/>
      <c r="B142" s="147" t="s">
        <v>383</v>
      </c>
      <c r="C142" s="207"/>
      <c r="D142" s="207"/>
      <c r="E142" s="88">
        <v>2000000</v>
      </c>
      <c r="F142" s="88"/>
      <c r="G142" s="207"/>
      <c r="H142" s="207"/>
      <c r="I142" s="88">
        <v>2000000</v>
      </c>
      <c r="J142" s="88"/>
    </row>
    <row r="143" spans="1:11" s="210" customFormat="1" x14ac:dyDescent="0.25">
      <c r="A143" s="195" t="s">
        <v>423</v>
      </c>
      <c r="B143" s="150" t="s">
        <v>259</v>
      </c>
      <c r="C143" s="205"/>
      <c r="D143" s="205"/>
      <c r="E143" s="197">
        <f>+E144</f>
        <v>41500000</v>
      </c>
      <c r="F143" s="197"/>
      <c r="G143" s="205"/>
      <c r="H143" s="205"/>
      <c r="I143" s="197">
        <f>+I144</f>
        <v>13300000</v>
      </c>
      <c r="J143" s="197">
        <f>+J144</f>
        <v>0</v>
      </c>
      <c r="K143" s="206"/>
    </row>
    <row r="144" spans="1:11" x14ac:dyDescent="0.25">
      <c r="A144" s="133"/>
      <c r="B144" s="147" t="s">
        <v>383</v>
      </c>
      <c r="C144" s="207"/>
      <c r="D144" s="207"/>
      <c r="E144" s="88">
        <v>41500000</v>
      </c>
      <c r="F144" s="88"/>
      <c r="G144" s="207"/>
      <c r="H144" s="207"/>
      <c r="I144" s="88">
        <f>41500000-28200000</f>
        <v>13300000</v>
      </c>
      <c r="J144" s="88"/>
    </row>
    <row r="145" spans="1:10" x14ac:dyDescent="0.25">
      <c r="A145" s="133"/>
      <c r="B145" s="147" t="s">
        <v>420</v>
      </c>
      <c r="C145" s="207"/>
      <c r="D145" s="207"/>
      <c r="E145" s="88"/>
      <c r="F145" s="88"/>
      <c r="G145" s="207"/>
      <c r="H145" s="207"/>
      <c r="I145" s="88"/>
      <c r="J145" s="88"/>
    </row>
    <row r="146" spans="1:10" x14ac:dyDescent="0.25">
      <c r="A146" s="195" t="s">
        <v>424</v>
      </c>
      <c r="B146" s="150" t="s">
        <v>261</v>
      </c>
      <c r="C146" s="207"/>
      <c r="D146" s="207"/>
      <c r="E146" s="88"/>
      <c r="F146" s="88"/>
      <c r="G146" s="207"/>
      <c r="H146" s="207"/>
      <c r="I146" s="197">
        <f>+I147</f>
        <v>24000000</v>
      </c>
      <c r="J146" s="197">
        <f>+J147</f>
        <v>10000000</v>
      </c>
    </row>
    <row r="147" spans="1:10" x14ac:dyDescent="0.25">
      <c r="A147" s="133"/>
      <c r="B147" s="147" t="s">
        <v>383</v>
      </c>
      <c r="C147" s="207"/>
      <c r="D147" s="207"/>
      <c r="E147" s="88"/>
      <c r="F147" s="88"/>
      <c r="G147" s="207"/>
      <c r="H147" s="207"/>
      <c r="I147" s="88">
        <f>10000000+14000000</f>
        <v>24000000</v>
      </c>
      <c r="J147" s="88">
        <v>10000000</v>
      </c>
    </row>
    <row r="148" spans="1:10" s="206" customFormat="1" x14ac:dyDescent="0.25">
      <c r="A148" s="195" t="s">
        <v>425</v>
      </c>
      <c r="B148" s="150" t="s">
        <v>426</v>
      </c>
      <c r="C148" s="205"/>
      <c r="D148" s="205"/>
      <c r="E148" s="197">
        <f>+E149</f>
        <v>12600000</v>
      </c>
      <c r="F148" s="197"/>
      <c r="G148" s="205"/>
      <c r="H148" s="205"/>
      <c r="I148" s="197">
        <f>+I149</f>
        <v>12600000</v>
      </c>
      <c r="J148" s="197">
        <f>+J149</f>
        <v>0</v>
      </c>
    </row>
    <row r="149" spans="1:10" x14ac:dyDescent="0.25">
      <c r="A149" s="133"/>
      <c r="B149" s="147" t="s">
        <v>383</v>
      </c>
      <c r="C149" s="207"/>
      <c r="D149" s="207"/>
      <c r="E149" s="88">
        <v>12600000</v>
      </c>
      <c r="F149" s="88"/>
      <c r="G149" s="207"/>
      <c r="H149" s="207"/>
      <c r="I149" s="88">
        <v>12600000</v>
      </c>
      <c r="J149" s="88"/>
    </row>
    <row r="150" spans="1:10" s="206" customFormat="1" x14ac:dyDescent="0.25">
      <c r="A150" s="195" t="s">
        <v>427</v>
      </c>
      <c r="B150" s="150" t="s">
        <v>265</v>
      </c>
      <c r="C150" s="205"/>
      <c r="D150" s="205"/>
      <c r="E150" s="197">
        <f>+E151</f>
        <v>3190000</v>
      </c>
      <c r="F150" s="197"/>
      <c r="G150" s="205"/>
      <c r="H150" s="205"/>
      <c r="I150" s="197">
        <f>+I151</f>
        <v>3687000</v>
      </c>
      <c r="J150" s="197">
        <f>+J151</f>
        <v>1069500</v>
      </c>
    </row>
    <row r="151" spans="1:10" x14ac:dyDescent="0.25">
      <c r="A151" s="133"/>
      <c r="B151" s="147" t="s">
        <v>19</v>
      </c>
      <c r="C151" s="207"/>
      <c r="D151" s="207"/>
      <c r="E151" s="88">
        <v>3190000</v>
      </c>
      <c r="F151" s="88"/>
      <c r="G151" s="207"/>
      <c r="H151" s="207"/>
      <c r="I151" s="88">
        <f>3190000+497000</f>
        <v>3687000</v>
      </c>
      <c r="J151" s="88">
        <v>1069500</v>
      </c>
    </row>
    <row r="152" spans="1:10" s="206" customFormat="1" x14ac:dyDescent="0.25">
      <c r="A152" s="195" t="s">
        <v>428</v>
      </c>
      <c r="B152" s="150" t="s">
        <v>267</v>
      </c>
      <c r="C152" s="205"/>
      <c r="D152" s="205"/>
      <c r="E152" s="197">
        <f>+E153+E154</f>
        <v>16000000</v>
      </c>
      <c r="F152" s="197"/>
      <c r="G152" s="205"/>
      <c r="H152" s="205"/>
      <c r="I152" s="197">
        <f>+I153+I154</f>
        <v>16484500</v>
      </c>
      <c r="J152" s="197">
        <f>+J153+J154</f>
        <v>1549915</v>
      </c>
    </row>
    <row r="153" spans="1:10" x14ac:dyDescent="0.25">
      <c r="A153" s="133"/>
      <c r="B153" s="147" t="s">
        <v>429</v>
      </c>
      <c r="C153" s="207"/>
      <c r="D153" s="207"/>
      <c r="E153" s="88"/>
      <c r="F153" s="88"/>
      <c r="G153" s="207"/>
      <c r="H153" s="207"/>
      <c r="I153" s="88"/>
      <c r="J153" s="88"/>
    </row>
    <row r="154" spans="1:10" x14ac:dyDescent="0.25">
      <c r="A154" s="133"/>
      <c r="B154" s="147" t="s">
        <v>22</v>
      </c>
      <c r="C154" s="207"/>
      <c r="D154" s="207"/>
      <c r="E154" s="88">
        <v>16000000</v>
      </c>
      <c r="F154" s="88"/>
      <c r="G154" s="207"/>
      <c r="H154" s="207"/>
      <c r="I154" s="88">
        <f>16000000+484500</f>
        <v>16484500</v>
      </c>
      <c r="J154" s="88">
        <v>1549915</v>
      </c>
    </row>
    <row r="155" spans="1:10" s="206" customFormat="1" x14ac:dyDescent="0.25">
      <c r="A155" s="195" t="s">
        <v>430</v>
      </c>
      <c r="B155" s="150" t="s">
        <v>431</v>
      </c>
      <c r="C155" s="205"/>
      <c r="D155" s="205"/>
      <c r="E155" s="197">
        <f>SUM(E156:E162)</f>
        <v>67457320</v>
      </c>
      <c r="F155" s="197"/>
      <c r="G155" s="205"/>
      <c r="H155" s="205"/>
      <c r="I155" s="197">
        <f>SUM(I156:I162)</f>
        <v>75622087</v>
      </c>
      <c r="J155" s="197">
        <f>SUM(J156:J162)</f>
        <v>13305653</v>
      </c>
    </row>
    <row r="156" spans="1:10" x14ac:dyDescent="0.25">
      <c r="A156" s="133"/>
      <c r="B156" s="147" t="s">
        <v>13</v>
      </c>
      <c r="C156" s="207"/>
      <c r="D156" s="207"/>
      <c r="E156" s="88">
        <f>9348320+18800000-1000000</f>
        <v>27148320</v>
      </c>
      <c r="F156" s="88"/>
      <c r="G156" s="207"/>
      <c r="H156" s="207"/>
      <c r="I156" s="88">
        <f>9348320+18800000-1000000+335687</f>
        <v>27484007</v>
      </c>
      <c r="J156" s="88">
        <v>4436834</v>
      </c>
    </row>
    <row r="157" spans="1:10" x14ac:dyDescent="0.25">
      <c r="A157" s="133"/>
      <c r="B157" s="147" t="s">
        <v>376</v>
      </c>
      <c r="C157" s="207"/>
      <c r="D157" s="207"/>
      <c r="E157" s="88">
        <f>10083000-1000000</f>
        <v>9083000</v>
      </c>
      <c r="F157" s="88"/>
      <c r="G157" s="207"/>
      <c r="H157" s="207"/>
      <c r="I157" s="88">
        <f>10083000-1000000</f>
        <v>9083000</v>
      </c>
      <c r="J157" s="88">
        <v>1049889</v>
      </c>
    </row>
    <row r="158" spans="1:10" x14ac:dyDescent="0.25">
      <c r="A158" s="133"/>
      <c r="B158" s="147" t="s">
        <v>19</v>
      </c>
      <c r="C158" s="207"/>
      <c r="D158" s="207"/>
      <c r="E158" s="88">
        <f>3800000+500000+3000000+5800000+5236000+1000000+1000000+5490000+5400000</f>
        <v>31226000</v>
      </c>
      <c r="F158" s="88"/>
      <c r="G158" s="207"/>
      <c r="H158" s="207"/>
      <c r="I158" s="88">
        <f>3800000+500000+3000000+5800000+5236000+1000000+1000000+5490000+5400000+1120748+40000+28500+30000+1351000+608832+650000+4000000</f>
        <v>39055080</v>
      </c>
      <c r="J158" s="88">
        <v>7004135</v>
      </c>
    </row>
    <row r="159" spans="1:10" x14ac:dyDescent="0.25">
      <c r="A159" s="133"/>
      <c r="B159" s="147" t="s">
        <v>22</v>
      </c>
      <c r="C159" s="207"/>
      <c r="D159" s="207"/>
      <c r="E159" s="88"/>
      <c r="F159" s="88"/>
      <c r="G159" s="207"/>
      <c r="H159" s="207"/>
      <c r="I159" s="88"/>
      <c r="J159" s="88"/>
    </row>
    <row r="160" spans="1:10" x14ac:dyDescent="0.25">
      <c r="A160" s="133"/>
      <c r="B160" s="147" t="s">
        <v>24</v>
      </c>
      <c r="C160" s="207"/>
      <c r="D160" s="207"/>
      <c r="E160" s="88"/>
      <c r="F160" s="88"/>
      <c r="G160" s="207"/>
      <c r="H160" s="207"/>
      <c r="I160" s="88"/>
      <c r="J160" s="88"/>
    </row>
    <row r="161" spans="1:10" x14ac:dyDescent="0.25">
      <c r="A161" s="133"/>
      <c r="B161" s="147" t="s">
        <v>432</v>
      </c>
      <c r="C161" s="207"/>
      <c r="D161" s="207"/>
      <c r="E161" s="88"/>
      <c r="F161" s="88"/>
      <c r="G161" s="207"/>
      <c r="H161" s="207"/>
      <c r="I161" s="88"/>
      <c r="J161" s="88"/>
    </row>
    <row r="162" spans="1:10" x14ac:dyDescent="0.25">
      <c r="A162" s="133"/>
      <c r="B162" s="147" t="s">
        <v>31</v>
      </c>
      <c r="C162" s="207"/>
      <c r="D162" s="207"/>
      <c r="E162" s="88"/>
      <c r="F162" s="88"/>
      <c r="G162" s="207"/>
      <c r="H162" s="207"/>
      <c r="I162" s="88"/>
      <c r="J162" s="88">
        <f>814795</f>
        <v>814795</v>
      </c>
    </row>
    <row r="163" spans="1:10" s="206" customFormat="1" x14ac:dyDescent="0.25">
      <c r="A163" s="195" t="s">
        <v>433</v>
      </c>
      <c r="B163" s="150" t="s">
        <v>434</v>
      </c>
      <c r="C163" s="205"/>
      <c r="D163" s="205"/>
      <c r="E163" s="197">
        <f>SUM(E164:E168)</f>
        <v>392408000</v>
      </c>
      <c r="F163" s="197"/>
      <c r="G163" s="205"/>
      <c r="H163" s="205"/>
      <c r="I163" s="197">
        <f>SUM(I164:I168)</f>
        <v>619682477</v>
      </c>
      <c r="J163" s="197">
        <f>SUM(J164:J168)</f>
        <v>43887666</v>
      </c>
    </row>
    <row r="164" spans="1:10" s="206" customFormat="1" x14ac:dyDescent="0.25">
      <c r="A164" s="195"/>
      <c r="B164" s="147" t="s">
        <v>13</v>
      </c>
      <c r="C164" s="205"/>
      <c r="D164" s="205"/>
      <c r="E164" s="197"/>
      <c r="F164" s="197"/>
      <c r="G164" s="205"/>
      <c r="H164" s="205"/>
      <c r="I164" s="197"/>
      <c r="J164" s="197"/>
    </row>
    <row r="165" spans="1:10" s="206" customFormat="1" x14ac:dyDescent="0.25">
      <c r="A165" s="195"/>
      <c r="B165" s="147" t="s">
        <v>376</v>
      </c>
      <c r="C165" s="205"/>
      <c r="D165" s="205"/>
      <c r="E165" s="197"/>
      <c r="F165" s="197"/>
      <c r="G165" s="205"/>
      <c r="H165" s="205"/>
      <c r="I165" s="197"/>
      <c r="J165" s="197"/>
    </row>
    <row r="166" spans="1:10" s="206" customFormat="1" x14ac:dyDescent="0.25">
      <c r="A166" s="195"/>
      <c r="B166" s="147" t="s">
        <v>19</v>
      </c>
      <c r="C166" s="205"/>
      <c r="D166" s="205"/>
      <c r="E166" s="88"/>
      <c r="F166" s="88"/>
      <c r="G166" s="205"/>
      <c r="H166" s="205"/>
      <c r="I166" s="88">
        <f>118110+5934083+972591+1896691+10078740+2721260+450000+121500</f>
        <v>22292975</v>
      </c>
      <c r="J166" s="88">
        <f>100699+3238500</f>
        <v>3339199</v>
      </c>
    </row>
    <row r="167" spans="1:10" x14ac:dyDescent="0.25">
      <c r="A167" s="133"/>
      <c r="B167" s="147" t="s">
        <v>31</v>
      </c>
      <c r="C167" s="207"/>
      <c r="D167" s="207"/>
      <c r="E167" s="88">
        <f>+'[6]7. Fejlesztések'!F6+'[6]7. Fejlesztések'!F7+'[6]7. Fejlesztések'!F8+'[6]7. Fejlesztések'!F10+'[6]7. Fejlesztések'!F14+'[6]7. Fejlesztések'!F15+'[6]7. Fejlesztések'!F16+'[6]7. Fejlesztések'!F17+'[6]7. Fejlesztések'!F18+'[6]7. Fejlesztések'!F19+'[6]7. Fejlesztések'!F20+'[6]7. Fejlesztések'!F28+'[6]7. Fejlesztések'!F29</f>
        <v>392408000</v>
      </c>
      <c r="F167" s="88"/>
      <c r="G167" s="207"/>
      <c r="H167" s="207"/>
      <c r="I167" s="88">
        <f>+'[6]7. Fejlesztések'!I6+'[6]7. Fejlesztések'!I7+'[6]7. Fejlesztések'!I8+'[6]7. Fejlesztések'!I10+'[6]7. Fejlesztések'!I14+'[6]7. Fejlesztések'!I15+'[6]7. Fejlesztések'!I16+'[6]7. Fejlesztések'!I17+'[6]7. Fejlesztések'!I18+'[6]7. Fejlesztések'!I19+'[6]7. Fejlesztések'!I20+'[6]7. Fejlesztések'!I28+'[6]7. Fejlesztések'!I29+'[6]7. Fejlesztések'!I30+'[6]7. Fejlesztések'!I31+'[6]7. Fejlesztések'!I32+'[6]7. Fejlesztések'!I34+'[6]7. Fejlesztések'!I38+'[6]7. Fejlesztések'!I39+'[6]7. Fejlesztések'!I40+'[6]7. Fejlesztések'!I43+'[6]7. Fejlesztések'!I44</f>
        <v>569243901</v>
      </c>
      <c r="J167" s="88">
        <f>+'[6]7. Fejlesztések'!J6+'[6]7. Fejlesztések'!J7+'[6]7. Fejlesztések'!J8+'[6]7. Fejlesztések'!J10+'[6]7. Fejlesztések'!J14+'[6]7. Fejlesztések'!J15+'[6]7. Fejlesztések'!J16+'[6]7. Fejlesztések'!J17+'[6]7. Fejlesztések'!J18+'[6]7. Fejlesztések'!J19+'[6]7. Fejlesztések'!J20+'[6]7. Fejlesztések'!J28+'[6]7. Fejlesztések'!J29+'[6]7. Fejlesztések'!J36+'[6]7. Fejlesztések'!J37+'[6]7. Fejlesztések'!J38</f>
        <v>40548467</v>
      </c>
    </row>
    <row r="168" spans="1:10" x14ac:dyDescent="0.25">
      <c r="A168" s="133"/>
      <c r="B168" s="147" t="s">
        <v>33</v>
      </c>
      <c r="C168" s="207"/>
      <c r="D168" s="207"/>
      <c r="E168" s="88"/>
      <c r="F168" s="88"/>
      <c r="G168" s="207"/>
      <c r="H168" s="207"/>
      <c r="I168" s="88">
        <f>8161890+2203711+14000000+3780000</f>
        <v>28145601</v>
      </c>
      <c r="J168" s="88"/>
    </row>
    <row r="169" spans="1:10" x14ac:dyDescent="0.25">
      <c r="A169" s="133"/>
      <c r="B169" s="147" t="s">
        <v>435</v>
      </c>
      <c r="C169" s="207"/>
      <c r="D169" s="207"/>
      <c r="E169" s="88"/>
      <c r="F169" s="88"/>
      <c r="G169" s="207"/>
      <c r="H169" s="207"/>
      <c r="I169" s="88"/>
      <c r="J169" s="88"/>
    </row>
    <row r="170" spans="1:10" s="206" customFormat="1" x14ac:dyDescent="0.25">
      <c r="A170" s="195" t="s">
        <v>436</v>
      </c>
      <c r="B170" s="150" t="s">
        <v>277</v>
      </c>
      <c r="C170" s="205"/>
      <c r="D170" s="205"/>
      <c r="E170" s="197">
        <f>SUM(E171:E176)</f>
        <v>0</v>
      </c>
      <c r="F170" s="197"/>
      <c r="G170" s="205"/>
      <c r="H170" s="205"/>
      <c r="I170" s="197">
        <f>SUM(I171:I176)</f>
        <v>0</v>
      </c>
      <c r="J170" s="197">
        <f>SUM(J171:J176)</f>
        <v>0</v>
      </c>
    </row>
    <row r="171" spans="1:10" x14ac:dyDescent="0.25">
      <c r="A171" s="133"/>
      <c r="B171" s="147" t="s">
        <v>13</v>
      </c>
      <c r="C171" s="207"/>
      <c r="D171" s="207"/>
      <c r="E171" s="88"/>
      <c r="F171" s="88"/>
      <c r="G171" s="207"/>
      <c r="H171" s="207"/>
      <c r="I171" s="88"/>
      <c r="J171" s="88"/>
    </row>
    <row r="172" spans="1:10" x14ac:dyDescent="0.25">
      <c r="A172" s="133"/>
      <c r="B172" s="147" t="s">
        <v>376</v>
      </c>
      <c r="C172" s="207"/>
      <c r="D172" s="207"/>
      <c r="E172" s="88"/>
      <c r="F172" s="88"/>
      <c r="G172" s="207"/>
      <c r="H172" s="207"/>
      <c r="I172" s="88"/>
      <c r="J172" s="88"/>
    </row>
    <row r="173" spans="1:10" x14ac:dyDescent="0.25">
      <c r="A173" s="133"/>
      <c r="B173" s="147" t="s">
        <v>429</v>
      </c>
      <c r="C173" s="207"/>
      <c r="D173" s="207"/>
      <c r="E173" s="88"/>
      <c r="F173" s="88"/>
      <c r="G173" s="207"/>
      <c r="H173" s="207"/>
      <c r="I173" s="88"/>
      <c r="J173" s="88"/>
    </row>
    <row r="174" spans="1:10" x14ac:dyDescent="0.25">
      <c r="A174" s="133"/>
      <c r="B174" s="147" t="s">
        <v>437</v>
      </c>
      <c r="C174" s="207"/>
      <c r="D174" s="207"/>
      <c r="E174" s="88"/>
      <c r="F174" s="88"/>
      <c r="G174" s="207"/>
      <c r="H174" s="207"/>
      <c r="I174" s="88"/>
      <c r="J174" s="88"/>
    </row>
    <row r="175" spans="1:10" x14ac:dyDescent="0.25">
      <c r="A175" s="133"/>
      <c r="B175" s="147" t="s">
        <v>31</v>
      </c>
      <c r="C175" s="207"/>
      <c r="D175" s="207"/>
      <c r="E175" s="88"/>
      <c r="F175" s="88"/>
      <c r="G175" s="207"/>
      <c r="H175" s="207"/>
      <c r="I175" s="88"/>
      <c r="J175" s="88"/>
    </row>
    <row r="176" spans="1:10" x14ac:dyDescent="0.25">
      <c r="A176" s="133"/>
      <c r="B176" s="147" t="s">
        <v>33</v>
      </c>
      <c r="C176" s="199"/>
      <c r="D176" s="199"/>
      <c r="E176" s="88"/>
      <c r="F176" s="88"/>
      <c r="G176" s="199"/>
      <c r="H176" s="199"/>
      <c r="I176" s="88"/>
      <c r="J176" s="88"/>
    </row>
    <row r="177" spans="1:11" s="206" customFormat="1" x14ac:dyDescent="0.25">
      <c r="A177" s="195" t="s">
        <v>438</v>
      </c>
      <c r="B177" s="150" t="s">
        <v>279</v>
      </c>
      <c r="C177" s="205"/>
      <c r="D177" s="205"/>
      <c r="E177" s="197">
        <f>SUM(E178:E180)</f>
        <v>30000000</v>
      </c>
      <c r="F177" s="197"/>
      <c r="G177" s="205"/>
      <c r="H177" s="205"/>
      <c r="I177" s="197">
        <f>SUM(I178:I180)</f>
        <v>26000000</v>
      </c>
      <c r="J177" s="197">
        <f>SUM(J178:J180)</f>
        <v>5336433</v>
      </c>
    </row>
    <row r="178" spans="1:11" ht="14.25" customHeight="1" x14ac:dyDescent="0.25">
      <c r="A178" s="133"/>
      <c r="B178" s="147" t="s">
        <v>13</v>
      </c>
      <c r="C178" s="207"/>
      <c r="D178" s="207"/>
      <c r="E178" s="88">
        <v>30000000</v>
      </c>
      <c r="F178" s="88"/>
      <c r="G178" s="207"/>
      <c r="H178" s="207"/>
      <c r="I178" s="88">
        <f>30000000-4000000</f>
        <v>26000000</v>
      </c>
      <c r="J178" s="88">
        <v>5336433</v>
      </c>
    </row>
    <row r="179" spans="1:11" x14ac:dyDescent="0.25">
      <c r="A179" s="133"/>
      <c r="B179" s="147" t="s">
        <v>376</v>
      </c>
      <c r="C179" s="207"/>
      <c r="D179" s="207"/>
      <c r="E179" s="88"/>
      <c r="F179" s="88"/>
      <c r="G179" s="207"/>
      <c r="H179" s="207"/>
      <c r="I179" s="88"/>
      <c r="J179" s="88"/>
    </row>
    <row r="180" spans="1:11" x14ac:dyDescent="0.25">
      <c r="A180" s="133"/>
      <c r="B180" s="147" t="s">
        <v>19</v>
      </c>
      <c r="C180" s="207"/>
      <c r="D180" s="207"/>
      <c r="E180" s="88"/>
      <c r="F180" s="88"/>
      <c r="G180" s="207"/>
      <c r="H180" s="207"/>
      <c r="I180" s="88"/>
      <c r="J180" s="88"/>
    </row>
    <row r="181" spans="1:11" s="206" customFormat="1" x14ac:dyDescent="0.25">
      <c r="A181" s="195" t="s">
        <v>439</v>
      </c>
      <c r="B181" s="150" t="s">
        <v>440</v>
      </c>
      <c r="C181" s="205"/>
      <c r="D181" s="205"/>
      <c r="E181" s="197">
        <f>+E182</f>
        <v>5300000</v>
      </c>
      <c r="F181" s="197"/>
      <c r="G181" s="205"/>
      <c r="H181" s="205"/>
      <c r="I181" s="197">
        <f>+I182</f>
        <v>5300000</v>
      </c>
      <c r="J181" s="197">
        <f>+J182</f>
        <v>1218750</v>
      </c>
    </row>
    <row r="182" spans="1:11" x14ac:dyDescent="0.25">
      <c r="A182" s="133"/>
      <c r="B182" s="147" t="s">
        <v>19</v>
      </c>
      <c r="C182" s="207"/>
      <c r="D182" s="207"/>
      <c r="E182" s="88">
        <f>4180000+1120000</f>
        <v>5300000</v>
      </c>
      <c r="F182" s="88"/>
      <c r="G182" s="207"/>
      <c r="H182" s="207"/>
      <c r="I182" s="88">
        <f>4180000+1120000</f>
        <v>5300000</v>
      </c>
      <c r="J182" s="88">
        <v>1218750</v>
      </c>
    </row>
    <row r="183" spans="1:11" s="213" customFormat="1" x14ac:dyDescent="0.25">
      <c r="A183" s="195" t="s">
        <v>441</v>
      </c>
      <c r="B183" s="150" t="s">
        <v>275</v>
      </c>
      <c r="C183" s="205"/>
      <c r="D183" s="205"/>
      <c r="E183" s="197">
        <f>SUM(E184:E186)</f>
        <v>8512000</v>
      </c>
      <c r="F183" s="197"/>
      <c r="G183" s="205"/>
      <c r="H183" s="205"/>
      <c r="I183" s="197">
        <f>SUM(I184:I186)</f>
        <v>8512000</v>
      </c>
      <c r="J183" s="197">
        <f>SUM(J184:J186)</f>
        <v>7787</v>
      </c>
      <c r="K183" s="153"/>
    </row>
    <row r="184" spans="1:11" x14ac:dyDescent="0.25">
      <c r="A184" s="133"/>
      <c r="B184" s="147" t="s">
        <v>13</v>
      </c>
      <c r="C184" s="207"/>
      <c r="D184" s="207"/>
      <c r="E184" s="88">
        <v>8000000</v>
      </c>
      <c r="F184" s="88"/>
      <c r="G184" s="207"/>
      <c r="H184" s="207"/>
      <c r="I184" s="88">
        <v>8000000</v>
      </c>
      <c r="J184" s="88">
        <v>0</v>
      </c>
    </row>
    <row r="185" spans="1:11" x14ac:dyDescent="0.25">
      <c r="A185" s="133"/>
      <c r="B185" s="147" t="s">
        <v>376</v>
      </c>
      <c r="C185" s="207"/>
      <c r="D185" s="207"/>
      <c r="E185" s="88"/>
      <c r="F185" s="88"/>
      <c r="G185" s="207"/>
      <c r="H185" s="207"/>
      <c r="I185" s="88"/>
      <c r="J185" s="88">
        <v>7787</v>
      </c>
    </row>
    <row r="186" spans="1:11" x14ac:dyDescent="0.25">
      <c r="A186" s="133"/>
      <c r="B186" s="147" t="s">
        <v>19</v>
      </c>
      <c r="C186" s="207"/>
      <c r="D186" s="207"/>
      <c r="E186" s="88">
        <v>512000</v>
      </c>
      <c r="F186" s="88"/>
      <c r="G186" s="207"/>
      <c r="H186" s="207"/>
      <c r="I186" s="88">
        <v>512000</v>
      </c>
      <c r="J186" s="88">
        <v>0</v>
      </c>
    </row>
    <row r="187" spans="1:11" s="206" customFormat="1" x14ac:dyDescent="0.25">
      <c r="A187" s="195" t="s">
        <v>442</v>
      </c>
      <c r="B187" s="150" t="s">
        <v>285</v>
      </c>
      <c r="C187" s="205"/>
      <c r="D187" s="205"/>
      <c r="E187" s="197">
        <f>SUM(E188:E190)</f>
        <v>80000000</v>
      </c>
      <c r="F187" s="197"/>
      <c r="G187" s="205"/>
      <c r="H187" s="205"/>
      <c r="I187" s="197">
        <f>SUM(I188:I190)</f>
        <v>81324000</v>
      </c>
      <c r="J187" s="197">
        <f>SUM(J188:J190)</f>
        <v>31324000</v>
      </c>
    </row>
    <row r="188" spans="1:11" x14ac:dyDescent="0.25">
      <c r="A188" s="133"/>
      <c r="B188" s="147" t="s">
        <v>383</v>
      </c>
      <c r="C188" s="207"/>
      <c r="D188" s="207"/>
      <c r="E188" s="88">
        <v>60000000</v>
      </c>
      <c r="F188" s="88"/>
      <c r="G188" s="207"/>
      <c r="H188" s="207"/>
      <c r="I188" s="88">
        <v>60000000</v>
      </c>
      <c r="J188" s="88">
        <v>30000000</v>
      </c>
    </row>
    <row r="189" spans="1:11" x14ac:dyDescent="0.25">
      <c r="A189" s="133"/>
      <c r="B189" s="147" t="s">
        <v>429</v>
      </c>
      <c r="C189" s="207"/>
      <c r="D189" s="207"/>
      <c r="E189" s="88">
        <f>15750000+4250000</f>
        <v>20000000</v>
      </c>
      <c r="F189" s="88"/>
      <c r="G189" s="207"/>
      <c r="H189" s="207"/>
      <c r="I189" s="88">
        <f>15750000+4250000+1324000</f>
        <v>21324000</v>
      </c>
      <c r="J189" s="88">
        <v>1324000</v>
      </c>
    </row>
    <row r="190" spans="1:11" x14ac:dyDescent="0.25">
      <c r="A190" s="133"/>
      <c r="B190" s="147" t="s">
        <v>31</v>
      </c>
      <c r="C190" s="207"/>
      <c r="D190" s="207"/>
      <c r="E190" s="88"/>
      <c r="F190" s="88"/>
      <c r="G190" s="207"/>
      <c r="H190" s="207"/>
      <c r="I190" s="88"/>
      <c r="J190" s="88"/>
    </row>
    <row r="191" spans="1:11" x14ac:dyDescent="0.25">
      <c r="A191" s="195" t="s">
        <v>443</v>
      </c>
      <c r="B191" s="150" t="s">
        <v>295</v>
      </c>
      <c r="C191" s="205"/>
      <c r="D191" s="205"/>
      <c r="E191" s="197">
        <f>+E192</f>
        <v>3000000</v>
      </c>
      <c r="F191" s="197"/>
      <c r="G191" s="205"/>
      <c r="H191" s="205"/>
      <c r="I191" s="197">
        <f>+I192</f>
        <v>3000000</v>
      </c>
      <c r="J191" s="197">
        <f>+J192</f>
        <v>0</v>
      </c>
    </row>
    <row r="192" spans="1:11" x14ac:dyDescent="0.25">
      <c r="A192" s="133"/>
      <c r="B192" s="147" t="s">
        <v>19</v>
      </c>
      <c r="C192" s="207"/>
      <c r="D192" s="207"/>
      <c r="E192" s="88">
        <v>3000000</v>
      </c>
      <c r="F192" s="88"/>
      <c r="G192" s="207"/>
      <c r="H192" s="207"/>
      <c r="I192" s="88">
        <v>3000000</v>
      </c>
      <c r="J192" s="88"/>
    </row>
    <row r="193" spans="1:10" x14ac:dyDescent="0.25">
      <c r="A193" s="195" t="s">
        <v>444</v>
      </c>
      <c r="B193" s="150" t="s">
        <v>445</v>
      </c>
      <c r="C193" s="205"/>
      <c r="D193" s="205"/>
      <c r="E193" s="197">
        <f>SUM(E194:E196)</f>
        <v>1000000</v>
      </c>
      <c r="F193" s="197"/>
      <c r="G193" s="205"/>
      <c r="H193" s="205"/>
      <c r="I193" s="197">
        <f>SUM(I194:I196)</f>
        <v>1000000</v>
      </c>
      <c r="J193" s="197">
        <f>SUM(J194:J196)</f>
        <v>0</v>
      </c>
    </row>
    <row r="194" spans="1:10" x14ac:dyDescent="0.25">
      <c r="A194" s="133"/>
      <c r="B194" s="147" t="s">
        <v>13</v>
      </c>
      <c r="C194" s="207"/>
      <c r="D194" s="207"/>
      <c r="E194" s="88">
        <v>400000</v>
      </c>
      <c r="F194" s="88"/>
      <c r="G194" s="207"/>
      <c r="H194" s="207"/>
      <c r="I194" s="88">
        <v>400000</v>
      </c>
      <c r="J194" s="88"/>
    </row>
    <row r="195" spans="1:10" x14ac:dyDescent="0.25">
      <c r="A195" s="133"/>
      <c r="B195" s="147" t="s">
        <v>376</v>
      </c>
      <c r="C195" s="207"/>
      <c r="D195" s="207"/>
      <c r="E195" s="88">
        <v>200000</v>
      </c>
      <c r="F195" s="88"/>
      <c r="G195" s="207"/>
      <c r="H195" s="207"/>
      <c r="I195" s="88">
        <v>200000</v>
      </c>
      <c r="J195" s="88">
        <v>0</v>
      </c>
    </row>
    <row r="196" spans="1:10" x14ac:dyDescent="0.25">
      <c r="A196" s="133"/>
      <c r="B196" s="147" t="s">
        <v>429</v>
      </c>
      <c r="C196" s="207"/>
      <c r="D196" s="207"/>
      <c r="E196" s="88">
        <v>400000</v>
      </c>
      <c r="F196" s="88"/>
      <c r="G196" s="207"/>
      <c r="H196" s="207"/>
      <c r="I196" s="88">
        <v>400000</v>
      </c>
      <c r="J196" s="88"/>
    </row>
    <row r="197" spans="1:10" x14ac:dyDescent="0.25">
      <c r="A197" s="195" t="s">
        <v>446</v>
      </c>
      <c r="B197" s="150" t="s">
        <v>447</v>
      </c>
      <c r="C197" s="207"/>
      <c r="D197" s="207"/>
      <c r="E197" s="197">
        <f>+E198+E199+E200</f>
        <v>26000000</v>
      </c>
      <c r="F197" s="197"/>
      <c r="G197" s="207"/>
      <c r="H197" s="207"/>
      <c r="I197" s="197">
        <f>+I198+I199+I200</f>
        <v>26000000</v>
      </c>
      <c r="J197" s="197">
        <f>+J198+J199+J200</f>
        <v>0</v>
      </c>
    </row>
    <row r="198" spans="1:10" x14ac:dyDescent="0.25">
      <c r="A198" s="133"/>
      <c r="B198" s="147" t="s">
        <v>13</v>
      </c>
      <c r="C198" s="207"/>
      <c r="D198" s="207"/>
      <c r="E198" s="88"/>
      <c r="F198" s="88"/>
      <c r="G198" s="207"/>
      <c r="H198" s="207"/>
      <c r="I198" s="88"/>
      <c r="J198" s="88"/>
    </row>
    <row r="199" spans="1:10" x14ac:dyDescent="0.25">
      <c r="A199" s="133"/>
      <c r="B199" s="147" t="s">
        <v>376</v>
      </c>
      <c r="C199" s="207"/>
      <c r="D199" s="207"/>
      <c r="E199" s="88"/>
      <c r="F199" s="88"/>
      <c r="G199" s="207"/>
      <c r="H199" s="207"/>
      <c r="I199" s="88"/>
      <c r="J199" s="88"/>
    </row>
    <row r="200" spans="1:10" x14ac:dyDescent="0.25">
      <c r="A200" s="133"/>
      <c r="B200" s="147" t="s">
        <v>429</v>
      </c>
      <c r="C200" s="207"/>
      <c r="D200" s="207"/>
      <c r="E200" s="88">
        <v>26000000</v>
      </c>
      <c r="F200" s="88"/>
      <c r="G200" s="207"/>
      <c r="H200" s="207"/>
      <c r="I200" s="88">
        <v>26000000</v>
      </c>
      <c r="J200" s="88">
        <v>0</v>
      </c>
    </row>
    <row r="201" spans="1:10" x14ac:dyDescent="0.25">
      <c r="A201" s="195" t="s">
        <v>448</v>
      </c>
      <c r="B201" s="150" t="s">
        <v>449</v>
      </c>
      <c r="C201" s="207"/>
      <c r="D201" s="207"/>
      <c r="E201" s="197">
        <f>+E202+E203+E204</f>
        <v>0</v>
      </c>
      <c r="F201" s="197"/>
      <c r="G201" s="207"/>
      <c r="H201" s="207"/>
      <c r="I201" s="197">
        <f>+I202+I203+I204</f>
        <v>0</v>
      </c>
      <c r="J201" s="197">
        <f>+J202+J203+J204</f>
        <v>0</v>
      </c>
    </row>
    <row r="202" spans="1:10" x14ac:dyDescent="0.25">
      <c r="A202" s="133"/>
      <c r="B202" s="147" t="s">
        <v>13</v>
      </c>
      <c r="C202" s="207"/>
      <c r="D202" s="207"/>
      <c r="E202" s="88"/>
      <c r="F202" s="88"/>
      <c r="G202" s="207"/>
      <c r="H202" s="207"/>
      <c r="I202" s="88"/>
      <c r="J202" s="88"/>
    </row>
    <row r="203" spans="1:10" x14ac:dyDescent="0.25">
      <c r="A203" s="133"/>
      <c r="B203" s="147" t="s">
        <v>376</v>
      </c>
      <c r="C203" s="207"/>
      <c r="D203" s="207"/>
      <c r="E203" s="88"/>
      <c r="F203" s="88"/>
      <c r="G203" s="207"/>
      <c r="H203" s="207"/>
      <c r="I203" s="88"/>
      <c r="J203" s="88"/>
    </row>
    <row r="204" spans="1:10" x14ac:dyDescent="0.25">
      <c r="A204" s="133"/>
      <c r="B204" s="147" t="s">
        <v>429</v>
      </c>
      <c r="C204" s="207"/>
      <c r="D204" s="207"/>
      <c r="E204" s="88"/>
      <c r="F204" s="88"/>
      <c r="G204" s="207"/>
      <c r="H204" s="207"/>
      <c r="I204" s="88"/>
      <c r="J204" s="88"/>
    </row>
    <row r="205" spans="1:10" x14ac:dyDescent="0.25">
      <c r="A205" s="195" t="s">
        <v>450</v>
      </c>
      <c r="B205" s="150" t="s">
        <v>451</v>
      </c>
      <c r="C205" s="207"/>
      <c r="D205" s="207"/>
      <c r="E205" s="197">
        <f>+E206</f>
        <v>5000000</v>
      </c>
      <c r="F205" s="197"/>
      <c r="G205" s="207"/>
      <c r="H205" s="207"/>
      <c r="I205" s="197">
        <f>+I206</f>
        <v>5000000</v>
      </c>
      <c r="J205" s="197">
        <f>+J206</f>
        <v>0</v>
      </c>
    </row>
    <row r="206" spans="1:10" x14ac:dyDescent="0.25">
      <c r="A206" s="133"/>
      <c r="B206" s="147" t="s">
        <v>429</v>
      </c>
      <c r="C206" s="207"/>
      <c r="D206" s="207"/>
      <c r="E206" s="88">
        <v>5000000</v>
      </c>
      <c r="F206" s="88"/>
      <c r="G206" s="207"/>
      <c r="H206" s="207"/>
      <c r="I206" s="88">
        <v>5000000</v>
      </c>
      <c r="J206" s="88">
        <v>0</v>
      </c>
    </row>
    <row r="207" spans="1:10" x14ac:dyDescent="0.25">
      <c r="A207" s="195" t="s">
        <v>452</v>
      </c>
      <c r="B207" s="150" t="s">
        <v>453</v>
      </c>
      <c r="C207" s="207"/>
      <c r="D207" s="207"/>
      <c r="E207" s="197">
        <f>+E208+E209+E210</f>
        <v>2000000</v>
      </c>
      <c r="F207" s="197"/>
      <c r="G207" s="207"/>
      <c r="H207" s="207"/>
      <c r="I207" s="197">
        <f>+I208+I209+I210</f>
        <v>2000000</v>
      </c>
      <c r="J207" s="197">
        <f>+J208+J209+J210</f>
        <v>0</v>
      </c>
    </row>
    <row r="208" spans="1:10" x14ac:dyDescent="0.25">
      <c r="A208" s="133"/>
      <c r="B208" s="147" t="s">
        <v>13</v>
      </c>
      <c r="C208" s="207"/>
      <c r="D208" s="207"/>
      <c r="E208" s="88"/>
      <c r="F208" s="88"/>
      <c r="G208" s="207"/>
      <c r="H208" s="207"/>
      <c r="I208" s="88"/>
      <c r="J208" s="88"/>
    </row>
    <row r="209" spans="1:11" x14ac:dyDescent="0.25">
      <c r="A209" s="133"/>
      <c r="B209" s="147" t="s">
        <v>376</v>
      </c>
      <c r="C209" s="207"/>
      <c r="D209" s="207"/>
      <c r="E209" s="88"/>
      <c r="F209" s="88"/>
      <c r="G209" s="207"/>
      <c r="H209" s="207"/>
      <c r="I209" s="88"/>
      <c r="J209" s="88"/>
    </row>
    <row r="210" spans="1:11" x14ac:dyDescent="0.25">
      <c r="A210" s="133"/>
      <c r="B210" s="147" t="s">
        <v>429</v>
      </c>
      <c r="C210" s="207"/>
      <c r="D210" s="207"/>
      <c r="E210" s="88">
        <v>2000000</v>
      </c>
      <c r="F210" s="88"/>
      <c r="G210" s="207"/>
      <c r="H210" s="207"/>
      <c r="I210" s="88">
        <v>2000000</v>
      </c>
      <c r="J210" s="88">
        <v>0</v>
      </c>
    </row>
    <row r="211" spans="1:11" x14ac:dyDescent="0.25">
      <c r="A211" s="195" t="s">
        <v>454</v>
      </c>
      <c r="B211" s="150" t="s">
        <v>455</v>
      </c>
      <c r="C211" s="207"/>
      <c r="D211" s="207"/>
      <c r="E211" s="197">
        <f>SUM(E212:E214)</f>
        <v>1635000</v>
      </c>
      <c r="F211" s="197"/>
      <c r="G211" s="207"/>
      <c r="H211" s="207"/>
      <c r="I211" s="197">
        <f>SUM(I212:I214)</f>
        <v>1635000</v>
      </c>
      <c r="J211" s="197">
        <f>SUM(J212:J214)</f>
        <v>38738</v>
      </c>
    </row>
    <row r="212" spans="1:11" x14ac:dyDescent="0.25">
      <c r="A212" s="133"/>
      <c r="B212" s="147" t="s">
        <v>13</v>
      </c>
      <c r="C212" s="207"/>
      <c r="D212" s="207"/>
      <c r="E212" s="88"/>
      <c r="F212" s="88"/>
      <c r="G212" s="207"/>
      <c r="H212" s="207"/>
      <c r="I212" s="88"/>
      <c r="J212" s="88">
        <v>26686</v>
      </c>
    </row>
    <row r="213" spans="1:11" x14ac:dyDescent="0.25">
      <c r="A213" s="133"/>
      <c r="B213" s="147" t="s">
        <v>376</v>
      </c>
      <c r="C213" s="207"/>
      <c r="D213" s="207"/>
      <c r="E213" s="88">
        <v>200000</v>
      </c>
      <c r="F213" s="88"/>
      <c r="G213" s="207"/>
      <c r="H213" s="207"/>
      <c r="I213" s="88">
        <v>200000</v>
      </c>
      <c r="J213" s="88">
        <v>10738</v>
      </c>
    </row>
    <row r="214" spans="1:11" x14ac:dyDescent="0.25">
      <c r="A214" s="133"/>
      <c r="B214" s="147" t="s">
        <v>429</v>
      </c>
      <c r="C214" s="207"/>
      <c r="D214" s="207"/>
      <c r="E214" s="88">
        <v>1435000</v>
      </c>
      <c r="F214" s="88"/>
      <c r="G214" s="207"/>
      <c r="H214" s="207"/>
      <c r="I214" s="88">
        <v>1435000</v>
      </c>
      <c r="J214" s="88">
        <v>1314</v>
      </c>
    </row>
    <row r="215" spans="1:11" x14ac:dyDescent="0.25">
      <c r="A215" s="195" t="s">
        <v>456</v>
      </c>
      <c r="B215" s="150" t="s">
        <v>457</v>
      </c>
      <c r="C215" s="207"/>
      <c r="D215" s="207"/>
      <c r="E215" s="197">
        <f>+E216</f>
        <v>1000000</v>
      </c>
      <c r="F215" s="197"/>
      <c r="G215" s="207"/>
      <c r="H215" s="207"/>
      <c r="I215" s="197">
        <f>+I216</f>
        <v>1000000</v>
      </c>
      <c r="J215" s="197">
        <f>+J216</f>
        <v>0</v>
      </c>
    </row>
    <row r="216" spans="1:11" x14ac:dyDescent="0.25">
      <c r="A216" s="133"/>
      <c r="B216" s="147" t="s">
        <v>429</v>
      </c>
      <c r="C216" s="207"/>
      <c r="D216" s="207"/>
      <c r="E216" s="88">
        <v>1000000</v>
      </c>
      <c r="F216" s="88"/>
      <c r="G216" s="207"/>
      <c r="H216" s="207"/>
      <c r="I216" s="88">
        <v>1000000</v>
      </c>
      <c r="J216" s="88"/>
    </row>
    <row r="217" spans="1:11" x14ac:dyDescent="0.25">
      <c r="A217" s="195" t="s">
        <v>458</v>
      </c>
      <c r="B217" s="150" t="s">
        <v>459</v>
      </c>
      <c r="C217" s="207"/>
      <c r="D217" s="207"/>
      <c r="E217" s="197">
        <f>+E218</f>
        <v>2160000</v>
      </c>
      <c r="F217" s="197"/>
      <c r="G217" s="207"/>
      <c r="H217" s="207"/>
      <c r="I217" s="197">
        <f>+I218</f>
        <v>2160000</v>
      </c>
      <c r="J217" s="197">
        <f>+J218</f>
        <v>0</v>
      </c>
    </row>
    <row r="218" spans="1:11" x14ac:dyDescent="0.25">
      <c r="A218" s="133"/>
      <c r="B218" s="147" t="s">
        <v>429</v>
      </c>
      <c r="C218" s="207"/>
      <c r="D218" s="207"/>
      <c r="E218" s="88">
        <v>2160000</v>
      </c>
      <c r="F218" s="88"/>
      <c r="G218" s="207"/>
      <c r="H218" s="207"/>
      <c r="I218" s="88">
        <v>2160000</v>
      </c>
      <c r="J218" s="88"/>
    </row>
    <row r="219" spans="1:11" x14ac:dyDescent="0.25">
      <c r="A219" s="195" t="s">
        <v>460</v>
      </c>
      <c r="B219" s="150" t="s">
        <v>297</v>
      </c>
      <c r="C219" s="207"/>
      <c r="D219" s="207"/>
      <c r="E219" s="88"/>
      <c r="F219" s="88"/>
      <c r="G219" s="207"/>
      <c r="H219" s="207"/>
      <c r="I219" s="197">
        <f>SUM(I220:I221)</f>
        <v>31119415</v>
      </c>
      <c r="J219" s="197">
        <f>SUM(J220:J221)</f>
        <v>12030598</v>
      </c>
    </row>
    <row r="220" spans="1:11" x14ac:dyDescent="0.25">
      <c r="A220" s="195"/>
      <c r="B220" s="147" t="s">
        <v>429</v>
      </c>
      <c r="C220" s="207"/>
      <c r="D220" s="207"/>
      <c r="E220" s="88"/>
      <c r="F220" s="88"/>
      <c r="G220" s="207"/>
      <c r="H220" s="207"/>
      <c r="I220" s="88">
        <f>10000000+296415+19000000</f>
        <v>29296415</v>
      </c>
      <c r="J220" s="88">
        <v>12030598</v>
      </c>
    </row>
    <row r="221" spans="1:11" x14ac:dyDescent="0.25">
      <c r="A221" s="195"/>
      <c r="B221" s="147" t="s">
        <v>31</v>
      </c>
      <c r="C221" s="207"/>
      <c r="D221" s="207"/>
      <c r="E221" s="88"/>
      <c r="F221" s="88"/>
      <c r="G221" s="207"/>
      <c r="H221" s="207"/>
      <c r="I221" s="88">
        <f>+'[6]7. Fejlesztések'!I42</f>
        <v>1823000</v>
      </c>
      <c r="J221" s="88"/>
    </row>
    <row r="222" spans="1:11" x14ac:dyDescent="0.25">
      <c r="A222" s="215" t="s">
        <v>42</v>
      </c>
      <c r="B222" s="174" t="s">
        <v>298</v>
      </c>
      <c r="C222" s="216"/>
      <c r="D222" s="216"/>
      <c r="E222" s="216">
        <v>0</v>
      </c>
      <c r="F222" s="216"/>
      <c r="G222" s="216"/>
      <c r="H222" s="216"/>
      <c r="I222" s="216">
        <v>0</v>
      </c>
      <c r="J222" s="216">
        <v>0</v>
      </c>
    </row>
    <row r="223" spans="1:11" s="206" customFormat="1" x14ac:dyDescent="0.25">
      <c r="A223" s="142" t="s">
        <v>303</v>
      </c>
      <c r="B223" s="193" t="s">
        <v>44</v>
      </c>
      <c r="C223" s="194"/>
      <c r="D223" s="194"/>
      <c r="E223" s="102">
        <f>+E224+E225+E226+E227</f>
        <v>2929730345</v>
      </c>
      <c r="F223" s="102"/>
      <c r="G223" s="194"/>
      <c r="H223" s="194"/>
      <c r="I223" s="102">
        <f>+I224+I225+I226+I227</f>
        <v>3141279920</v>
      </c>
      <c r="J223" s="102">
        <f>+J224+J225+J226+J227</f>
        <v>1150493202</v>
      </c>
      <c r="K223" s="192"/>
    </row>
    <row r="224" spans="1:11" x14ac:dyDescent="0.25">
      <c r="A224" s="133"/>
      <c r="B224" s="147" t="s">
        <v>461</v>
      </c>
      <c r="C224" s="207"/>
      <c r="D224" s="207"/>
      <c r="E224" s="88">
        <f>+'[6]3A PH'!F37+'[6]4A Walla'!E34+'[6]4B Nyitnikék'!E34+'[6]4C Bóbita'!E34+'[6]4D MMMH'!E34+'[6]4E Könyvtár'!E34+'[6]4F Segítő Kéz'!E34+'[6]4G Szérüskert'!E34+'[6]4H VG bev kiad'!E34</f>
        <v>2724269345</v>
      </c>
      <c r="F224" s="88"/>
      <c r="G224" s="207"/>
      <c r="H224" s="207"/>
      <c r="I224" s="88">
        <f>+'[6]3A PH'!J37+'[6]4A Walla'!H34+'[6]4B Nyitnikék'!H34+'[6]4C Bóbita'!H34+'[6]4D MMMH'!H34+'[6]4E Könyvtár'!H34+'[6]4F Segítő Kéz'!H34+'[6]4G Szérüskert'!H34+'[6]4H VG bev kiad'!H34</f>
        <v>2749364545</v>
      </c>
      <c r="J224" s="88">
        <f>+'[6]3A PH'!K37+'[6]4A Walla'!I34+'[6]4B Nyitnikék'!I34+'[6]4C Bóbita'!I34+'[6]4D MMMH'!I34+'[6]4E Könyvtár'!I34+'[6]4F Segítő Kéz'!I34+'[6]4G Szérüskert'!I34+'[6]4H VG bev kiad'!I34</f>
        <v>894062046</v>
      </c>
      <c r="K224" s="217"/>
    </row>
    <row r="225" spans="1:12" x14ac:dyDescent="0.25">
      <c r="A225" s="133"/>
      <c r="B225" s="147" t="s">
        <v>309</v>
      </c>
      <c r="C225" s="207"/>
      <c r="D225" s="207"/>
      <c r="E225" s="88">
        <f>24815492+508</f>
        <v>24816000</v>
      </c>
      <c r="F225" s="88"/>
      <c r="G225" s="207"/>
      <c r="H225" s="207"/>
      <c r="I225" s="88">
        <f>24815492+508+186454375</f>
        <v>211270375</v>
      </c>
      <c r="J225" s="88">
        <v>211269867</v>
      </c>
      <c r="K225" s="217"/>
    </row>
    <row r="226" spans="1:12" x14ac:dyDescent="0.25">
      <c r="A226" s="133"/>
      <c r="B226" s="147" t="s">
        <v>462</v>
      </c>
      <c r="C226" s="207"/>
      <c r="D226" s="207"/>
      <c r="E226" s="88">
        <v>180645000</v>
      </c>
      <c r="F226" s="88"/>
      <c r="G226" s="207"/>
      <c r="H226" s="207"/>
      <c r="I226" s="88">
        <v>180645000</v>
      </c>
      <c r="J226" s="88">
        <v>45161289</v>
      </c>
      <c r="K226" s="217"/>
    </row>
    <row r="227" spans="1:12" x14ac:dyDescent="0.25">
      <c r="A227" s="133"/>
      <c r="B227" s="147" t="s">
        <v>307</v>
      </c>
      <c r="C227" s="207"/>
      <c r="D227" s="207"/>
      <c r="E227" s="88"/>
      <c r="F227" s="88"/>
      <c r="G227" s="207"/>
      <c r="H227" s="207"/>
      <c r="I227" s="88"/>
      <c r="J227" s="88"/>
    </row>
    <row r="229" spans="1:12" x14ac:dyDescent="0.25">
      <c r="B229" s="184" t="s">
        <v>13</v>
      </c>
      <c r="E229" s="217">
        <f>+E8+E38+E194+E184+E178+E171+E164+E156+E109+E105+E85+E81+E66+E52+E44+E22+E17+E212</f>
        <v>199828320</v>
      </c>
      <c r="F229" s="217"/>
      <c r="I229" s="217">
        <f>+I8+I38+I194+I184+I178+I171+I164+I156+I109+I105+I85+I81+I66+I52+I44+I22+I17+I212</f>
        <v>196164007</v>
      </c>
      <c r="J229" s="217">
        <f>+J8+J38+J194+J184+J178+J171+J164+J156+J109+J105+J85+J81+J66+J52+J44+J22+J17+J212</f>
        <v>48197367</v>
      </c>
    </row>
    <row r="230" spans="1:12" x14ac:dyDescent="0.25">
      <c r="B230" s="184" t="s">
        <v>376</v>
      </c>
      <c r="E230" s="217">
        <f>+E9+E39+E59+E195+E185+E179+E172+E165+E157+E110+E106+E86+E82+E67+E53+E45+E23+E18+E213</f>
        <v>33746000</v>
      </c>
      <c r="F230" s="217"/>
      <c r="I230" s="217">
        <f>+I9+I39+I59+I195+I185+I179+I172+I165+I157+I110+I106+I86+I82+I67+I53+I45+I23+I18+I213</f>
        <v>33746000</v>
      </c>
      <c r="J230" s="217">
        <f>+J9+J39+J59+J195+J185+J179+J172+J165+J157+J110+J106+J86+J82+J67+J53+J45+J23+J18+J213</f>
        <v>7546140</v>
      </c>
    </row>
    <row r="231" spans="1:12" x14ac:dyDescent="0.25">
      <c r="B231" s="184" t="s">
        <v>19</v>
      </c>
      <c r="E231" s="217">
        <f>+E10+E14+E19+E24+E27+E29+E31+E35+E40+E46+E54+E60+E75+E83+E89+E91+E93+E95+E99+E101+E103+E107+E111+E137+E151+E158+E182+E186+E189+E70+E166+E192+E196+E200+E206+E210+E214+E216+E62+E153+E173+E180+E218+E78</f>
        <v>453969045</v>
      </c>
      <c r="F231" s="217"/>
      <c r="I231" s="217">
        <f>+I10+I14+I19+I24+I27+I29+I31+I35+I40+I46+I54+I60+I75+I83+I89+I91+I93+I95+I99+I101+I103+I107+I111+I137+I151+I158+I182+I186+I189+I70+I166+I192+I196+I200+I206+I210+I214+I216+I62+I153+I173+I180+I218+I78+I220</f>
        <v>590511569</v>
      </c>
      <c r="J231" s="217">
        <f>+J10+J14+J19+J24+J27+J29+J31+J35+J40+J46+J54+J60+J75+J83+J89+J91+J93+J95+J99+J101+J103+J107+J111+J137+J151+J158+J182+J186+J189+J70+J166+J192+J196+J200+J206+J210+J214+J216+J62+J153+J173+J180+J218+J78+J220</f>
        <v>128072329</v>
      </c>
      <c r="L231" s="217"/>
    </row>
    <row r="232" spans="1:12" x14ac:dyDescent="0.25">
      <c r="B232" s="184" t="s">
        <v>22</v>
      </c>
      <c r="E232" s="217">
        <f>+E63+E154+E159</f>
        <v>34000000</v>
      </c>
      <c r="F232" s="217"/>
      <c r="I232" s="217">
        <f>+I63+I64+I154+I159</f>
        <v>64717500</v>
      </c>
      <c r="J232" s="217">
        <f>+J63+J64+J154+J159</f>
        <v>23564881</v>
      </c>
    </row>
    <row r="233" spans="1:12" x14ac:dyDescent="0.25">
      <c r="B233" s="184" t="s">
        <v>24</v>
      </c>
      <c r="E233" s="217">
        <f>+E47+E87+E114+E117+E119+E123+E125+E127+E129+E131+E134+E139+E142+E144+E149+E188+E136+E48</f>
        <v>943223006</v>
      </c>
      <c r="F233" s="217"/>
      <c r="I233" s="217">
        <f>+I47+I87+I114+I117+I119+I123+I125+I127+I129+I131+I134+I139+I142+I144+I147+I149+I188+I136+I48</f>
        <v>913950483</v>
      </c>
      <c r="J233" s="217">
        <f>+J47+J87+J114+J117+J119+J123+J125+J127+J129+J131+J134+J139+J142+J144+J147+J149+J188+J136+J48</f>
        <v>280748087</v>
      </c>
    </row>
    <row r="234" spans="1:12" x14ac:dyDescent="0.25">
      <c r="B234" s="184" t="s">
        <v>31</v>
      </c>
      <c r="E234" s="217">
        <f>+E11+E15+E32+E55+E79+E167+E42+E49</f>
        <v>1136604350</v>
      </c>
      <c r="F234" s="217"/>
      <c r="I234" s="217">
        <f>+I11+I15+I32+I55+I79+I162+I167+I42+I49</f>
        <v>1368984827</v>
      </c>
      <c r="J234" s="217">
        <f>+J11+J15+J20+J32+J42+J49+J55+J79+J167+J162</f>
        <v>141999855</v>
      </c>
      <c r="L234" s="217"/>
    </row>
    <row r="235" spans="1:12" x14ac:dyDescent="0.25">
      <c r="B235" s="184" t="s">
        <v>463</v>
      </c>
      <c r="E235" s="217">
        <f>+E56+E72+E168</f>
        <v>215509840</v>
      </c>
      <c r="F235" s="217"/>
      <c r="I235" s="217">
        <f>+I50+I56+I72+I168</f>
        <v>244392052</v>
      </c>
      <c r="J235" s="217">
        <f>+J56+J72+J168</f>
        <v>5426456</v>
      </c>
    </row>
    <row r="236" spans="1:12" ht="15.75" customHeight="1" x14ac:dyDescent="0.25">
      <c r="B236" s="184" t="s">
        <v>35</v>
      </c>
      <c r="E236" s="217">
        <f>+E12</f>
        <v>700000</v>
      </c>
      <c r="F236" s="217"/>
      <c r="I236" s="217">
        <f>+I12</f>
        <v>1400000</v>
      </c>
      <c r="J236" s="217">
        <f>+J12</f>
        <v>0</v>
      </c>
    </row>
    <row r="237" spans="1:12" ht="15.75" customHeight="1" x14ac:dyDescent="0.25">
      <c r="B237" s="184" t="s">
        <v>464</v>
      </c>
      <c r="E237" s="217">
        <f>+E223</f>
        <v>2929730345</v>
      </c>
      <c r="F237" s="217"/>
      <c r="I237" s="217">
        <f>+I223</f>
        <v>3141279920</v>
      </c>
      <c r="J237" s="217">
        <f>+J223</f>
        <v>1150493202</v>
      </c>
    </row>
    <row r="238" spans="1:12" x14ac:dyDescent="0.25">
      <c r="B238" s="184" t="s">
        <v>465</v>
      </c>
      <c r="E238" s="217">
        <f>SUBTOTAL(9,E229:E237)</f>
        <v>5947310906</v>
      </c>
      <c r="F238" s="217"/>
      <c r="I238" s="217">
        <f>SUBTOTAL(9,I229:I237)</f>
        <v>6555146358</v>
      </c>
      <c r="J238" s="217">
        <f>SUBTOTAL(9,J229:J237)</f>
        <v>1786048317</v>
      </c>
    </row>
    <row r="239" spans="1:12" x14ac:dyDescent="0.25">
      <c r="B239" s="184" t="s">
        <v>466</v>
      </c>
      <c r="E239" s="217"/>
      <c r="F239" s="217"/>
      <c r="I239" s="217">
        <f>+I5</f>
        <v>6556969358</v>
      </c>
      <c r="J239" s="217"/>
    </row>
    <row r="240" spans="1:12" x14ac:dyDescent="0.25">
      <c r="I240" s="217">
        <f>+I238-I239</f>
        <v>-1823000</v>
      </c>
      <c r="J240" s="217">
        <v>1796008875</v>
      </c>
    </row>
    <row r="241" spans="10:10" x14ac:dyDescent="0.25">
      <c r="J241" s="217">
        <f>+J240-J238</f>
        <v>9960558</v>
      </c>
    </row>
  </sheetData>
  <mergeCells count="11">
    <mergeCell ref="A2:A4"/>
    <mergeCell ref="B2:B4"/>
    <mergeCell ref="C2:C3"/>
    <mergeCell ref="D2:D3"/>
    <mergeCell ref="E2:E3"/>
    <mergeCell ref="H2:H3"/>
    <mergeCell ref="I2:I3"/>
    <mergeCell ref="J2:J4"/>
    <mergeCell ref="C4:E4"/>
    <mergeCell ref="G4:I4"/>
    <mergeCell ref="G2:G3"/>
  </mergeCells>
  <printOptions horizontalCentered="1"/>
  <pageMargins left="0.23622047244094491" right="0.23622047244094491" top="0.73" bottom="0.6" header="0.15748031496062992" footer="0.15748031496062992"/>
  <pageSetup paperSize="9" scale="70" fitToWidth="2" fitToHeight="6" pageOrder="overThenDown" orientation="portrait" copies="4" r:id="rId1"/>
  <headerFooter>
    <oddHeader>&amp;L2/C.  melléklet a ......./2020. (.................) önkormányzati rendelethez&amp;C&amp;"-,Félkövér"&amp;16
Az Önkormányzat 2020. évi kiadásai feladatonként részletes bontásban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1FA5-74A1-4F5C-8390-43E815421407}">
  <sheetPr>
    <pageSetUpPr fitToPage="1"/>
  </sheetPr>
  <dimension ref="A1:ID170"/>
  <sheetViews>
    <sheetView showZeros="0" view="pageBreakPreview" topLeftCell="A15" zoomScale="90" zoomScaleNormal="100" zoomScaleSheetLayoutView="90" workbookViewId="0">
      <selection activeCell="E1" sqref="E1:E1048576"/>
    </sheetView>
  </sheetViews>
  <sheetFormatPr defaultColWidth="11.85546875" defaultRowHeight="15" x14ac:dyDescent="0.25"/>
  <cols>
    <col min="1" max="1" width="73.140625" style="218" customWidth="1"/>
    <col min="2" max="3" width="15.28515625" style="218" customWidth="1"/>
    <col min="4" max="4" width="13.85546875" style="218" hidden="1" customWidth="1"/>
    <col min="5" max="5" width="12.42578125" style="218" bestFit="1" customWidth="1"/>
    <col min="6" max="16384" width="11.85546875" style="218"/>
  </cols>
  <sheetData>
    <row r="1" spans="1:238" x14ac:dyDescent="0.25">
      <c r="B1" s="219"/>
      <c r="C1" s="219" t="s">
        <v>0</v>
      </c>
      <c r="D1" s="219" t="s">
        <v>0</v>
      </c>
    </row>
    <row r="2" spans="1:238" s="222" customFormat="1" ht="54.75" customHeight="1" x14ac:dyDescent="0.25">
      <c r="A2" s="220" t="s">
        <v>128</v>
      </c>
      <c r="B2" s="221" t="s">
        <v>6</v>
      </c>
      <c r="C2" s="221" t="s">
        <v>59</v>
      </c>
      <c r="D2" s="221" t="s">
        <v>467</v>
      </c>
      <c r="HT2" s="218"/>
      <c r="HU2" s="218"/>
      <c r="HV2" s="218"/>
      <c r="HW2" s="218"/>
      <c r="HX2" s="218"/>
      <c r="HY2" s="218"/>
      <c r="HZ2" s="218"/>
      <c r="IA2" s="218"/>
      <c r="IB2" s="218"/>
      <c r="IC2" s="218"/>
      <c r="ID2" s="218"/>
    </row>
    <row r="3" spans="1:238" s="222" customFormat="1" ht="27.75" customHeight="1" x14ac:dyDescent="0.25">
      <c r="A3" s="223" t="s">
        <v>468</v>
      </c>
      <c r="B3" s="224">
        <f>50000000+58000+30756628-30000000+28000000-1000000-3403302+6301162+10000000-(714000+231000)-1000000-1000000-1000000-6730000</f>
        <v>80037488</v>
      </c>
      <c r="C3" s="224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</f>
        <v>65945832</v>
      </c>
      <c r="D3" s="224"/>
      <c r="E3" s="225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</row>
    <row r="4" spans="1:238" s="226" customFormat="1" ht="24" customHeight="1" x14ac:dyDescent="0.25">
      <c r="A4" s="223" t="s">
        <v>469</v>
      </c>
      <c r="B4" s="224">
        <f>SUM(B5:B24)</f>
        <v>108960855</v>
      </c>
      <c r="C4" s="224">
        <f>SUM(C5:C25)</f>
        <v>94968877</v>
      </c>
      <c r="D4" s="224">
        <f>SUM(D5:D24)</f>
        <v>0</v>
      </c>
      <c r="E4" s="225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18"/>
    </row>
    <row r="5" spans="1:238" s="230" customFormat="1" ht="24" customHeight="1" x14ac:dyDescent="0.25">
      <c r="A5" s="228" t="s">
        <v>470</v>
      </c>
      <c r="B5" s="229">
        <v>4460855</v>
      </c>
      <c r="C5" s="229">
        <v>4460855</v>
      </c>
      <c r="D5" s="229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</row>
    <row r="6" spans="1:238" s="230" customFormat="1" ht="24" customHeight="1" x14ac:dyDescent="0.25">
      <c r="A6" s="228" t="s">
        <v>471</v>
      </c>
      <c r="B6" s="229">
        <v>4000000</v>
      </c>
      <c r="C6" s="229">
        <f>4000000-1000000</f>
        <v>3000000</v>
      </c>
      <c r="D6" s="229"/>
      <c r="HI6" s="218"/>
      <c r="HJ6" s="218"/>
      <c r="HK6" s="218"/>
      <c r="HL6" s="218"/>
      <c r="HM6" s="218"/>
      <c r="HN6" s="218"/>
      <c r="HO6" s="218"/>
      <c r="HP6" s="218"/>
      <c r="HQ6" s="218"/>
      <c r="HR6" s="218"/>
      <c r="HS6" s="218"/>
      <c r="HT6" s="218"/>
      <c r="HU6" s="218"/>
      <c r="HV6" s="218"/>
      <c r="HW6" s="218"/>
      <c r="HX6" s="218"/>
      <c r="HY6" s="218"/>
      <c r="HZ6" s="218"/>
      <c r="IA6" s="218"/>
      <c r="IB6" s="218"/>
      <c r="IC6" s="218"/>
      <c r="ID6" s="218"/>
    </row>
    <row r="7" spans="1:238" s="230" customFormat="1" ht="24" customHeight="1" x14ac:dyDescent="0.25">
      <c r="A7" s="228" t="s">
        <v>472</v>
      </c>
      <c r="B7" s="229">
        <v>3500000</v>
      </c>
      <c r="C7" s="229">
        <f>3500000-400000</f>
        <v>3100000</v>
      </c>
      <c r="D7" s="229"/>
      <c r="HI7" s="218"/>
      <c r="HJ7" s="218"/>
      <c r="HK7" s="218"/>
      <c r="HL7" s="218"/>
      <c r="HM7" s="218"/>
      <c r="HN7" s="218"/>
      <c r="HO7" s="218"/>
      <c r="HP7" s="218"/>
      <c r="HQ7" s="218"/>
      <c r="HR7" s="218"/>
      <c r="HS7" s="218"/>
      <c r="HT7" s="218"/>
      <c r="HU7" s="218"/>
      <c r="HV7" s="218"/>
      <c r="HW7" s="218"/>
      <c r="HX7" s="218"/>
      <c r="HY7" s="218"/>
      <c r="HZ7" s="218"/>
      <c r="IA7" s="218"/>
      <c r="IB7" s="218"/>
      <c r="IC7" s="218"/>
      <c r="ID7" s="218"/>
    </row>
    <row r="8" spans="1:238" s="230" customFormat="1" ht="24" hidden="1" customHeight="1" x14ac:dyDescent="0.25">
      <c r="A8" s="228" t="s">
        <v>473</v>
      </c>
      <c r="B8" s="229"/>
      <c r="C8" s="229"/>
      <c r="D8" s="229"/>
      <c r="HI8" s="218"/>
      <c r="HJ8" s="218"/>
      <c r="HK8" s="218"/>
      <c r="HL8" s="218"/>
      <c r="HM8" s="218"/>
      <c r="HN8" s="218"/>
      <c r="HO8" s="218"/>
      <c r="HP8" s="218"/>
      <c r="HQ8" s="218"/>
      <c r="HR8" s="218"/>
      <c r="HS8" s="218"/>
      <c r="HT8" s="218"/>
      <c r="HU8" s="218"/>
      <c r="HV8" s="218"/>
      <c r="HW8" s="218"/>
      <c r="HX8" s="218"/>
      <c r="HY8" s="218"/>
      <c r="HZ8" s="218"/>
      <c r="IA8" s="218"/>
      <c r="IB8" s="218"/>
      <c r="IC8" s="218"/>
      <c r="ID8" s="218"/>
    </row>
    <row r="9" spans="1:238" s="230" customFormat="1" ht="24" customHeight="1" x14ac:dyDescent="0.25">
      <c r="A9" s="228" t="s">
        <v>474</v>
      </c>
      <c r="B9" s="229">
        <v>1000000</v>
      </c>
      <c r="C9" s="229">
        <v>1000000</v>
      </c>
      <c r="D9" s="229"/>
      <c r="HI9" s="218"/>
      <c r="HJ9" s="218"/>
      <c r="HK9" s="218"/>
      <c r="HL9" s="218"/>
      <c r="HM9" s="218"/>
      <c r="HN9" s="218"/>
      <c r="HO9" s="218"/>
      <c r="HP9" s="218"/>
      <c r="HQ9" s="218"/>
      <c r="HR9" s="218"/>
      <c r="HS9" s="218"/>
      <c r="HT9" s="218"/>
      <c r="HU9" s="218"/>
      <c r="HV9" s="218"/>
      <c r="HW9" s="218"/>
      <c r="HX9" s="218"/>
      <c r="HY9" s="218"/>
      <c r="HZ9" s="218"/>
      <c r="IA9" s="218"/>
      <c r="IB9" s="218"/>
      <c r="IC9" s="218"/>
      <c r="ID9" s="218"/>
    </row>
    <row r="10" spans="1:238" s="230" customFormat="1" ht="24" customHeight="1" x14ac:dyDescent="0.25">
      <c r="A10" s="228" t="s">
        <v>475</v>
      </c>
      <c r="B10" s="229">
        <v>1000000</v>
      </c>
      <c r="C10" s="229">
        <v>1000000</v>
      </c>
      <c r="D10" s="229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</row>
    <row r="11" spans="1:238" s="230" customFormat="1" ht="24" customHeight="1" x14ac:dyDescent="0.25">
      <c r="A11" s="228" t="s">
        <v>476</v>
      </c>
      <c r="B11" s="229">
        <v>1000000</v>
      </c>
      <c r="C11" s="229">
        <v>1000000</v>
      </c>
      <c r="D11" s="229"/>
      <c r="HI11" s="218"/>
      <c r="HJ11" s="218"/>
      <c r="HK11" s="218"/>
      <c r="HL11" s="218"/>
      <c r="HM11" s="218"/>
      <c r="HN11" s="218"/>
      <c r="HO11" s="218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</row>
    <row r="12" spans="1:238" s="230" customFormat="1" ht="24" customHeight="1" x14ac:dyDescent="0.25">
      <c r="A12" s="231" t="s">
        <v>477</v>
      </c>
      <c r="B12" s="229">
        <v>25000000</v>
      </c>
      <c r="C12" s="229">
        <f>25000000-25000000</f>
        <v>0</v>
      </c>
      <c r="D12" s="229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</row>
    <row r="13" spans="1:238" s="230" customFormat="1" ht="24" hidden="1" customHeight="1" x14ac:dyDescent="0.25">
      <c r="A13" s="231" t="s">
        <v>478</v>
      </c>
      <c r="B13" s="229"/>
      <c r="C13" s="229"/>
      <c r="D13" s="229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</row>
    <row r="14" spans="1:238" s="230" customFormat="1" ht="24" hidden="1" customHeight="1" x14ac:dyDescent="0.25">
      <c r="A14" s="231" t="s">
        <v>479</v>
      </c>
      <c r="B14" s="229"/>
      <c r="C14" s="229"/>
      <c r="D14" s="229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</row>
    <row r="15" spans="1:238" s="230" customFormat="1" ht="24" customHeight="1" x14ac:dyDescent="0.25">
      <c r="A15" s="231" t="s">
        <v>480</v>
      </c>
      <c r="B15" s="229">
        <v>6000000</v>
      </c>
      <c r="C15" s="229">
        <v>6000000</v>
      </c>
      <c r="D15" s="229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</row>
    <row r="16" spans="1:238" s="230" customFormat="1" ht="24" customHeight="1" x14ac:dyDescent="0.25">
      <c r="A16" s="231" t="s">
        <v>481</v>
      </c>
      <c r="B16" s="229">
        <v>3000000</v>
      </c>
      <c r="C16" s="229">
        <v>3000000</v>
      </c>
      <c r="D16" s="229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</row>
    <row r="17" spans="1:238" s="230" customFormat="1" ht="24" customHeight="1" x14ac:dyDescent="0.25">
      <c r="A17" s="231" t="s">
        <v>482</v>
      </c>
      <c r="B17" s="229"/>
      <c r="C17" s="229"/>
      <c r="D17" s="229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</row>
    <row r="18" spans="1:238" s="230" customFormat="1" ht="24" customHeight="1" x14ac:dyDescent="0.25">
      <c r="A18" s="232" t="s">
        <v>483</v>
      </c>
      <c r="B18" s="229"/>
      <c r="C18" s="229"/>
      <c r="D18" s="229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</row>
    <row r="19" spans="1:238" s="230" customFormat="1" ht="24" customHeight="1" x14ac:dyDescent="0.25">
      <c r="A19" s="232" t="s">
        <v>484</v>
      </c>
      <c r="B19" s="229"/>
      <c r="C19" s="229"/>
      <c r="D19" s="229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</row>
    <row r="20" spans="1:238" s="230" customFormat="1" ht="24" customHeight="1" x14ac:dyDescent="0.25">
      <c r="A20" s="232" t="s">
        <v>485</v>
      </c>
      <c r="B20" s="229"/>
      <c r="C20" s="229"/>
      <c r="D20" s="229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</row>
    <row r="21" spans="1:238" s="230" customFormat="1" ht="24" customHeight="1" x14ac:dyDescent="0.25">
      <c r="A21" s="232" t="s">
        <v>486</v>
      </c>
      <c r="B21" s="229"/>
      <c r="C21" s="229"/>
      <c r="D21" s="229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</row>
    <row r="22" spans="1:238" s="230" customFormat="1" ht="24" customHeight="1" x14ac:dyDescent="0.25">
      <c r="A22" s="232" t="s">
        <v>487</v>
      </c>
      <c r="B22" s="229">
        <v>60000000</v>
      </c>
      <c r="C22" s="229">
        <v>60000000</v>
      </c>
      <c r="D22" s="229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</row>
    <row r="23" spans="1:238" s="230" customFormat="1" ht="24" customHeight="1" x14ac:dyDescent="0.25">
      <c r="A23" s="232" t="s">
        <v>488</v>
      </c>
      <c r="B23" s="229"/>
      <c r="C23" s="229">
        <v>4000000</v>
      </c>
      <c r="D23" s="229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</row>
    <row r="24" spans="1:238" s="230" customFormat="1" ht="24" customHeight="1" x14ac:dyDescent="0.25">
      <c r="A24" s="232" t="s">
        <v>489</v>
      </c>
      <c r="B24" s="229"/>
      <c r="C24" s="229">
        <v>8408022</v>
      </c>
      <c r="D24" s="229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</row>
    <row r="25" spans="1:238" s="230" customFormat="1" ht="24" customHeight="1" x14ac:dyDescent="0.25">
      <c r="A25" s="232" t="s">
        <v>490</v>
      </c>
      <c r="B25" s="229"/>
      <c r="C25" s="229"/>
      <c r="D25" s="229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</row>
    <row r="26" spans="1:238" s="233" customFormat="1" ht="24" customHeight="1" x14ac:dyDescent="0.25">
      <c r="A26" s="223" t="s">
        <v>491</v>
      </c>
      <c r="B26" s="224">
        <f>SUM(B27:B33)</f>
        <v>3000000</v>
      </c>
      <c r="C26" s="224">
        <f>SUM(C27:C33)</f>
        <v>3000000</v>
      </c>
      <c r="D26" s="224">
        <f>SUM(D27:D33)</f>
        <v>0</v>
      </c>
      <c r="E26" s="225"/>
      <c r="HI26" s="227"/>
      <c r="HJ26" s="227"/>
      <c r="HK26" s="227"/>
      <c r="HL26" s="227"/>
      <c r="HM26" s="227"/>
      <c r="HN26" s="227"/>
      <c r="HO26" s="227"/>
      <c r="HP26" s="227"/>
      <c r="HQ26" s="227"/>
      <c r="HR26" s="227"/>
      <c r="HS26" s="227"/>
      <c r="HT26" s="227"/>
      <c r="HU26" s="227"/>
      <c r="HV26" s="227"/>
      <c r="HW26" s="227"/>
      <c r="HX26" s="227"/>
      <c r="HY26" s="227"/>
      <c r="HZ26" s="227"/>
      <c r="IA26" s="227"/>
      <c r="IB26" s="227"/>
      <c r="IC26" s="227"/>
      <c r="ID26" s="218"/>
    </row>
    <row r="27" spans="1:238" s="230" customFormat="1" ht="24" hidden="1" customHeight="1" x14ac:dyDescent="0.25">
      <c r="A27" s="228" t="s">
        <v>492</v>
      </c>
      <c r="B27" s="229"/>
      <c r="C27" s="229"/>
      <c r="D27" s="229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</row>
    <row r="28" spans="1:238" s="230" customFormat="1" ht="24" hidden="1" customHeight="1" x14ac:dyDescent="0.25">
      <c r="A28" s="231" t="s">
        <v>493</v>
      </c>
      <c r="B28" s="229"/>
      <c r="C28" s="229"/>
      <c r="D28" s="229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</row>
    <row r="29" spans="1:238" s="230" customFormat="1" ht="24" hidden="1" customHeight="1" x14ac:dyDescent="0.25">
      <c r="A29" s="231" t="s">
        <v>494</v>
      </c>
      <c r="B29" s="229"/>
      <c r="C29" s="229"/>
      <c r="D29" s="229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</row>
    <row r="30" spans="1:238" s="230" customFormat="1" ht="24" hidden="1" customHeight="1" x14ac:dyDescent="0.25">
      <c r="A30" s="231" t="s">
        <v>495</v>
      </c>
      <c r="B30" s="229"/>
      <c r="C30" s="229"/>
      <c r="D30" s="229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</row>
    <row r="31" spans="1:238" s="230" customFormat="1" ht="24" hidden="1" customHeight="1" x14ac:dyDescent="0.25">
      <c r="A31" s="231" t="s">
        <v>496</v>
      </c>
      <c r="B31" s="229"/>
      <c r="C31" s="229"/>
      <c r="D31" s="229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</row>
    <row r="32" spans="1:238" s="230" customFormat="1" ht="24" customHeight="1" x14ac:dyDescent="0.25">
      <c r="A32" s="231" t="s">
        <v>497</v>
      </c>
      <c r="B32" s="229"/>
      <c r="C32" s="229"/>
      <c r="D32" s="229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</row>
    <row r="33" spans="1:238" s="230" customFormat="1" ht="24" customHeight="1" x14ac:dyDescent="0.25">
      <c r="A33" s="231" t="s">
        <v>498</v>
      </c>
      <c r="B33" s="229">
        <v>3000000</v>
      </c>
      <c r="C33" s="229">
        <v>3000000</v>
      </c>
      <c r="D33" s="229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</row>
    <row r="34" spans="1:238" s="236" customFormat="1" ht="24" customHeight="1" x14ac:dyDescent="0.25">
      <c r="A34" s="234" t="s">
        <v>499</v>
      </c>
      <c r="B34" s="235">
        <f>B4+B26+B3</f>
        <v>191998343</v>
      </c>
      <c r="C34" s="235">
        <f>C4+C26+C3</f>
        <v>163914709</v>
      </c>
      <c r="D34" s="235">
        <f>D4+D26+D3</f>
        <v>0</v>
      </c>
      <c r="E34" s="225"/>
      <c r="HI34" s="237"/>
      <c r="HJ34" s="237"/>
      <c r="HK34" s="237"/>
      <c r="HL34" s="237"/>
      <c r="HM34" s="237"/>
      <c r="HN34" s="237"/>
      <c r="HO34" s="237"/>
      <c r="HP34" s="237"/>
      <c r="HQ34" s="237"/>
      <c r="HR34" s="237"/>
      <c r="HS34" s="237"/>
      <c r="HT34" s="237"/>
      <c r="HU34" s="237"/>
      <c r="HV34" s="237"/>
      <c r="HW34" s="237"/>
      <c r="HX34" s="237"/>
      <c r="HY34" s="238"/>
      <c r="HZ34" s="218"/>
      <c r="IA34" s="218"/>
      <c r="IB34" s="218"/>
      <c r="IC34" s="218"/>
      <c r="ID34" s="218"/>
    </row>
    <row r="35" spans="1:238" s="230" customFormat="1" x14ac:dyDescent="0.25">
      <c r="A35" s="239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</row>
    <row r="36" spans="1:238" s="230" customFormat="1" x14ac:dyDescent="0.25">
      <c r="A36" s="239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</row>
    <row r="37" spans="1:238" s="230" customFormat="1" x14ac:dyDescent="0.25">
      <c r="A37" s="239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</row>
    <row r="38" spans="1:238" s="230" customFormat="1" x14ac:dyDescent="0.25">
      <c r="A38" s="239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</row>
    <row r="39" spans="1:238" s="230" customFormat="1" x14ac:dyDescent="0.25">
      <c r="A39" s="239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</row>
    <row r="40" spans="1:238" s="230" customFormat="1" x14ac:dyDescent="0.25">
      <c r="A40" s="239"/>
      <c r="S40" s="240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</row>
    <row r="41" spans="1:238" s="230" customFormat="1" x14ac:dyDescent="0.25">
      <c r="A41" s="239"/>
      <c r="S41" s="241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</row>
    <row r="42" spans="1:238" s="230" customFormat="1" x14ac:dyDescent="0.25">
      <c r="A42" s="239"/>
      <c r="S42" s="241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</row>
    <row r="43" spans="1:238" s="230" customFormat="1" x14ac:dyDescent="0.25">
      <c r="A43" s="239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</row>
    <row r="44" spans="1:238" s="230" customFormat="1" x14ac:dyDescent="0.25">
      <c r="A44" s="239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</row>
    <row r="45" spans="1:238" s="230" customFormat="1" x14ac:dyDescent="0.25">
      <c r="A45" s="239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</row>
    <row r="46" spans="1:238" s="230" customFormat="1" x14ac:dyDescent="0.25">
      <c r="A46" s="239"/>
      <c r="HI46" s="218"/>
      <c r="HJ46" s="218"/>
      <c r="HK46" s="218"/>
      <c r="HL46" s="218"/>
      <c r="HM46" s="218"/>
      <c r="HN46" s="218"/>
      <c r="HO46" s="218"/>
      <c r="HP46" s="218"/>
      <c r="HQ46" s="218"/>
      <c r="HR46" s="218"/>
      <c r="HS46" s="218"/>
      <c r="HT46" s="218"/>
      <c r="HU46" s="218"/>
      <c r="HV46" s="218"/>
      <c r="HW46" s="218"/>
      <c r="HX46" s="218"/>
      <c r="HY46" s="218"/>
      <c r="HZ46" s="218"/>
      <c r="IA46" s="218"/>
      <c r="IB46" s="218"/>
      <c r="IC46" s="218"/>
      <c r="ID46" s="218"/>
    </row>
    <row r="47" spans="1:238" s="230" customFormat="1" x14ac:dyDescent="0.25">
      <c r="A47" s="239"/>
      <c r="HI47" s="218"/>
      <c r="HJ47" s="218"/>
      <c r="HK47" s="218"/>
      <c r="HL47" s="218"/>
      <c r="HM47" s="218"/>
      <c r="HN47" s="218"/>
      <c r="HO47" s="218"/>
      <c r="HP47" s="218"/>
      <c r="HQ47" s="218"/>
      <c r="HR47" s="218"/>
      <c r="HS47" s="218"/>
      <c r="HT47" s="218"/>
      <c r="HU47" s="218"/>
      <c r="HV47" s="218"/>
      <c r="HW47" s="218"/>
      <c r="HX47" s="218"/>
      <c r="HY47" s="218"/>
      <c r="HZ47" s="218"/>
      <c r="IA47" s="218"/>
      <c r="IB47" s="218"/>
      <c r="IC47" s="218"/>
      <c r="ID47" s="218"/>
    </row>
    <row r="48" spans="1:238" s="230" customFormat="1" x14ac:dyDescent="0.25">
      <c r="A48" s="239"/>
      <c r="HI48" s="218"/>
      <c r="HJ48" s="218"/>
      <c r="HK48" s="218"/>
      <c r="HL48" s="218"/>
      <c r="HM48" s="218"/>
      <c r="HN48" s="218"/>
      <c r="HO48" s="218"/>
      <c r="HP48" s="218"/>
      <c r="HQ48" s="218"/>
      <c r="HR48" s="218"/>
      <c r="HS48" s="218"/>
      <c r="HT48" s="218"/>
      <c r="HU48" s="218"/>
      <c r="HV48" s="218"/>
      <c r="HW48" s="218"/>
      <c r="HX48" s="218"/>
      <c r="HY48" s="218"/>
      <c r="HZ48" s="218"/>
      <c r="IA48" s="218"/>
      <c r="IB48" s="218"/>
      <c r="IC48" s="218"/>
      <c r="ID48" s="218"/>
    </row>
    <row r="49" spans="1:238" s="230" customFormat="1" x14ac:dyDescent="0.25">
      <c r="A49" s="239"/>
      <c r="HI49" s="218"/>
      <c r="HJ49" s="218"/>
      <c r="HK49" s="218"/>
      <c r="HL49" s="218"/>
      <c r="HM49" s="218"/>
      <c r="HN49" s="218"/>
      <c r="HO49" s="218"/>
      <c r="HP49" s="218"/>
      <c r="HQ49" s="218"/>
      <c r="HR49" s="218"/>
      <c r="HS49" s="218"/>
      <c r="HT49" s="218"/>
      <c r="HU49" s="218"/>
      <c r="HV49" s="218"/>
      <c r="HW49" s="218"/>
      <c r="HX49" s="218"/>
      <c r="HY49" s="218"/>
      <c r="HZ49" s="218"/>
      <c r="IA49" s="218"/>
      <c r="IB49" s="218"/>
      <c r="IC49" s="218"/>
      <c r="ID49" s="218"/>
    </row>
    <row r="50" spans="1:238" s="230" customFormat="1" x14ac:dyDescent="0.25">
      <c r="A50" s="239"/>
      <c r="HI50" s="218"/>
      <c r="HJ50" s="218"/>
      <c r="HK50" s="218"/>
      <c r="HL50" s="218"/>
      <c r="HM50" s="218"/>
      <c r="HN50" s="218"/>
      <c r="HO50" s="218"/>
      <c r="HP50" s="218"/>
      <c r="HQ50" s="218"/>
      <c r="HR50" s="218"/>
      <c r="HS50" s="218"/>
      <c r="HT50" s="218"/>
      <c r="HU50" s="218"/>
      <c r="HV50" s="218"/>
      <c r="HW50" s="218"/>
      <c r="HX50" s="218"/>
      <c r="HY50" s="218"/>
      <c r="HZ50" s="218"/>
      <c r="IA50" s="218"/>
      <c r="IB50" s="218"/>
      <c r="IC50" s="218"/>
      <c r="ID50" s="218"/>
    </row>
    <row r="51" spans="1:238" s="230" customFormat="1" x14ac:dyDescent="0.25">
      <c r="A51" s="239"/>
      <c r="HI51" s="218"/>
      <c r="HJ51" s="218"/>
      <c r="HK51" s="218"/>
      <c r="HL51" s="218"/>
      <c r="HM51" s="218"/>
      <c r="HN51" s="218"/>
      <c r="HO51" s="218"/>
      <c r="HP51" s="218"/>
      <c r="HQ51" s="218"/>
      <c r="HR51" s="218"/>
      <c r="HS51" s="218"/>
      <c r="HT51" s="218"/>
      <c r="HU51" s="218"/>
      <c r="HV51" s="218"/>
      <c r="HW51" s="218"/>
      <c r="HX51" s="218"/>
      <c r="HY51" s="218"/>
      <c r="HZ51" s="218"/>
      <c r="IA51" s="218"/>
      <c r="IB51" s="218"/>
      <c r="IC51" s="218"/>
      <c r="ID51" s="218"/>
    </row>
    <row r="52" spans="1:238" s="230" customFormat="1" x14ac:dyDescent="0.25">
      <c r="A52" s="239"/>
      <c r="HI52" s="218"/>
      <c r="HJ52" s="218"/>
      <c r="HK52" s="218"/>
      <c r="HL52" s="218"/>
      <c r="HM52" s="218"/>
      <c r="HN52" s="218"/>
      <c r="HO52" s="218"/>
      <c r="HP52" s="218"/>
      <c r="HQ52" s="218"/>
      <c r="HR52" s="218"/>
      <c r="HS52" s="218"/>
      <c r="HT52" s="218"/>
      <c r="HU52" s="218"/>
      <c r="HV52" s="218"/>
      <c r="HW52" s="218"/>
      <c r="HX52" s="218"/>
      <c r="HY52" s="218"/>
      <c r="HZ52" s="218"/>
      <c r="IA52" s="218"/>
      <c r="IB52" s="218"/>
      <c r="IC52" s="218"/>
      <c r="ID52" s="218"/>
    </row>
    <row r="53" spans="1:238" s="230" customFormat="1" x14ac:dyDescent="0.25">
      <c r="A53" s="239"/>
      <c r="HI53" s="218"/>
      <c r="HJ53" s="218"/>
      <c r="HK53" s="218"/>
      <c r="HL53" s="218"/>
      <c r="HM53" s="218"/>
      <c r="HN53" s="218"/>
      <c r="HO53" s="218"/>
      <c r="HP53" s="218"/>
      <c r="HQ53" s="218"/>
      <c r="HR53" s="218"/>
      <c r="HS53" s="218"/>
      <c r="HT53" s="218"/>
      <c r="HU53" s="218"/>
      <c r="HV53" s="218"/>
      <c r="HW53" s="218"/>
      <c r="HX53" s="218"/>
      <c r="HY53" s="218"/>
      <c r="HZ53" s="218"/>
      <c r="IA53" s="218"/>
      <c r="IB53" s="218"/>
      <c r="IC53" s="218"/>
      <c r="ID53" s="218"/>
    </row>
    <row r="54" spans="1:238" s="230" customFormat="1" x14ac:dyDescent="0.25">
      <c r="A54" s="239"/>
      <c r="HI54" s="218"/>
      <c r="HJ54" s="218"/>
      <c r="HK54" s="218"/>
      <c r="HL54" s="218"/>
      <c r="HM54" s="218"/>
      <c r="HN54" s="218"/>
      <c r="HO54" s="218"/>
      <c r="HP54" s="218"/>
      <c r="HQ54" s="218"/>
      <c r="HR54" s="218"/>
      <c r="HS54" s="218"/>
      <c r="HT54" s="218"/>
      <c r="HU54" s="218"/>
      <c r="HV54" s="218"/>
      <c r="HW54" s="218"/>
      <c r="HX54" s="218"/>
      <c r="HY54" s="218"/>
      <c r="HZ54" s="218"/>
      <c r="IA54" s="218"/>
      <c r="IB54" s="218"/>
      <c r="IC54" s="218"/>
      <c r="ID54" s="218"/>
    </row>
    <row r="55" spans="1:238" s="230" customFormat="1" x14ac:dyDescent="0.25">
      <c r="A55" s="239"/>
      <c r="HI55" s="218"/>
      <c r="HJ55" s="218"/>
      <c r="HK55" s="218"/>
      <c r="HL55" s="218"/>
      <c r="HM55" s="218"/>
      <c r="HN55" s="218"/>
      <c r="HO55" s="218"/>
      <c r="HP55" s="218"/>
      <c r="HQ55" s="218"/>
      <c r="HR55" s="218"/>
      <c r="HS55" s="218"/>
      <c r="HT55" s="218"/>
      <c r="HU55" s="218"/>
      <c r="HV55" s="218"/>
      <c r="HW55" s="218"/>
      <c r="HX55" s="218"/>
      <c r="HY55" s="218"/>
      <c r="HZ55" s="218"/>
      <c r="IA55" s="218"/>
      <c r="IB55" s="218"/>
      <c r="IC55" s="218"/>
      <c r="ID55" s="218"/>
    </row>
    <row r="56" spans="1:238" s="230" customFormat="1" x14ac:dyDescent="0.25">
      <c r="A56" s="239"/>
      <c r="HI56" s="218"/>
      <c r="HJ56" s="218"/>
      <c r="HK56" s="218"/>
      <c r="HL56" s="218"/>
      <c r="HM56" s="218"/>
      <c r="HN56" s="218"/>
      <c r="HO56" s="218"/>
      <c r="HP56" s="218"/>
      <c r="HQ56" s="218"/>
      <c r="HR56" s="218"/>
      <c r="HS56" s="218"/>
      <c r="HT56" s="218"/>
      <c r="HU56" s="218"/>
      <c r="HV56" s="218"/>
      <c r="HW56" s="218"/>
      <c r="HX56" s="218"/>
      <c r="HY56" s="218"/>
      <c r="HZ56" s="218"/>
      <c r="IA56" s="218"/>
      <c r="IB56" s="218"/>
      <c r="IC56" s="218"/>
      <c r="ID56" s="218"/>
    </row>
    <row r="57" spans="1:238" s="230" customFormat="1" x14ac:dyDescent="0.25">
      <c r="A57" s="239"/>
      <c r="HI57" s="218"/>
      <c r="HJ57" s="218"/>
      <c r="HK57" s="218"/>
      <c r="HL57" s="218"/>
      <c r="HM57" s="218"/>
      <c r="HN57" s="218"/>
      <c r="HO57" s="218"/>
      <c r="HP57" s="218"/>
      <c r="HQ57" s="218"/>
      <c r="HR57" s="218"/>
      <c r="HS57" s="218"/>
      <c r="HT57" s="218"/>
      <c r="HU57" s="218"/>
      <c r="HV57" s="218"/>
      <c r="HW57" s="218"/>
      <c r="HX57" s="218"/>
      <c r="HY57" s="218"/>
      <c r="HZ57" s="218"/>
      <c r="IA57" s="218"/>
      <c r="IB57" s="218"/>
      <c r="IC57" s="218"/>
      <c r="ID57" s="218"/>
    </row>
    <row r="58" spans="1:238" s="230" customFormat="1" x14ac:dyDescent="0.25">
      <c r="A58" s="239"/>
      <c r="HI58" s="218"/>
      <c r="HJ58" s="218"/>
      <c r="HK58" s="218"/>
      <c r="HL58" s="218"/>
      <c r="HM58" s="218"/>
      <c r="HN58" s="218"/>
      <c r="HO58" s="218"/>
      <c r="HP58" s="218"/>
      <c r="HQ58" s="218"/>
      <c r="HR58" s="218"/>
      <c r="HS58" s="218"/>
      <c r="HT58" s="218"/>
      <c r="HU58" s="218"/>
      <c r="HV58" s="218"/>
      <c r="HW58" s="218"/>
      <c r="HX58" s="218"/>
      <c r="HY58" s="218"/>
      <c r="HZ58" s="218"/>
      <c r="IA58" s="218"/>
      <c r="IB58" s="218"/>
      <c r="IC58" s="218"/>
      <c r="ID58" s="218"/>
    </row>
    <row r="59" spans="1:238" s="230" customFormat="1" x14ac:dyDescent="0.25">
      <c r="A59" s="239"/>
      <c r="HI59" s="218"/>
      <c r="HJ59" s="218"/>
      <c r="HK59" s="218"/>
      <c r="HL59" s="218"/>
      <c r="HM59" s="218"/>
      <c r="HN59" s="218"/>
      <c r="HO59" s="218"/>
      <c r="HP59" s="218"/>
      <c r="HQ59" s="218"/>
      <c r="HR59" s="218"/>
      <c r="HS59" s="218"/>
      <c r="HT59" s="218"/>
      <c r="HU59" s="218"/>
      <c r="HV59" s="218"/>
      <c r="HW59" s="218"/>
      <c r="HX59" s="218"/>
      <c r="HY59" s="218"/>
      <c r="HZ59" s="218"/>
      <c r="IA59" s="218"/>
      <c r="IB59" s="218"/>
      <c r="IC59" s="218"/>
      <c r="ID59" s="218"/>
    </row>
    <row r="60" spans="1:238" s="230" customFormat="1" x14ac:dyDescent="0.25">
      <c r="A60" s="239"/>
      <c r="HI60" s="218"/>
      <c r="HJ60" s="218"/>
      <c r="HK60" s="218"/>
      <c r="HL60" s="218"/>
      <c r="HM60" s="218"/>
      <c r="HN60" s="218"/>
      <c r="HO60" s="218"/>
      <c r="HP60" s="218"/>
      <c r="HQ60" s="218"/>
      <c r="HR60" s="218"/>
      <c r="HS60" s="218"/>
      <c r="HT60" s="218"/>
      <c r="HU60" s="218"/>
      <c r="HV60" s="218"/>
      <c r="HW60" s="218"/>
      <c r="HX60" s="218"/>
      <c r="HY60" s="218"/>
      <c r="HZ60" s="218"/>
      <c r="IA60" s="218"/>
      <c r="IB60" s="218"/>
      <c r="IC60" s="218"/>
      <c r="ID60" s="218"/>
    </row>
    <row r="61" spans="1:238" s="230" customFormat="1" x14ac:dyDescent="0.25">
      <c r="A61" s="239"/>
      <c r="HI61" s="218"/>
      <c r="HJ61" s="218"/>
      <c r="HK61" s="218"/>
      <c r="HL61" s="218"/>
      <c r="HM61" s="218"/>
      <c r="HN61" s="218"/>
      <c r="HO61" s="218"/>
      <c r="HP61" s="218"/>
      <c r="HQ61" s="218"/>
      <c r="HR61" s="218"/>
      <c r="HS61" s="218"/>
      <c r="HT61" s="218"/>
      <c r="HU61" s="218"/>
      <c r="HV61" s="218"/>
      <c r="HW61" s="218"/>
      <c r="HX61" s="218"/>
      <c r="HY61" s="218"/>
      <c r="HZ61" s="218"/>
      <c r="IA61" s="218"/>
      <c r="IB61" s="218"/>
      <c r="IC61" s="218"/>
      <c r="ID61" s="218"/>
    </row>
    <row r="62" spans="1:238" s="230" customFormat="1" x14ac:dyDescent="0.25">
      <c r="A62" s="239"/>
      <c r="HI62" s="218"/>
      <c r="HJ62" s="218"/>
      <c r="HK62" s="218"/>
      <c r="HL62" s="218"/>
      <c r="HM62" s="218"/>
      <c r="HN62" s="218"/>
      <c r="HO62" s="218"/>
      <c r="HP62" s="218"/>
      <c r="HQ62" s="218"/>
      <c r="HR62" s="218"/>
      <c r="HS62" s="218"/>
      <c r="HT62" s="218"/>
      <c r="HU62" s="218"/>
      <c r="HV62" s="218"/>
      <c r="HW62" s="218"/>
      <c r="HX62" s="218"/>
      <c r="HY62" s="218"/>
      <c r="HZ62" s="218"/>
      <c r="IA62" s="218"/>
      <c r="IB62" s="218"/>
      <c r="IC62" s="218"/>
      <c r="ID62" s="218"/>
    </row>
    <row r="63" spans="1:238" s="230" customFormat="1" x14ac:dyDescent="0.25">
      <c r="A63" s="239"/>
      <c r="HI63" s="218"/>
      <c r="HJ63" s="218"/>
      <c r="HK63" s="218"/>
      <c r="HL63" s="218"/>
      <c r="HM63" s="218"/>
      <c r="HN63" s="218"/>
      <c r="HO63" s="218"/>
      <c r="HP63" s="218"/>
      <c r="HQ63" s="218"/>
      <c r="HR63" s="218"/>
      <c r="HS63" s="218"/>
      <c r="HT63" s="218"/>
      <c r="HU63" s="218"/>
      <c r="HV63" s="218"/>
      <c r="HW63" s="218"/>
      <c r="HX63" s="218"/>
      <c r="HY63" s="218"/>
      <c r="HZ63" s="218"/>
      <c r="IA63" s="218"/>
      <c r="IB63" s="218"/>
      <c r="IC63" s="218"/>
      <c r="ID63" s="218"/>
    </row>
    <row r="64" spans="1:238" s="230" customFormat="1" x14ac:dyDescent="0.25">
      <c r="A64" s="239"/>
      <c r="HI64" s="218"/>
      <c r="HJ64" s="218"/>
      <c r="HK64" s="218"/>
      <c r="HL64" s="218"/>
      <c r="HM64" s="218"/>
      <c r="HN64" s="218"/>
      <c r="HO64" s="218"/>
      <c r="HP64" s="218"/>
      <c r="HQ64" s="218"/>
      <c r="HR64" s="218"/>
      <c r="HS64" s="218"/>
      <c r="HT64" s="218"/>
      <c r="HU64" s="218"/>
      <c r="HV64" s="218"/>
      <c r="HW64" s="218"/>
      <c r="HX64" s="218"/>
      <c r="HY64" s="218"/>
      <c r="HZ64" s="218"/>
      <c r="IA64" s="218"/>
      <c r="IB64" s="218"/>
      <c r="IC64" s="218"/>
      <c r="ID64" s="218"/>
    </row>
    <row r="65" spans="1:238" s="230" customFormat="1" x14ac:dyDescent="0.25">
      <c r="A65" s="239"/>
      <c r="HI65" s="218"/>
      <c r="HJ65" s="218"/>
      <c r="HK65" s="218"/>
      <c r="HL65" s="218"/>
      <c r="HM65" s="218"/>
      <c r="HN65" s="218"/>
      <c r="HO65" s="218"/>
      <c r="HP65" s="218"/>
      <c r="HQ65" s="218"/>
      <c r="HR65" s="218"/>
      <c r="HS65" s="218"/>
      <c r="HT65" s="218"/>
      <c r="HU65" s="218"/>
      <c r="HV65" s="218"/>
      <c r="HW65" s="218"/>
      <c r="HX65" s="218"/>
      <c r="HY65" s="218"/>
      <c r="HZ65" s="218"/>
      <c r="IA65" s="218"/>
      <c r="IB65" s="218"/>
      <c r="IC65" s="218"/>
      <c r="ID65" s="218"/>
    </row>
    <row r="66" spans="1:238" s="230" customFormat="1" x14ac:dyDescent="0.25">
      <c r="A66" s="239"/>
      <c r="HI66" s="218"/>
      <c r="HJ66" s="218"/>
      <c r="HK66" s="218"/>
      <c r="HL66" s="218"/>
      <c r="HM66" s="218"/>
      <c r="HN66" s="218"/>
      <c r="HO66" s="218"/>
      <c r="HP66" s="218"/>
      <c r="HQ66" s="218"/>
      <c r="HR66" s="218"/>
      <c r="HS66" s="218"/>
      <c r="HT66" s="218"/>
      <c r="HU66" s="218"/>
      <c r="HV66" s="218"/>
      <c r="HW66" s="218"/>
      <c r="HX66" s="218"/>
      <c r="HY66" s="218"/>
      <c r="HZ66" s="218"/>
      <c r="IA66" s="218"/>
      <c r="IB66" s="218"/>
      <c r="IC66" s="218"/>
      <c r="ID66" s="218"/>
    </row>
    <row r="67" spans="1:238" s="230" customFormat="1" x14ac:dyDescent="0.25">
      <c r="A67" s="239"/>
      <c r="HI67" s="218"/>
      <c r="HJ67" s="218"/>
      <c r="HK67" s="218"/>
      <c r="HL67" s="218"/>
      <c r="HM67" s="218"/>
      <c r="HN67" s="218"/>
      <c r="HO67" s="218"/>
      <c r="HP67" s="218"/>
      <c r="HQ67" s="218"/>
      <c r="HR67" s="218"/>
      <c r="HS67" s="218"/>
      <c r="HT67" s="218"/>
      <c r="HU67" s="218"/>
      <c r="HV67" s="218"/>
      <c r="HW67" s="218"/>
      <c r="HX67" s="218"/>
      <c r="HY67" s="218"/>
      <c r="HZ67" s="218"/>
      <c r="IA67" s="218"/>
      <c r="IB67" s="218"/>
      <c r="IC67" s="218"/>
      <c r="ID67" s="218"/>
    </row>
    <row r="68" spans="1:238" s="230" customFormat="1" x14ac:dyDescent="0.25">
      <c r="A68" s="239"/>
      <c r="HI68" s="218"/>
      <c r="HJ68" s="218"/>
      <c r="HK68" s="218"/>
      <c r="HL68" s="218"/>
      <c r="HM68" s="218"/>
      <c r="HN68" s="218"/>
      <c r="HO68" s="218"/>
      <c r="HP68" s="218"/>
      <c r="HQ68" s="218"/>
      <c r="HR68" s="218"/>
      <c r="HS68" s="218"/>
      <c r="HT68" s="218"/>
      <c r="HU68" s="218"/>
      <c r="HV68" s="218"/>
      <c r="HW68" s="218"/>
      <c r="HX68" s="218"/>
      <c r="HY68" s="218"/>
      <c r="HZ68" s="218"/>
      <c r="IA68" s="218"/>
      <c r="IB68" s="218"/>
      <c r="IC68" s="218"/>
      <c r="ID68" s="218"/>
    </row>
    <row r="69" spans="1:238" s="230" customFormat="1" x14ac:dyDescent="0.25">
      <c r="A69" s="239"/>
      <c r="HI69" s="218"/>
      <c r="HJ69" s="218"/>
      <c r="HK69" s="218"/>
      <c r="HL69" s="218"/>
      <c r="HM69" s="218"/>
      <c r="HN69" s="218"/>
      <c r="HO69" s="218"/>
      <c r="HP69" s="218"/>
      <c r="HQ69" s="218"/>
      <c r="HR69" s="218"/>
      <c r="HS69" s="218"/>
      <c r="HT69" s="218"/>
      <c r="HU69" s="218"/>
      <c r="HV69" s="218"/>
      <c r="HW69" s="218"/>
      <c r="HX69" s="218"/>
      <c r="HY69" s="218"/>
      <c r="HZ69" s="218"/>
      <c r="IA69" s="218"/>
      <c r="IB69" s="218"/>
      <c r="IC69" s="218"/>
      <c r="ID69" s="218"/>
    </row>
    <row r="70" spans="1:238" s="230" customFormat="1" x14ac:dyDescent="0.25">
      <c r="A70" s="239"/>
      <c r="HI70" s="218"/>
      <c r="HJ70" s="218"/>
      <c r="HK70" s="218"/>
      <c r="HL70" s="218"/>
      <c r="HM70" s="218"/>
      <c r="HN70" s="218"/>
      <c r="HO70" s="218"/>
      <c r="HP70" s="218"/>
      <c r="HQ70" s="218"/>
      <c r="HR70" s="218"/>
      <c r="HS70" s="218"/>
      <c r="HT70" s="218"/>
      <c r="HU70" s="218"/>
      <c r="HV70" s="218"/>
      <c r="HW70" s="218"/>
      <c r="HX70" s="218"/>
      <c r="HY70" s="218"/>
      <c r="HZ70" s="218"/>
      <c r="IA70" s="218"/>
      <c r="IB70" s="218"/>
      <c r="IC70" s="218"/>
      <c r="ID70" s="218"/>
    </row>
    <row r="71" spans="1:238" s="230" customFormat="1" x14ac:dyDescent="0.25">
      <c r="A71" s="239"/>
      <c r="HI71" s="218"/>
      <c r="HJ71" s="218"/>
      <c r="HK71" s="218"/>
      <c r="HL71" s="218"/>
      <c r="HM71" s="218"/>
      <c r="HN71" s="218"/>
      <c r="HO71" s="218"/>
      <c r="HP71" s="218"/>
      <c r="HQ71" s="218"/>
      <c r="HR71" s="218"/>
      <c r="HS71" s="218"/>
      <c r="HT71" s="218"/>
      <c r="HU71" s="218"/>
      <c r="HV71" s="218"/>
      <c r="HW71" s="218"/>
      <c r="HX71" s="218"/>
      <c r="HY71" s="218"/>
      <c r="HZ71" s="218"/>
      <c r="IA71" s="218"/>
      <c r="IB71" s="218"/>
      <c r="IC71" s="218"/>
      <c r="ID71" s="218"/>
    </row>
    <row r="72" spans="1:238" s="230" customFormat="1" x14ac:dyDescent="0.25">
      <c r="A72" s="239"/>
      <c r="HI72" s="218"/>
      <c r="HJ72" s="218"/>
      <c r="HK72" s="218"/>
      <c r="HL72" s="218"/>
      <c r="HM72" s="218"/>
      <c r="HN72" s="218"/>
      <c r="HO72" s="218"/>
      <c r="HP72" s="218"/>
      <c r="HQ72" s="218"/>
      <c r="HR72" s="218"/>
      <c r="HS72" s="218"/>
      <c r="HT72" s="218"/>
      <c r="HU72" s="218"/>
      <c r="HV72" s="218"/>
      <c r="HW72" s="218"/>
      <c r="HX72" s="218"/>
      <c r="HY72" s="218"/>
      <c r="HZ72" s="218"/>
      <c r="IA72" s="218"/>
      <c r="IB72" s="218"/>
      <c r="IC72" s="218"/>
      <c r="ID72" s="218"/>
    </row>
    <row r="73" spans="1:238" s="230" customFormat="1" x14ac:dyDescent="0.25">
      <c r="A73" s="239"/>
      <c r="HI73" s="218"/>
      <c r="HJ73" s="218"/>
      <c r="HK73" s="218"/>
      <c r="HL73" s="218"/>
      <c r="HM73" s="218"/>
      <c r="HN73" s="218"/>
      <c r="HO73" s="218"/>
      <c r="HP73" s="218"/>
      <c r="HQ73" s="218"/>
      <c r="HR73" s="218"/>
      <c r="HS73" s="218"/>
      <c r="HT73" s="218"/>
      <c r="HU73" s="218"/>
      <c r="HV73" s="218"/>
      <c r="HW73" s="218"/>
      <c r="HX73" s="218"/>
      <c r="HY73" s="218"/>
      <c r="HZ73" s="218"/>
      <c r="IA73" s="218"/>
      <c r="IB73" s="218"/>
      <c r="IC73" s="218"/>
      <c r="ID73" s="218"/>
    </row>
    <row r="74" spans="1:238" s="230" customFormat="1" x14ac:dyDescent="0.25">
      <c r="A74" s="239"/>
      <c r="HI74" s="218"/>
      <c r="HJ74" s="218"/>
      <c r="HK74" s="218"/>
      <c r="HL74" s="218"/>
      <c r="HM74" s="218"/>
      <c r="HN74" s="218"/>
      <c r="HO74" s="218"/>
      <c r="HP74" s="218"/>
      <c r="HQ74" s="218"/>
      <c r="HR74" s="218"/>
      <c r="HS74" s="218"/>
      <c r="HT74" s="218"/>
      <c r="HU74" s="218"/>
      <c r="HV74" s="218"/>
      <c r="HW74" s="218"/>
      <c r="HX74" s="218"/>
      <c r="HY74" s="218"/>
      <c r="HZ74" s="218"/>
      <c r="IA74" s="218"/>
      <c r="IB74" s="218"/>
      <c r="IC74" s="218"/>
      <c r="ID74" s="218"/>
    </row>
    <row r="75" spans="1:238" s="230" customFormat="1" x14ac:dyDescent="0.25">
      <c r="A75" s="239"/>
      <c r="HI75" s="218"/>
      <c r="HJ75" s="218"/>
      <c r="HK75" s="218"/>
      <c r="HL75" s="218"/>
      <c r="HM75" s="218"/>
      <c r="HN75" s="218"/>
      <c r="HO75" s="218"/>
      <c r="HP75" s="218"/>
      <c r="HQ75" s="218"/>
      <c r="HR75" s="218"/>
      <c r="HS75" s="218"/>
      <c r="HT75" s="218"/>
      <c r="HU75" s="218"/>
      <c r="HV75" s="218"/>
      <c r="HW75" s="218"/>
      <c r="HX75" s="218"/>
      <c r="HY75" s="218"/>
      <c r="HZ75" s="218"/>
      <c r="IA75" s="218"/>
      <c r="IB75" s="218"/>
      <c r="IC75" s="218"/>
      <c r="ID75" s="218"/>
    </row>
    <row r="76" spans="1:238" s="230" customFormat="1" x14ac:dyDescent="0.25">
      <c r="A76" s="239"/>
      <c r="HI76" s="218"/>
      <c r="HJ76" s="218"/>
      <c r="HK76" s="218"/>
      <c r="HL76" s="218"/>
      <c r="HM76" s="218"/>
      <c r="HN76" s="218"/>
      <c r="HO76" s="218"/>
      <c r="HP76" s="218"/>
      <c r="HQ76" s="218"/>
      <c r="HR76" s="218"/>
      <c r="HS76" s="218"/>
      <c r="HT76" s="218"/>
      <c r="HU76" s="218"/>
      <c r="HV76" s="218"/>
      <c r="HW76" s="218"/>
      <c r="HX76" s="218"/>
      <c r="HY76" s="218"/>
      <c r="HZ76" s="218"/>
      <c r="IA76" s="218"/>
      <c r="IB76" s="218"/>
      <c r="IC76" s="218"/>
      <c r="ID76" s="218"/>
    </row>
    <row r="77" spans="1:238" s="230" customFormat="1" x14ac:dyDescent="0.25">
      <c r="A77" s="239"/>
      <c r="HI77" s="218"/>
      <c r="HJ77" s="218"/>
      <c r="HK77" s="218"/>
      <c r="HL77" s="218"/>
      <c r="HM77" s="218"/>
      <c r="HN77" s="218"/>
      <c r="HO77" s="218"/>
      <c r="HP77" s="218"/>
      <c r="HQ77" s="218"/>
      <c r="HR77" s="218"/>
      <c r="HS77" s="218"/>
      <c r="HT77" s="218"/>
      <c r="HU77" s="218"/>
      <c r="HV77" s="218"/>
      <c r="HW77" s="218"/>
      <c r="HX77" s="218"/>
      <c r="HY77" s="218"/>
      <c r="HZ77" s="218"/>
      <c r="IA77" s="218"/>
      <c r="IB77" s="218"/>
      <c r="IC77" s="218"/>
      <c r="ID77" s="218"/>
    </row>
    <row r="78" spans="1:238" s="230" customFormat="1" x14ac:dyDescent="0.25">
      <c r="A78" s="239"/>
      <c r="HI78" s="218"/>
      <c r="HJ78" s="218"/>
      <c r="HK78" s="218"/>
      <c r="HL78" s="218"/>
      <c r="HM78" s="218"/>
      <c r="HN78" s="218"/>
      <c r="HO78" s="218"/>
      <c r="HP78" s="218"/>
      <c r="HQ78" s="218"/>
      <c r="HR78" s="218"/>
      <c r="HS78" s="218"/>
      <c r="HT78" s="218"/>
      <c r="HU78" s="218"/>
      <c r="HV78" s="218"/>
      <c r="HW78" s="218"/>
      <c r="HX78" s="218"/>
      <c r="HY78" s="218"/>
      <c r="HZ78" s="218"/>
      <c r="IA78" s="218"/>
      <c r="IB78" s="218"/>
      <c r="IC78" s="218"/>
      <c r="ID78" s="218"/>
    </row>
    <row r="79" spans="1:238" s="230" customFormat="1" x14ac:dyDescent="0.25">
      <c r="A79" s="239"/>
      <c r="HI79" s="218"/>
      <c r="HJ79" s="218"/>
      <c r="HK79" s="218"/>
      <c r="HL79" s="218"/>
      <c r="HM79" s="218"/>
      <c r="HN79" s="218"/>
      <c r="HO79" s="218"/>
      <c r="HP79" s="218"/>
      <c r="HQ79" s="218"/>
      <c r="HR79" s="218"/>
      <c r="HS79" s="218"/>
      <c r="HT79" s="218"/>
      <c r="HU79" s="218"/>
      <c r="HV79" s="218"/>
      <c r="HW79" s="218"/>
      <c r="HX79" s="218"/>
      <c r="HY79" s="218"/>
      <c r="HZ79" s="218"/>
      <c r="IA79" s="218"/>
      <c r="IB79" s="218"/>
      <c r="IC79" s="218"/>
      <c r="ID79" s="218"/>
    </row>
    <row r="80" spans="1:238" s="230" customFormat="1" x14ac:dyDescent="0.25">
      <c r="A80" s="239"/>
      <c r="HI80" s="218"/>
      <c r="HJ80" s="218"/>
      <c r="HK80" s="218"/>
      <c r="HL80" s="218"/>
      <c r="HM80" s="218"/>
      <c r="HN80" s="218"/>
      <c r="HO80" s="218"/>
      <c r="HP80" s="218"/>
      <c r="HQ80" s="218"/>
      <c r="HR80" s="218"/>
      <c r="HS80" s="218"/>
      <c r="HT80" s="218"/>
      <c r="HU80" s="218"/>
      <c r="HV80" s="218"/>
      <c r="HW80" s="218"/>
      <c r="HX80" s="218"/>
      <c r="HY80" s="218"/>
      <c r="HZ80" s="218"/>
      <c r="IA80" s="218"/>
      <c r="IB80" s="218"/>
      <c r="IC80" s="218"/>
      <c r="ID80" s="218"/>
    </row>
    <row r="81" spans="1:238" s="230" customFormat="1" x14ac:dyDescent="0.25">
      <c r="A81" s="239"/>
      <c r="HI81" s="218"/>
      <c r="HJ81" s="218"/>
      <c r="HK81" s="218"/>
      <c r="HL81" s="218"/>
      <c r="HM81" s="218"/>
      <c r="HN81" s="218"/>
      <c r="HO81" s="218"/>
      <c r="HP81" s="218"/>
      <c r="HQ81" s="218"/>
      <c r="HR81" s="218"/>
      <c r="HS81" s="218"/>
      <c r="HT81" s="218"/>
      <c r="HU81" s="218"/>
      <c r="HV81" s="218"/>
      <c r="HW81" s="218"/>
      <c r="HX81" s="218"/>
      <c r="HY81" s="218"/>
      <c r="HZ81" s="218"/>
      <c r="IA81" s="218"/>
      <c r="IB81" s="218"/>
      <c r="IC81" s="218"/>
      <c r="ID81" s="218"/>
    </row>
    <row r="82" spans="1:238" s="230" customFormat="1" x14ac:dyDescent="0.25">
      <c r="A82" s="239"/>
      <c r="HI82" s="218"/>
      <c r="HJ82" s="218"/>
      <c r="HK82" s="218"/>
      <c r="HL82" s="218"/>
      <c r="HM82" s="218"/>
      <c r="HN82" s="218"/>
      <c r="HO82" s="218"/>
      <c r="HP82" s="218"/>
      <c r="HQ82" s="218"/>
      <c r="HR82" s="218"/>
      <c r="HS82" s="218"/>
      <c r="HT82" s="218"/>
      <c r="HU82" s="218"/>
      <c r="HV82" s="218"/>
      <c r="HW82" s="218"/>
      <c r="HX82" s="218"/>
      <c r="HY82" s="218"/>
      <c r="HZ82" s="218"/>
      <c r="IA82" s="218"/>
      <c r="IB82" s="218"/>
      <c r="IC82" s="218"/>
      <c r="ID82" s="218"/>
    </row>
    <row r="83" spans="1:238" s="230" customFormat="1" x14ac:dyDescent="0.25">
      <c r="A83" s="239"/>
      <c r="HI83" s="218"/>
      <c r="HJ83" s="218"/>
      <c r="HK83" s="218"/>
      <c r="HL83" s="218"/>
      <c r="HM83" s="218"/>
      <c r="HN83" s="218"/>
      <c r="HO83" s="218"/>
      <c r="HP83" s="218"/>
      <c r="HQ83" s="218"/>
      <c r="HR83" s="218"/>
      <c r="HS83" s="218"/>
      <c r="HT83" s="218"/>
      <c r="HU83" s="218"/>
      <c r="HV83" s="218"/>
      <c r="HW83" s="218"/>
      <c r="HX83" s="218"/>
      <c r="HY83" s="218"/>
      <c r="HZ83" s="218"/>
      <c r="IA83" s="218"/>
      <c r="IB83" s="218"/>
      <c r="IC83" s="218"/>
      <c r="ID83" s="218"/>
    </row>
    <row r="84" spans="1:238" s="230" customFormat="1" x14ac:dyDescent="0.25">
      <c r="A84" s="239"/>
      <c r="HI84" s="218"/>
      <c r="HJ84" s="218"/>
      <c r="HK84" s="218"/>
      <c r="HL84" s="218"/>
      <c r="HM84" s="218"/>
      <c r="HN84" s="218"/>
      <c r="HO84" s="218"/>
      <c r="HP84" s="218"/>
      <c r="HQ84" s="218"/>
      <c r="HR84" s="218"/>
      <c r="HS84" s="218"/>
      <c r="HT84" s="218"/>
      <c r="HU84" s="218"/>
      <c r="HV84" s="218"/>
      <c r="HW84" s="218"/>
      <c r="HX84" s="218"/>
      <c r="HY84" s="218"/>
      <c r="HZ84" s="218"/>
      <c r="IA84" s="218"/>
      <c r="IB84" s="218"/>
      <c r="IC84" s="218"/>
      <c r="ID84" s="218"/>
    </row>
    <row r="85" spans="1:238" s="230" customFormat="1" x14ac:dyDescent="0.25">
      <c r="A85" s="239"/>
      <c r="HI85" s="218"/>
      <c r="HJ85" s="218"/>
      <c r="HK85" s="218"/>
      <c r="HL85" s="218"/>
      <c r="HM85" s="218"/>
      <c r="HN85" s="218"/>
      <c r="HO85" s="218"/>
      <c r="HP85" s="218"/>
      <c r="HQ85" s="218"/>
      <c r="HR85" s="218"/>
      <c r="HS85" s="218"/>
      <c r="HT85" s="218"/>
      <c r="HU85" s="218"/>
      <c r="HV85" s="218"/>
      <c r="HW85" s="218"/>
      <c r="HX85" s="218"/>
      <c r="HY85" s="218"/>
      <c r="HZ85" s="218"/>
      <c r="IA85" s="218"/>
      <c r="IB85" s="218"/>
      <c r="IC85" s="218"/>
      <c r="ID85" s="218"/>
    </row>
    <row r="86" spans="1:238" s="230" customFormat="1" x14ac:dyDescent="0.25">
      <c r="A86" s="239"/>
      <c r="HI86" s="218"/>
      <c r="HJ86" s="218"/>
      <c r="HK86" s="218"/>
      <c r="HL86" s="218"/>
      <c r="HM86" s="218"/>
      <c r="HN86" s="218"/>
      <c r="HO86" s="218"/>
      <c r="HP86" s="218"/>
      <c r="HQ86" s="218"/>
      <c r="HR86" s="218"/>
      <c r="HS86" s="218"/>
      <c r="HT86" s="218"/>
      <c r="HU86" s="218"/>
      <c r="HV86" s="218"/>
      <c r="HW86" s="218"/>
      <c r="HX86" s="218"/>
      <c r="HY86" s="218"/>
      <c r="HZ86" s="218"/>
      <c r="IA86" s="218"/>
      <c r="IB86" s="218"/>
      <c r="IC86" s="218"/>
      <c r="ID86" s="218"/>
    </row>
    <row r="87" spans="1:238" s="230" customFormat="1" x14ac:dyDescent="0.25">
      <c r="A87" s="239"/>
      <c r="HI87" s="218"/>
      <c r="HJ87" s="218"/>
      <c r="HK87" s="218"/>
      <c r="HL87" s="218"/>
      <c r="HM87" s="218"/>
      <c r="HN87" s="218"/>
      <c r="HO87" s="218"/>
      <c r="HP87" s="218"/>
      <c r="HQ87" s="218"/>
      <c r="HR87" s="218"/>
      <c r="HS87" s="218"/>
      <c r="HT87" s="218"/>
      <c r="HU87" s="218"/>
      <c r="HV87" s="218"/>
      <c r="HW87" s="218"/>
      <c r="HX87" s="218"/>
      <c r="HY87" s="218"/>
      <c r="HZ87" s="218"/>
      <c r="IA87" s="218"/>
      <c r="IB87" s="218"/>
      <c r="IC87" s="218"/>
      <c r="ID87" s="218"/>
    </row>
    <row r="88" spans="1:238" s="230" customFormat="1" x14ac:dyDescent="0.25">
      <c r="A88" s="239"/>
      <c r="HI88" s="218"/>
      <c r="HJ88" s="218"/>
      <c r="HK88" s="218"/>
      <c r="HL88" s="218"/>
      <c r="HM88" s="218"/>
      <c r="HN88" s="218"/>
      <c r="HO88" s="218"/>
      <c r="HP88" s="218"/>
      <c r="HQ88" s="218"/>
      <c r="HR88" s="218"/>
      <c r="HS88" s="218"/>
      <c r="HT88" s="218"/>
      <c r="HU88" s="218"/>
      <c r="HV88" s="218"/>
      <c r="HW88" s="218"/>
      <c r="HX88" s="218"/>
      <c r="HY88" s="218"/>
      <c r="HZ88" s="218"/>
      <c r="IA88" s="218"/>
      <c r="IB88" s="218"/>
      <c r="IC88" s="218"/>
      <c r="ID88" s="218"/>
    </row>
    <row r="89" spans="1:238" s="230" customFormat="1" x14ac:dyDescent="0.25">
      <c r="A89" s="239"/>
      <c r="HI89" s="218"/>
      <c r="HJ89" s="218"/>
      <c r="HK89" s="218"/>
      <c r="HL89" s="218"/>
      <c r="HM89" s="218"/>
      <c r="HN89" s="218"/>
      <c r="HO89" s="218"/>
      <c r="HP89" s="218"/>
      <c r="HQ89" s="218"/>
      <c r="HR89" s="218"/>
      <c r="HS89" s="218"/>
      <c r="HT89" s="218"/>
      <c r="HU89" s="218"/>
      <c r="HV89" s="218"/>
      <c r="HW89" s="218"/>
      <c r="HX89" s="218"/>
      <c r="HY89" s="218"/>
      <c r="HZ89" s="218"/>
      <c r="IA89" s="218"/>
      <c r="IB89" s="218"/>
      <c r="IC89" s="218"/>
      <c r="ID89" s="218"/>
    </row>
    <row r="90" spans="1:238" s="230" customFormat="1" x14ac:dyDescent="0.25">
      <c r="A90" s="239"/>
      <c r="HI90" s="218"/>
      <c r="HJ90" s="218"/>
      <c r="HK90" s="218"/>
      <c r="HL90" s="218"/>
      <c r="HM90" s="218"/>
      <c r="HN90" s="218"/>
      <c r="HO90" s="218"/>
      <c r="HP90" s="218"/>
      <c r="HQ90" s="218"/>
      <c r="HR90" s="218"/>
      <c r="HS90" s="218"/>
      <c r="HT90" s="218"/>
      <c r="HU90" s="218"/>
      <c r="HV90" s="218"/>
      <c r="HW90" s="218"/>
      <c r="HX90" s="218"/>
      <c r="HY90" s="218"/>
      <c r="HZ90" s="218"/>
      <c r="IA90" s="218"/>
      <c r="IB90" s="218"/>
      <c r="IC90" s="218"/>
      <c r="ID90" s="218"/>
    </row>
    <row r="91" spans="1:238" s="230" customFormat="1" x14ac:dyDescent="0.25">
      <c r="A91" s="239"/>
      <c r="HI91" s="218"/>
      <c r="HJ91" s="218"/>
      <c r="HK91" s="218"/>
      <c r="HL91" s="218"/>
      <c r="HM91" s="218"/>
      <c r="HN91" s="218"/>
      <c r="HO91" s="218"/>
      <c r="HP91" s="218"/>
      <c r="HQ91" s="218"/>
      <c r="HR91" s="218"/>
      <c r="HS91" s="218"/>
      <c r="HT91" s="218"/>
      <c r="HU91" s="218"/>
      <c r="HV91" s="218"/>
      <c r="HW91" s="218"/>
      <c r="HX91" s="218"/>
      <c r="HY91" s="218"/>
      <c r="HZ91" s="218"/>
      <c r="IA91" s="218"/>
      <c r="IB91" s="218"/>
      <c r="IC91" s="218"/>
      <c r="ID91" s="218"/>
    </row>
    <row r="92" spans="1:238" s="230" customFormat="1" x14ac:dyDescent="0.25">
      <c r="A92" s="239"/>
      <c r="HI92" s="218"/>
      <c r="HJ92" s="218"/>
      <c r="HK92" s="218"/>
      <c r="HL92" s="218"/>
      <c r="HM92" s="218"/>
      <c r="HN92" s="218"/>
      <c r="HO92" s="218"/>
      <c r="HP92" s="218"/>
      <c r="HQ92" s="218"/>
      <c r="HR92" s="218"/>
      <c r="HS92" s="218"/>
      <c r="HT92" s="218"/>
      <c r="HU92" s="218"/>
      <c r="HV92" s="218"/>
      <c r="HW92" s="218"/>
      <c r="HX92" s="218"/>
      <c r="HY92" s="218"/>
      <c r="HZ92" s="218"/>
      <c r="IA92" s="218"/>
      <c r="IB92" s="218"/>
      <c r="IC92" s="218"/>
      <c r="ID92" s="218"/>
    </row>
    <row r="93" spans="1:238" s="230" customFormat="1" x14ac:dyDescent="0.25">
      <c r="A93" s="239"/>
      <c r="HI93" s="218"/>
      <c r="HJ93" s="218"/>
      <c r="HK93" s="218"/>
      <c r="HL93" s="218"/>
      <c r="HM93" s="218"/>
      <c r="HN93" s="218"/>
      <c r="HO93" s="218"/>
      <c r="HP93" s="218"/>
      <c r="HQ93" s="218"/>
      <c r="HR93" s="218"/>
      <c r="HS93" s="218"/>
      <c r="HT93" s="218"/>
      <c r="HU93" s="218"/>
      <c r="HV93" s="218"/>
      <c r="HW93" s="218"/>
      <c r="HX93" s="218"/>
      <c r="HY93" s="218"/>
      <c r="HZ93" s="218"/>
      <c r="IA93" s="218"/>
      <c r="IB93" s="218"/>
      <c r="IC93" s="218"/>
      <c r="ID93" s="218"/>
    </row>
    <row r="94" spans="1:238" s="230" customFormat="1" x14ac:dyDescent="0.25">
      <c r="A94" s="239"/>
      <c r="HI94" s="218"/>
      <c r="HJ94" s="218"/>
      <c r="HK94" s="218"/>
      <c r="HL94" s="218"/>
      <c r="HM94" s="218"/>
      <c r="HN94" s="218"/>
      <c r="HO94" s="218"/>
      <c r="HP94" s="218"/>
      <c r="HQ94" s="218"/>
      <c r="HR94" s="218"/>
      <c r="HS94" s="218"/>
      <c r="HT94" s="218"/>
      <c r="HU94" s="218"/>
      <c r="HV94" s="218"/>
      <c r="HW94" s="218"/>
      <c r="HX94" s="218"/>
      <c r="HY94" s="218"/>
      <c r="HZ94" s="218"/>
      <c r="IA94" s="218"/>
      <c r="IB94" s="218"/>
      <c r="IC94" s="218"/>
      <c r="ID94" s="218"/>
    </row>
    <row r="95" spans="1:238" s="230" customFormat="1" x14ac:dyDescent="0.25">
      <c r="A95" s="239"/>
      <c r="HI95" s="218"/>
      <c r="HJ95" s="218"/>
      <c r="HK95" s="218"/>
      <c r="HL95" s="218"/>
      <c r="HM95" s="218"/>
      <c r="HN95" s="218"/>
      <c r="HO95" s="218"/>
      <c r="HP95" s="218"/>
      <c r="HQ95" s="218"/>
      <c r="HR95" s="218"/>
      <c r="HS95" s="218"/>
      <c r="HT95" s="218"/>
      <c r="HU95" s="218"/>
      <c r="HV95" s="218"/>
      <c r="HW95" s="218"/>
      <c r="HX95" s="218"/>
      <c r="HY95" s="218"/>
      <c r="HZ95" s="218"/>
      <c r="IA95" s="218"/>
      <c r="IB95" s="218"/>
      <c r="IC95" s="218"/>
      <c r="ID95" s="218"/>
    </row>
    <row r="96" spans="1:238" s="230" customFormat="1" x14ac:dyDescent="0.25">
      <c r="A96" s="239"/>
      <c r="HI96" s="218"/>
      <c r="HJ96" s="218"/>
      <c r="HK96" s="218"/>
      <c r="HL96" s="218"/>
      <c r="HM96" s="218"/>
      <c r="HN96" s="218"/>
      <c r="HO96" s="218"/>
      <c r="HP96" s="218"/>
      <c r="HQ96" s="218"/>
      <c r="HR96" s="218"/>
      <c r="HS96" s="218"/>
      <c r="HT96" s="218"/>
      <c r="HU96" s="218"/>
      <c r="HV96" s="218"/>
      <c r="HW96" s="218"/>
      <c r="HX96" s="218"/>
      <c r="HY96" s="218"/>
      <c r="HZ96" s="218"/>
      <c r="IA96" s="218"/>
      <c r="IB96" s="218"/>
      <c r="IC96" s="218"/>
      <c r="ID96" s="218"/>
    </row>
    <row r="97" spans="1:238" s="230" customFormat="1" x14ac:dyDescent="0.25">
      <c r="A97" s="239"/>
      <c r="HI97" s="218"/>
      <c r="HJ97" s="218"/>
      <c r="HK97" s="218"/>
      <c r="HL97" s="218"/>
      <c r="HM97" s="218"/>
      <c r="HN97" s="218"/>
      <c r="HO97" s="218"/>
      <c r="HP97" s="218"/>
      <c r="HQ97" s="218"/>
      <c r="HR97" s="218"/>
      <c r="HS97" s="218"/>
      <c r="HT97" s="218"/>
      <c r="HU97" s="218"/>
      <c r="HV97" s="218"/>
      <c r="HW97" s="218"/>
      <c r="HX97" s="218"/>
      <c r="HY97" s="218"/>
      <c r="HZ97" s="218"/>
      <c r="IA97" s="218"/>
      <c r="IB97" s="218"/>
      <c r="IC97" s="218"/>
      <c r="ID97" s="218"/>
    </row>
    <row r="98" spans="1:238" s="230" customFormat="1" x14ac:dyDescent="0.25">
      <c r="A98" s="239"/>
      <c r="HI98" s="218"/>
      <c r="HJ98" s="218"/>
      <c r="HK98" s="218"/>
      <c r="HL98" s="218"/>
      <c r="HM98" s="218"/>
      <c r="HN98" s="218"/>
      <c r="HO98" s="218"/>
      <c r="HP98" s="218"/>
      <c r="HQ98" s="218"/>
      <c r="HR98" s="218"/>
      <c r="HS98" s="218"/>
      <c r="HT98" s="218"/>
      <c r="HU98" s="218"/>
      <c r="HV98" s="218"/>
      <c r="HW98" s="218"/>
      <c r="HX98" s="218"/>
      <c r="HY98" s="218"/>
      <c r="HZ98" s="218"/>
      <c r="IA98" s="218"/>
      <c r="IB98" s="218"/>
      <c r="IC98" s="218"/>
      <c r="ID98" s="218"/>
    </row>
    <row r="99" spans="1:238" s="230" customFormat="1" x14ac:dyDescent="0.25">
      <c r="A99" s="239"/>
      <c r="HI99" s="218"/>
      <c r="HJ99" s="218"/>
      <c r="HK99" s="218"/>
      <c r="HL99" s="218"/>
      <c r="HM99" s="218"/>
      <c r="HN99" s="218"/>
      <c r="HO99" s="218"/>
      <c r="HP99" s="218"/>
      <c r="HQ99" s="218"/>
      <c r="HR99" s="218"/>
      <c r="HS99" s="218"/>
      <c r="HT99" s="218"/>
      <c r="HU99" s="218"/>
      <c r="HV99" s="218"/>
      <c r="HW99" s="218"/>
      <c r="HX99" s="218"/>
      <c r="HY99" s="218"/>
      <c r="HZ99" s="218"/>
      <c r="IA99" s="218"/>
      <c r="IB99" s="218"/>
      <c r="IC99" s="218"/>
      <c r="ID99" s="218"/>
    </row>
    <row r="100" spans="1:238" s="230" customFormat="1" x14ac:dyDescent="0.25">
      <c r="A100" s="239"/>
      <c r="HI100" s="218"/>
      <c r="HJ100" s="218"/>
      <c r="HK100" s="218"/>
      <c r="HL100" s="218"/>
      <c r="HM100" s="218"/>
      <c r="HN100" s="218"/>
      <c r="HO100" s="218"/>
      <c r="HP100" s="218"/>
      <c r="HQ100" s="218"/>
      <c r="HR100" s="218"/>
      <c r="HS100" s="218"/>
      <c r="HT100" s="218"/>
      <c r="HU100" s="218"/>
      <c r="HV100" s="218"/>
      <c r="HW100" s="218"/>
      <c r="HX100" s="218"/>
      <c r="HY100" s="218"/>
      <c r="HZ100" s="218"/>
      <c r="IA100" s="218"/>
      <c r="IB100" s="218"/>
      <c r="IC100" s="218"/>
      <c r="ID100" s="218"/>
    </row>
    <row r="101" spans="1:238" s="230" customFormat="1" x14ac:dyDescent="0.25">
      <c r="A101" s="239"/>
      <c r="HI101" s="218"/>
      <c r="HJ101" s="218"/>
      <c r="HK101" s="218"/>
      <c r="HL101" s="218"/>
      <c r="HM101" s="218"/>
      <c r="HN101" s="218"/>
      <c r="HO101" s="218"/>
      <c r="HP101" s="218"/>
      <c r="HQ101" s="218"/>
      <c r="HR101" s="218"/>
      <c r="HS101" s="218"/>
      <c r="HT101" s="218"/>
      <c r="HU101" s="218"/>
      <c r="HV101" s="218"/>
      <c r="HW101" s="218"/>
      <c r="HX101" s="218"/>
      <c r="HY101" s="218"/>
      <c r="HZ101" s="218"/>
      <c r="IA101" s="218"/>
      <c r="IB101" s="218"/>
      <c r="IC101" s="218"/>
      <c r="ID101" s="218"/>
    </row>
    <row r="102" spans="1:238" s="230" customFormat="1" x14ac:dyDescent="0.25">
      <c r="A102" s="239"/>
      <c r="HI102" s="218"/>
      <c r="HJ102" s="218"/>
      <c r="HK102" s="218"/>
      <c r="HL102" s="218"/>
      <c r="HM102" s="218"/>
      <c r="HN102" s="218"/>
      <c r="HO102" s="218"/>
      <c r="HP102" s="218"/>
      <c r="HQ102" s="218"/>
      <c r="HR102" s="218"/>
      <c r="HS102" s="218"/>
      <c r="HT102" s="218"/>
      <c r="HU102" s="218"/>
      <c r="HV102" s="218"/>
      <c r="HW102" s="218"/>
      <c r="HX102" s="218"/>
      <c r="HY102" s="218"/>
      <c r="HZ102" s="218"/>
      <c r="IA102" s="218"/>
      <c r="IB102" s="218"/>
      <c r="IC102" s="218"/>
      <c r="ID102" s="218"/>
    </row>
    <row r="103" spans="1:238" s="230" customFormat="1" x14ac:dyDescent="0.25">
      <c r="A103" s="239"/>
      <c r="HI103" s="218"/>
      <c r="HJ103" s="218"/>
      <c r="HK103" s="218"/>
      <c r="HL103" s="218"/>
      <c r="HM103" s="218"/>
      <c r="HN103" s="218"/>
      <c r="HO103" s="218"/>
      <c r="HP103" s="218"/>
      <c r="HQ103" s="218"/>
      <c r="HR103" s="218"/>
      <c r="HS103" s="218"/>
      <c r="HT103" s="218"/>
      <c r="HU103" s="218"/>
      <c r="HV103" s="218"/>
      <c r="HW103" s="218"/>
      <c r="HX103" s="218"/>
      <c r="HY103" s="218"/>
      <c r="HZ103" s="218"/>
      <c r="IA103" s="218"/>
      <c r="IB103" s="218"/>
      <c r="IC103" s="218"/>
      <c r="ID103" s="218"/>
    </row>
    <row r="104" spans="1:238" s="230" customFormat="1" x14ac:dyDescent="0.25">
      <c r="A104" s="239"/>
      <c r="HI104" s="218"/>
      <c r="HJ104" s="218"/>
      <c r="HK104" s="218"/>
      <c r="HL104" s="218"/>
      <c r="HM104" s="218"/>
      <c r="HN104" s="218"/>
      <c r="HO104" s="218"/>
      <c r="HP104" s="218"/>
      <c r="HQ104" s="218"/>
      <c r="HR104" s="218"/>
      <c r="HS104" s="218"/>
      <c r="HT104" s="218"/>
      <c r="HU104" s="218"/>
      <c r="HV104" s="218"/>
      <c r="HW104" s="218"/>
      <c r="HX104" s="218"/>
      <c r="HY104" s="218"/>
      <c r="HZ104" s="218"/>
      <c r="IA104" s="218"/>
      <c r="IB104" s="218"/>
      <c r="IC104" s="218"/>
      <c r="ID104" s="218"/>
    </row>
    <row r="105" spans="1:238" s="230" customFormat="1" x14ac:dyDescent="0.25">
      <c r="A105" s="239"/>
      <c r="HI105" s="218"/>
      <c r="HJ105" s="218"/>
      <c r="HK105" s="218"/>
      <c r="HL105" s="218"/>
      <c r="HM105" s="218"/>
      <c r="HN105" s="218"/>
      <c r="HO105" s="218"/>
      <c r="HP105" s="218"/>
      <c r="HQ105" s="218"/>
      <c r="HR105" s="218"/>
      <c r="HS105" s="218"/>
      <c r="HT105" s="218"/>
      <c r="HU105" s="218"/>
      <c r="HV105" s="218"/>
      <c r="HW105" s="218"/>
      <c r="HX105" s="218"/>
      <c r="HY105" s="218"/>
      <c r="HZ105" s="218"/>
      <c r="IA105" s="218"/>
      <c r="IB105" s="218"/>
      <c r="IC105" s="218"/>
      <c r="ID105" s="218"/>
    </row>
    <row r="106" spans="1:238" s="230" customFormat="1" x14ac:dyDescent="0.25">
      <c r="A106" s="239"/>
      <c r="HI106" s="218"/>
      <c r="HJ106" s="218"/>
      <c r="HK106" s="218"/>
      <c r="HL106" s="218"/>
      <c r="HM106" s="218"/>
      <c r="HN106" s="218"/>
      <c r="HO106" s="218"/>
      <c r="HP106" s="218"/>
      <c r="HQ106" s="218"/>
      <c r="HR106" s="218"/>
      <c r="HS106" s="218"/>
      <c r="HT106" s="218"/>
      <c r="HU106" s="218"/>
      <c r="HV106" s="218"/>
      <c r="HW106" s="218"/>
      <c r="HX106" s="218"/>
      <c r="HY106" s="218"/>
      <c r="HZ106" s="218"/>
      <c r="IA106" s="218"/>
      <c r="IB106" s="218"/>
      <c r="IC106" s="218"/>
      <c r="ID106" s="218"/>
    </row>
    <row r="107" spans="1:238" s="230" customFormat="1" x14ac:dyDescent="0.25">
      <c r="A107" s="239"/>
      <c r="HI107" s="218"/>
      <c r="HJ107" s="218"/>
      <c r="HK107" s="218"/>
      <c r="HL107" s="218"/>
      <c r="HM107" s="218"/>
      <c r="HN107" s="218"/>
      <c r="HO107" s="218"/>
      <c r="HP107" s="218"/>
      <c r="HQ107" s="218"/>
      <c r="HR107" s="218"/>
      <c r="HS107" s="218"/>
      <c r="HT107" s="218"/>
      <c r="HU107" s="218"/>
      <c r="HV107" s="218"/>
      <c r="HW107" s="218"/>
      <c r="HX107" s="218"/>
      <c r="HY107" s="218"/>
      <c r="HZ107" s="218"/>
      <c r="IA107" s="218"/>
      <c r="IB107" s="218"/>
      <c r="IC107" s="218"/>
      <c r="ID107" s="218"/>
    </row>
    <row r="108" spans="1:238" s="230" customFormat="1" x14ac:dyDescent="0.25">
      <c r="A108" s="239"/>
      <c r="HI108" s="218"/>
      <c r="HJ108" s="218"/>
      <c r="HK108" s="218"/>
      <c r="HL108" s="218"/>
      <c r="HM108" s="218"/>
      <c r="HN108" s="218"/>
      <c r="HO108" s="218"/>
      <c r="HP108" s="218"/>
      <c r="HQ108" s="218"/>
      <c r="HR108" s="218"/>
      <c r="HS108" s="218"/>
      <c r="HT108" s="218"/>
      <c r="HU108" s="218"/>
      <c r="HV108" s="218"/>
      <c r="HW108" s="218"/>
      <c r="HX108" s="218"/>
      <c r="HY108" s="218"/>
      <c r="HZ108" s="218"/>
      <c r="IA108" s="218"/>
      <c r="IB108" s="218"/>
      <c r="IC108" s="218"/>
      <c r="ID108" s="218"/>
    </row>
    <row r="109" spans="1:238" s="230" customFormat="1" x14ac:dyDescent="0.25">
      <c r="A109" s="239"/>
      <c r="HI109" s="218"/>
      <c r="HJ109" s="218"/>
      <c r="HK109" s="218"/>
      <c r="HL109" s="218"/>
      <c r="HM109" s="218"/>
      <c r="HN109" s="218"/>
      <c r="HO109" s="218"/>
      <c r="HP109" s="218"/>
      <c r="HQ109" s="218"/>
      <c r="HR109" s="218"/>
      <c r="HS109" s="218"/>
      <c r="HT109" s="218"/>
      <c r="HU109" s="218"/>
      <c r="HV109" s="218"/>
      <c r="HW109" s="218"/>
      <c r="HX109" s="218"/>
      <c r="HY109" s="218"/>
      <c r="HZ109" s="218"/>
      <c r="IA109" s="218"/>
      <c r="IB109" s="218"/>
      <c r="IC109" s="218"/>
      <c r="ID109" s="218"/>
    </row>
    <row r="110" spans="1:238" s="230" customFormat="1" x14ac:dyDescent="0.25">
      <c r="A110" s="239"/>
      <c r="HI110" s="218"/>
      <c r="HJ110" s="218"/>
      <c r="HK110" s="218"/>
      <c r="HL110" s="218"/>
      <c r="HM110" s="218"/>
      <c r="HN110" s="218"/>
      <c r="HO110" s="218"/>
      <c r="HP110" s="218"/>
      <c r="HQ110" s="218"/>
      <c r="HR110" s="218"/>
      <c r="HS110" s="218"/>
      <c r="HT110" s="218"/>
      <c r="HU110" s="218"/>
      <c r="HV110" s="218"/>
      <c r="HW110" s="218"/>
      <c r="HX110" s="218"/>
      <c r="HY110" s="218"/>
      <c r="HZ110" s="218"/>
      <c r="IA110" s="218"/>
      <c r="IB110" s="218"/>
      <c r="IC110" s="218"/>
      <c r="ID110" s="218"/>
    </row>
    <row r="111" spans="1:238" s="230" customFormat="1" x14ac:dyDescent="0.25">
      <c r="A111" s="239"/>
      <c r="HI111" s="218"/>
      <c r="HJ111" s="218"/>
      <c r="HK111" s="218"/>
      <c r="HL111" s="218"/>
      <c r="HM111" s="218"/>
      <c r="HN111" s="218"/>
      <c r="HO111" s="218"/>
      <c r="HP111" s="218"/>
      <c r="HQ111" s="218"/>
      <c r="HR111" s="218"/>
      <c r="HS111" s="218"/>
      <c r="HT111" s="218"/>
      <c r="HU111" s="218"/>
      <c r="HV111" s="218"/>
      <c r="HW111" s="218"/>
      <c r="HX111" s="218"/>
      <c r="HY111" s="218"/>
      <c r="HZ111" s="218"/>
      <c r="IA111" s="218"/>
      <c r="IB111" s="218"/>
      <c r="IC111" s="218"/>
      <c r="ID111" s="218"/>
    </row>
    <row r="112" spans="1:238" s="230" customFormat="1" x14ac:dyDescent="0.25">
      <c r="A112" s="239"/>
      <c r="HI112" s="218"/>
      <c r="HJ112" s="218"/>
      <c r="HK112" s="218"/>
      <c r="HL112" s="218"/>
      <c r="HM112" s="218"/>
      <c r="HN112" s="218"/>
      <c r="HO112" s="218"/>
      <c r="HP112" s="218"/>
      <c r="HQ112" s="218"/>
      <c r="HR112" s="218"/>
      <c r="HS112" s="218"/>
      <c r="HT112" s="218"/>
      <c r="HU112" s="218"/>
      <c r="HV112" s="218"/>
      <c r="HW112" s="218"/>
      <c r="HX112" s="218"/>
      <c r="HY112" s="218"/>
      <c r="HZ112" s="218"/>
      <c r="IA112" s="218"/>
      <c r="IB112" s="218"/>
      <c r="IC112" s="218"/>
      <c r="ID112" s="218"/>
    </row>
    <row r="113" spans="1:238" s="230" customFormat="1" x14ac:dyDescent="0.25">
      <c r="A113" s="239"/>
      <c r="HI113" s="218"/>
      <c r="HJ113" s="218"/>
      <c r="HK113" s="218"/>
      <c r="HL113" s="218"/>
      <c r="HM113" s="218"/>
      <c r="HN113" s="218"/>
      <c r="HO113" s="218"/>
      <c r="HP113" s="218"/>
      <c r="HQ113" s="218"/>
      <c r="HR113" s="218"/>
      <c r="HS113" s="218"/>
      <c r="HT113" s="218"/>
      <c r="HU113" s="218"/>
      <c r="HV113" s="218"/>
      <c r="HW113" s="218"/>
      <c r="HX113" s="218"/>
      <c r="HY113" s="218"/>
      <c r="HZ113" s="218"/>
      <c r="IA113" s="218"/>
      <c r="IB113" s="218"/>
      <c r="IC113" s="218"/>
      <c r="ID113" s="218"/>
    </row>
    <row r="114" spans="1:238" s="230" customFormat="1" x14ac:dyDescent="0.25">
      <c r="A114" s="239"/>
      <c r="HI114" s="218"/>
      <c r="HJ114" s="218"/>
      <c r="HK114" s="218"/>
      <c r="HL114" s="218"/>
      <c r="HM114" s="218"/>
      <c r="HN114" s="218"/>
      <c r="HO114" s="218"/>
      <c r="HP114" s="218"/>
      <c r="HQ114" s="218"/>
      <c r="HR114" s="218"/>
      <c r="HS114" s="218"/>
      <c r="HT114" s="218"/>
      <c r="HU114" s="218"/>
      <c r="HV114" s="218"/>
      <c r="HW114" s="218"/>
      <c r="HX114" s="218"/>
      <c r="HY114" s="218"/>
      <c r="HZ114" s="218"/>
      <c r="IA114" s="218"/>
      <c r="IB114" s="218"/>
      <c r="IC114" s="218"/>
      <c r="ID114" s="218"/>
    </row>
    <row r="115" spans="1:238" s="230" customFormat="1" x14ac:dyDescent="0.25">
      <c r="A115" s="239"/>
      <c r="HI115" s="218"/>
      <c r="HJ115" s="218"/>
      <c r="HK115" s="218"/>
      <c r="HL115" s="218"/>
      <c r="HM115" s="218"/>
      <c r="HN115" s="218"/>
      <c r="HO115" s="218"/>
      <c r="HP115" s="218"/>
      <c r="HQ115" s="218"/>
      <c r="HR115" s="218"/>
      <c r="HS115" s="218"/>
      <c r="HT115" s="218"/>
      <c r="HU115" s="218"/>
      <c r="HV115" s="218"/>
      <c r="HW115" s="218"/>
      <c r="HX115" s="218"/>
      <c r="HY115" s="218"/>
      <c r="HZ115" s="218"/>
      <c r="IA115" s="218"/>
      <c r="IB115" s="218"/>
      <c r="IC115" s="218"/>
      <c r="ID115" s="218"/>
    </row>
    <row r="116" spans="1:238" s="230" customFormat="1" x14ac:dyDescent="0.25">
      <c r="A116" s="239"/>
      <c r="HI116" s="218"/>
      <c r="HJ116" s="218"/>
      <c r="HK116" s="218"/>
      <c r="HL116" s="218"/>
      <c r="HM116" s="218"/>
      <c r="HN116" s="218"/>
      <c r="HO116" s="218"/>
      <c r="HP116" s="218"/>
      <c r="HQ116" s="218"/>
      <c r="HR116" s="218"/>
      <c r="HS116" s="218"/>
      <c r="HT116" s="218"/>
      <c r="HU116" s="218"/>
      <c r="HV116" s="218"/>
      <c r="HW116" s="218"/>
      <c r="HX116" s="218"/>
      <c r="HY116" s="218"/>
      <c r="HZ116" s="218"/>
      <c r="IA116" s="218"/>
      <c r="IB116" s="218"/>
      <c r="IC116" s="218"/>
      <c r="ID116" s="218"/>
    </row>
    <row r="117" spans="1:238" s="230" customFormat="1" x14ac:dyDescent="0.25">
      <c r="A117" s="239"/>
      <c r="HI117" s="218"/>
      <c r="HJ117" s="218"/>
      <c r="HK117" s="218"/>
      <c r="HL117" s="218"/>
      <c r="HM117" s="218"/>
      <c r="HN117" s="218"/>
      <c r="HO117" s="218"/>
      <c r="HP117" s="218"/>
      <c r="HQ117" s="218"/>
      <c r="HR117" s="218"/>
      <c r="HS117" s="218"/>
      <c r="HT117" s="218"/>
      <c r="HU117" s="218"/>
      <c r="HV117" s="218"/>
      <c r="HW117" s="218"/>
      <c r="HX117" s="218"/>
      <c r="HY117" s="218"/>
      <c r="HZ117" s="218"/>
      <c r="IA117" s="218"/>
      <c r="IB117" s="218"/>
      <c r="IC117" s="218"/>
      <c r="ID117" s="218"/>
    </row>
    <row r="118" spans="1:238" s="230" customFormat="1" x14ac:dyDescent="0.25">
      <c r="A118" s="239"/>
      <c r="HI118" s="218"/>
      <c r="HJ118" s="218"/>
      <c r="HK118" s="218"/>
      <c r="HL118" s="218"/>
      <c r="HM118" s="218"/>
      <c r="HN118" s="218"/>
      <c r="HO118" s="218"/>
      <c r="HP118" s="218"/>
      <c r="HQ118" s="218"/>
      <c r="HR118" s="218"/>
      <c r="HS118" s="218"/>
      <c r="HT118" s="218"/>
      <c r="HU118" s="218"/>
      <c r="HV118" s="218"/>
      <c r="HW118" s="218"/>
      <c r="HX118" s="218"/>
      <c r="HY118" s="218"/>
      <c r="HZ118" s="218"/>
      <c r="IA118" s="218"/>
      <c r="IB118" s="218"/>
      <c r="IC118" s="218"/>
      <c r="ID118" s="218"/>
    </row>
    <row r="119" spans="1:238" s="230" customFormat="1" x14ac:dyDescent="0.25">
      <c r="A119" s="239"/>
      <c r="HI119" s="218"/>
      <c r="HJ119" s="218"/>
      <c r="HK119" s="218"/>
      <c r="HL119" s="218"/>
      <c r="HM119" s="218"/>
      <c r="HN119" s="218"/>
      <c r="HO119" s="218"/>
      <c r="HP119" s="218"/>
      <c r="HQ119" s="218"/>
      <c r="HR119" s="218"/>
      <c r="HS119" s="218"/>
      <c r="HT119" s="218"/>
      <c r="HU119" s="218"/>
      <c r="HV119" s="218"/>
      <c r="HW119" s="218"/>
      <c r="HX119" s="218"/>
      <c r="HY119" s="218"/>
      <c r="HZ119" s="218"/>
      <c r="IA119" s="218"/>
      <c r="IB119" s="218"/>
      <c r="IC119" s="218"/>
      <c r="ID119" s="218"/>
    </row>
    <row r="120" spans="1:238" s="230" customFormat="1" x14ac:dyDescent="0.25">
      <c r="A120" s="239"/>
      <c r="HI120" s="218"/>
      <c r="HJ120" s="218"/>
      <c r="HK120" s="218"/>
      <c r="HL120" s="218"/>
      <c r="HM120" s="218"/>
      <c r="HN120" s="218"/>
      <c r="HO120" s="218"/>
      <c r="HP120" s="218"/>
      <c r="HQ120" s="218"/>
      <c r="HR120" s="218"/>
      <c r="HS120" s="218"/>
      <c r="HT120" s="218"/>
      <c r="HU120" s="218"/>
      <c r="HV120" s="218"/>
      <c r="HW120" s="218"/>
      <c r="HX120" s="218"/>
      <c r="HY120" s="218"/>
      <c r="HZ120" s="218"/>
      <c r="IA120" s="218"/>
      <c r="IB120" s="218"/>
      <c r="IC120" s="218"/>
      <c r="ID120" s="218"/>
    </row>
    <row r="121" spans="1:238" s="230" customFormat="1" x14ac:dyDescent="0.25">
      <c r="A121" s="239"/>
      <c r="HI121" s="218"/>
      <c r="HJ121" s="218"/>
      <c r="HK121" s="218"/>
      <c r="HL121" s="218"/>
      <c r="HM121" s="218"/>
      <c r="HN121" s="218"/>
      <c r="HO121" s="218"/>
      <c r="HP121" s="218"/>
      <c r="HQ121" s="218"/>
      <c r="HR121" s="218"/>
      <c r="HS121" s="218"/>
      <c r="HT121" s="218"/>
      <c r="HU121" s="218"/>
      <c r="HV121" s="218"/>
      <c r="HW121" s="218"/>
      <c r="HX121" s="218"/>
      <c r="HY121" s="218"/>
      <c r="HZ121" s="218"/>
      <c r="IA121" s="218"/>
      <c r="IB121" s="218"/>
      <c r="IC121" s="218"/>
      <c r="ID121" s="218"/>
    </row>
    <row r="122" spans="1:238" s="230" customFormat="1" x14ac:dyDescent="0.25">
      <c r="A122" s="239"/>
      <c r="HI122" s="218"/>
      <c r="HJ122" s="218"/>
      <c r="HK122" s="218"/>
      <c r="HL122" s="218"/>
      <c r="HM122" s="218"/>
      <c r="HN122" s="218"/>
      <c r="HO122" s="218"/>
      <c r="HP122" s="218"/>
      <c r="HQ122" s="218"/>
      <c r="HR122" s="218"/>
      <c r="HS122" s="218"/>
      <c r="HT122" s="218"/>
      <c r="HU122" s="218"/>
      <c r="HV122" s="218"/>
      <c r="HW122" s="218"/>
      <c r="HX122" s="218"/>
      <c r="HY122" s="218"/>
      <c r="HZ122" s="218"/>
      <c r="IA122" s="218"/>
      <c r="IB122" s="218"/>
      <c r="IC122" s="218"/>
      <c r="ID122" s="218"/>
    </row>
    <row r="123" spans="1:238" s="230" customFormat="1" x14ac:dyDescent="0.25">
      <c r="A123" s="239"/>
      <c r="HI123" s="218"/>
      <c r="HJ123" s="218"/>
      <c r="HK123" s="218"/>
      <c r="HL123" s="218"/>
      <c r="HM123" s="218"/>
      <c r="HN123" s="218"/>
      <c r="HO123" s="218"/>
      <c r="HP123" s="218"/>
      <c r="HQ123" s="218"/>
      <c r="HR123" s="218"/>
      <c r="HS123" s="218"/>
      <c r="HT123" s="218"/>
      <c r="HU123" s="218"/>
      <c r="HV123" s="218"/>
      <c r="HW123" s="218"/>
      <c r="HX123" s="218"/>
      <c r="HY123" s="218"/>
      <c r="HZ123" s="218"/>
      <c r="IA123" s="218"/>
      <c r="IB123" s="218"/>
      <c r="IC123" s="218"/>
      <c r="ID123" s="218"/>
    </row>
    <row r="124" spans="1:238" s="230" customFormat="1" x14ac:dyDescent="0.25">
      <c r="A124" s="239"/>
      <c r="HI124" s="218"/>
      <c r="HJ124" s="218"/>
      <c r="HK124" s="218"/>
      <c r="HL124" s="218"/>
      <c r="HM124" s="218"/>
      <c r="HN124" s="218"/>
      <c r="HO124" s="218"/>
      <c r="HP124" s="218"/>
      <c r="HQ124" s="218"/>
      <c r="HR124" s="218"/>
      <c r="HS124" s="218"/>
      <c r="HT124" s="218"/>
      <c r="HU124" s="218"/>
      <c r="HV124" s="218"/>
      <c r="HW124" s="218"/>
      <c r="HX124" s="218"/>
      <c r="HY124" s="218"/>
      <c r="HZ124" s="218"/>
      <c r="IA124" s="218"/>
      <c r="IB124" s="218"/>
      <c r="IC124" s="218"/>
      <c r="ID124" s="218"/>
    </row>
    <row r="125" spans="1:238" s="230" customFormat="1" x14ac:dyDescent="0.25">
      <c r="A125" s="239"/>
      <c r="HI125" s="218"/>
      <c r="HJ125" s="218"/>
      <c r="HK125" s="218"/>
      <c r="HL125" s="218"/>
      <c r="HM125" s="218"/>
      <c r="HN125" s="218"/>
      <c r="HO125" s="218"/>
      <c r="HP125" s="218"/>
      <c r="HQ125" s="218"/>
      <c r="HR125" s="218"/>
      <c r="HS125" s="218"/>
      <c r="HT125" s="218"/>
      <c r="HU125" s="218"/>
      <c r="HV125" s="218"/>
      <c r="HW125" s="218"/>
      <c r="HX125" s="218"/>
      <c r="HY125" s="218"/>
      <c r="HZ125" s="218"/>
      <c r="IA125" s="218"/>
      <c r="IB125" s="218"/>
      <c r="IC125" s="218"/>
      <c r="ID125" s="218"/>
    </row>
    <row r="126" spans="1:238" s="230" customFormat="1" x14ac:dyDescent="0.25">
      <c r="A126" s="239"/>
      <c r="HI126" s="218"/>
      <c r="HJ126" s="218"/>
      <c r="HK126" s="218"/>
      <c r="HL126" s="218"/>
      <c r="HM126" s="218"/>
      <c r="HN126" s="218"/>
      <c r="HO126" s="218"/>
      <c r="HP126" s="218"/>
      <c r="HQ126" s="218"/>
      <c r="HR126" s="218"/>
      <c r="HS126" s="218"/>
      <c r="HT126" s="218"/>
      <c r="HU126" s="218"/>
      <c r="HV126" s="218"/>
      <c r="HW126" s="218"/>
      <c r="HX126" s="218"/>
      <c r="HY126" s="218"/>
      <c r="HZ126" s="218"/>
      <c r="IA126" s="218"/>
      <c r="IB126" s="218"/>
      <c r="IC126" s="218"/>
      <c r="ID126" s="218"/>
    </row>
    <row r="127" spans="1:238" s="230" customFormat="1" x14ac:dyDescent="0.25">
      <c r="A127" s="239"/>
      <c r="HI127" s="218"/>
      <c r="HJ127" s="218"/>
      <c r="HK127" s="218"/>
      <c r="HL127" s="218"/>
      <c r="HM127" s="218"/>
      <c r="HN127" s="218"/>
      <c r="HO127" s="218"/>
      <c r="HP127" s="218"/>
      <c r="HQ127" s="218"/>
      <c r="HR127" s="218"/>
      <c r="HS127" s="218"/>
      <c r="HT127" s="218"/>
      <c r="HU127" s="218"/>
      <c r="HV127" s="218"/>
      <c r="HW127" s="218"/>
      <c r="HX127" s="218"/>
      <c r="HY127" s="218"/>
      <c r="HZ127" s="218"/>
      <c r="IA127" s="218"/>
      <c r="IB127" s="218"/>
      <c r="IC127" s="218"/>
      <c r="ID127" s="218"/>
    </row>
    <row r="128" spans="1:238" s="230" customFormat="1" x14ac:dyDescent="0.25">
      <c r="A128" s="239"/>
      <c r="HI128" s="218"/>
      <c r="HJ128" s="218"/>
      <c r="HK128" s="218"/>
      <c r="HL128" s="218"/>
      <c r="HM128" s="218"/>
      <c r="HN128" s="218"/>
      <c r="HO128" s="218"/>
      <c r="HP128" s="218"/>
      <c r="HQ128" s="218"/>
      <c r="HR128" s="218"/>
      <c r="HS128" s="218"/>
      <c r="HT128" s="218"/>
      <c r="HU128" s="218"/>
      <c r="HV128" s="218"/>
      <c r="HW128" s="218"/>
      <c r="HX128" s="218"/>
      <c r="HY128" s="218"/>
      <c r="HZ128" s="218"/>
      <c r="IA128" s="218"/>
      <c r="IB128" s="218"/>
      <c r="IC128" s="218"/>
      <c r="ID128" s="218"/>
    </row>
    <row r="129" spans="1:238" s="230" customFormat="1" x14ac:dyDescent="0.25">
      <c r="A129" s="239"/>
      <c r="HI129" s="218"/>
      <c r="HJ129" s="218"/>
      <c r="HK129" s="218"/>
      <c r="HL129" s="218"/>
      <c r="HM129" s="218"/>
      <c r="HN129" s="218"/>
      <c r="HO129" s="218"/>
      <c r="HP129" s="218"/>
      <c r="HQ129" s="218"/>
      <c r="HR129" s="218"/>
      <c r="HS129" s="218"/>
      <c r="HT129" s="218"/>
      <c r="HU129" s="218"/>
      <c r="HV129" s="218"/>
      <c r="HW129" s="218"/>
      <c r="HX129" s="218"/>
      <c r="HY129" s="218"/>
      <c r="HZ129" s="218"/>
      <c r="IA129" s="218"/>
      <c r="IB129" s="218"/>
      <c r="IC129" s="218"/>
      <c r="ID129" s="218"/>
    </row>
    <row r="130" spans="1:238" s="230" customFormat="1" x14ac:dyDescent="0.25">
      <c r="A130" s="239"/>
      <c r="HI130" s="218"/>
      <c r="HJ130" s="218"/>
      <c r="HK130" s="218"/>
      <c r="HL130" s="218"/>
      <c r="HM130" s="218"/>
      <c r="HN130" s="218"/>
      <c r="HO130" s="218"/>
      <c r="HP130" s="218"/>
      <c r="HQ130" s="218"/>
      <c r="HR130" s="218"/>
      <c r="HS130" s="218"/>
      <c r="HT130" s="218"/>
      <c r="HU130" s="218"/>
      <c r="HV130" s="218"/>
      <c r="HW130" s="218"/>
      <c r="HX130" s="218"/>
      <c r="HY130" s="218"/>
      <c r="HZ130" s="218"/>
      <c r="IA130" s="218"/>
      <c r="IB130" s="218"/>
      <c r="IC130" s="218"/>
      <c r="ID130" s="218"/>
    </row>
    <row r="131" spans="1:238" s="230" customFormat="1" x14ac:dyDescent="0.25">
      <c r="A131" s="239"/>
      <c r="HI131" s="218"/>
      <c r="HJ131" s="218"/>
      <c r="HK131" s="218"/>
      <c r="HL131" s="218"/>
      <c r="HM131" s="218"/>
      <c r="HN131" s="218"/>
      <c r="HO131" s="218"/>
      <c r="HP131" s="218"/>
      <c r="HQ131" s="218"/>
      <c r="HR131" s="218"/>
      <c r="HS131" s="218"/>
      <c r="HT131" s="218"/>
      <c r="HU131" s="218"/>
      <c r="HV131" s="218"/>
      <c r="HW131" s="218"/>
      <c r="HX131" s="218"/>
      <c r="HY131" s="218"/>
      <c r="HZ131" s="218"/>
      <c r="IA131" s="218"/>
      <c r="IB131" s="218"/>
      <c r="IC131" s="218"/>
      <c r="ID131" s="218"/>
    </row>
    <row r="132" spans="1:238" s="230" customFormat="1" x14ac:dyDescent="0.25">
      <c r="A132" s="239"/>
      <c r="HI132" s="218"/>
      <c r="HJ132" s="218"/>
      <c r="HK132" s="218"/>
      <c r="HL132" s="218"/>
      <c r="HM132" s="218"/>
      <c r="HN132" s="218"/>
      <c r="HO132" s="218"/>
      <c r="HP132" s="218"/>
      <c r="HQ132" s="218"/>
      <c r="HR132" s="218"/>
      <c r="HS132" s="218"/>
      <c r="HT132" s="218"/>
      <c r="HU132" s="218"/>
      <c r="HV132" s="218"/>
      <c r="HW132" s="218"/>
      <c r="HX132" s="218"/>
      <c r="HY132" s="218"/>
      <c r="HZ132" s="218"/>
      <c r="IA132" s="218"/>
      <c r="IB132" s="218"/>
      <c r="IC132" s="218"/>
      <c r="ID132" s="218"/>
    </row>
    <row r="133" spans="1:238" s="230" customFormat="1" x14ac:dyDescent="0.25">
      <c r="A133" s="239"/>
      <c r="HI133" s="218"/>
      <c r="HJ133" s="218"/>
      <c r="HK133" s="218"/>
      <c r="HL133" s="218"/>
      <c r="HM133" s="218"/>
      <c r="HN133" s="218"/>
      <c r="HO133" s="218"/>
      <c r="HP133" s="218"/>
      <c r="HQ133" s="218"/>
      <c r="HR133" s="218"/>
      <c r="HS133" s="218"/>
      <c r="HT133" s="218"/>
      <c r="HU133" s="218"/>
      <c r="HV133" s="218"/>
      <c r="HW133" s="218"/>
      <c r="HX133" s="218"/>
      <c r="HY133" s="218"/>
      <c r="HZ133" s="218"/>
      <c r="IA133" s="218"/>
      <c r="IB133" s="218"/>
      <c r="IC133" s="218"/>
      <c r="ID133" s="218"/>
    </row>
    <row r="134" spans="1:238" s="230" customFormat="1" x14ac:dyDescent="0.25">
      <c r="A134" s="239"/>
      <c r="HI134" s="218"/>
      <c r="HJ134" s="218"/>
      <c r="HK134" s="218"/>
      <c r="HL134" s="218"/>
      <c r="HM134" s="218"/>
      <c r="HN134" s="218"/>
      <c r="HO134" s="218"/>
      <c r="HP134" s="218"/>
      <c r="HQ134" s="218"/>
      <c r="HR134" s="218"/>
      <c r="HS134" s="218"/>
      <c r="HT134" s="218"/>
      <c r="HU134" s="218"/>
      <c r="HV134" s="218"/>
      <c r="HW134" s="218"/>
      <c r="HX134" s="218"/>
      <c r="HY134" s="218"/>
      <c r="HZ134" s="218"/>
      <c r="IA134" s="218"/>
      <c r="IB134" s="218"/>
      <c r="IC134" s="218"/>
      <c r="ID134" s="218"/>
    </row>
    <row r="135" spans="1:238" s="230" customFormat="1" x14ac:dyDescent="0.25">
      <c r="A135" s="239"/>
      <c r="HI135" s="218"/>
      <c r="HJ135" s="218"/>
      <c r="HK135" s="218"/>
      <c r="HL135" s="218"/>
      <c r="HM135" s="218"/>
      <c r="HN135" s="218"/>
      <c r="HO135" s="218"/>
      <c r="HP135" s="218"/>
      <c r="HQ135" s="218"/>
      <c r="HR135" s="218"/>
      <c r="HS135" s="218"/>
      <c r="HT135" s="218"/>
      <c r="HU135" s="218"/>
      <c r="HV135" s="218"/>
      <c r="HW135" s="218"/>
      <c r="HX135" s="218"/>
      <c r="HY135" s="218"/>
      <c r="HZ135" s="218"/>
      <c r="IA135" s="218"/>
      <c r="IB135" s="218"/>
      <c r="IC135" s="218"/>
      <c r="ID135" s="218"/>
    </row>
    <row r="136" spans="1:238" s="230" customFormat="1" x14ac:dyDescent="0.25">
      <c r="A136" s="239"/>
      <c r="HI136" s="218"/>
      <c r="HJ136" s="218"/>
      <c r="HK136" s="218"/>
      <c r="HL136" s="218"/>
      <c r="HM136" s="218"/>
      <c r="HN136" s="218"/>
      <c r="HO136" s="218"/>
      <c r="HP136" s="218"/>
      <c r="HQ136" s="218"/>
      <c r="HR136" s="218"/>
      <c r="HS136" s="218"/>
      <c r="HT136" s="218"/>
      <c r="HU136" s="218"/>
      <c r="HV136" s="218"/>
      <c r="HW136" s="218"/>
      <c r="HX136" s="218"/>
      <c r="HY136" s="218"/>
      <c r="HZ136" s="218"/>
      <c r="IA136" s="218"/>
      <c r="IB136" s="218"/>
      <c r="IC136" s="218"/>
      <c r="ID136" s="218"/>
    </row>
    <row r="137" spans="1:238" s="230" customFormat="1" x14ac:dyDescent="0.25">
      <c r="A137" s="239"/>
      <c r="HI137" s="218"/>
      <c r="HJ137" s="218"/>
      <c r="HK137" s="218"/>
      <c r="HL137" s="218"/>
      <c r="HM137" s="218"/>
      <c r="HN137" s="218"/>
      <c r="HO137" s="218"/>
      <c r="HP137" s="218"/>
      <c r="HQ137" s="218"/>
      <c r="HR137" s="218"/>
      <c r="HS137" s="218"/>
      <c r="HT137" s="218"/>
      <c r="HU137" s="218"/>
      <c r="HV137" s="218"/>
      <c r="HW137" s="218"/>
      <c r="HX137" s="218"/>
      <c r="HY137" s="218"/>
      <c r="HZ137" s="218"/>
      <c r="IA137" s="218"/>
      <c r="IB137" s="218"/>
      <c r="IC137" s="218"/>
      <c r="ID137" s="218"/>
    </row>
    <row r="138" spans="1:238" s="230" customFormat="1" x14ac:dyDescent="0.25">
      <c r="A138" s="239"/>
      <c r="HI138" s="218"/>
      <c r="HJ138" s="218"/>
      <c r="HK138" s="218"/>
      <c r="HL138" s="218"/>
      <c r="HM138" s="218"/>
      <c r="HN138" s="218"/>
      <c r="HO138" s="218"/>
      <c r="HP138" s="218"/>
      <c r="HQ138" s="218"/>
      <c r="HR138" s="218"/>
      <c r="HS138" s="218"/>
      <c r="HT138" s="218"/>
      <c r="HU138" s="218"/>
      <c r="HV138" s="218"/>
      <c r="HW138" s="218"/>
      <c r="HX138" s="218"/>
      <c r="HY138" s="218"/>
      <c r="HZ138" s="218"/>
      <c r="IA138" s="218"/>
      <c r="IB138" s="218"/>
      <c r="IC138" s="218"/>
      <c r="ID138" s="218"/>
    </row>
    <row r="139" spans="1:238" s="230" customFormat="1" x14ac:dyDescent="0.25">
      <c r="A139" s="239"/>
      <c r="HI139" s="218"/>
      <c r="HJ139" s="218"/>
      <c r="HK139" s="218"/>
      <c r="HL139" s="218"/>
      <c r="HM139" s="218"/>
      <c r="HN139" s="218"/>
      <c r="HO139" s="218"/>
      <c r="HP139" s="218"/>
      <c r="HQ139" s="218"/>
      <c r="HR139" s="218"/>
      <c r="HS139" s="218"/>
      <c r="HT139" s="218"/>
      <c r="HU139" s="218"/>
      <c r="HV139" s="218"/>
      <c r="HW139" s="218"/>
      <c r="HX139" s="218"/>
      <c r="HY139" s="218"/>
      <c r="HZ139" s="218"/>
      <c r="IA139" s="218"/>
      <c r="IB139" s="218"/>
      <c r="IC139" s="218"/>
      <c r="ID139" s="218"/>
    </row>
    <row r="140" spans="1:238" s="230" customFormat="1" x14ac:dyDescent="0.25">
      <c r="A140" s="239"/>
      <c r="HI140" s="218"/>
      <c r="HJ140" s="218"/>
      <c r="HK140" s="218"/>
      <c r="HL140" s="218"/>
      <c r="HM140" s="218"/>
      <c r="HN140" s="218"/>
      <c r="HO140" s="218"/>
      <c r="HP140" s="218"/>
      <c r="HQ140" s="218"/>
      <c r="HR140" s="218"/>
      <c r="HS140" s="218"/>
      <c r="HT140" s="218"/>
      <c r="HU140" s="218"/>
      <c r="HV140" s="218"/>
      <c r="HW140" s="218"/>
      <c r="HX140" s="218"/>
      <c r="HY140" s="218"/>
      <c r="HZ140" s="218"/>
      <c r="IA140" s="218"/>
      <c r="IB140" s="218"/>
      <c r="IC140" s="218"/>
      <c r="ID140" s="218"/>
    </row>
    <row r="141" spans="1:238" s="230" customFormat="1" x14ac:dyDescent="0.25">
      <c r="A141" s="239"/>
      <c r="HI141" s="218"/>
      <c r="HJ141" s="218"/>
      <c r="HK141" s="218"/>
      <c r="HL141" s="218"/>
      <c r="HM141" s="218"/>
      <c r="HN141" s="218"/>
      <c r="HO141" s="218"/>
      <c r="HP141" s="218"/>
      <c r="HQ141" s="218"/>
      <c r="HR141" s="218"/>
      <c r="HS141" s="218"/>
      <c r="HT141" s="218"/>
      <c r="HU141" s="218"/>
      <c r="HV141" s="218"/>
      <c r="HW141" s="218"/>
      <c r="HX141" s="218"/>
      <c r="HY141" s="218"/>
      <c r="HZ141" s="218"/>
      <c r="IA141" s="218"/>
      <c r="IB141" s="218"/>
      <c r="IC141" s="218"/>
      <c r="ID141" s="218"/>
    </row>
    <row r="142" spans="1:238" s="230" customFormat="1" x14ac:dyDescent="0.25">
      <c r="A142" s="239"/>
      <c r="HI142" s="218"/>
      <c r="HJ142" s="218"/>
      <c r="HK142" s="218"/>
      <c r="HL142" s="218"/>
      <c r="HM142" s="218"/>
      <c r="HN142" s="218"/>
      <c r="HO142" s="218"/>
      <c r="HP142" s="218"/>
      <c r="HQ142" s="218"/>
      <c r="HR142" s="218"/>
      <c r="HS142" s="218"/>
      <c r="HT142" s="218"/>
      <c r="HU142" s="218"/>
      <c r="HV142" s="218"/>
      <c r="HW142" s="218"/>
      <c r="HX142" s="218"/>
      <c r="HY142" s="218"/>
      <c r="HZ142" s="218"/>
      <c r="IA142" s="218"/>
      <c r="IB142" s="218"/>
      <c r="IC142" s="218"/>
      <c r="ID142" s="218"/>
    </row>
    <row r="143" spans="1:238" s="230" customFormat="1" x14ac:dyDescent="0.25">
      <c r="A143" s="239"/>
      <c r="HI143" s="218"/>
      <c r="HJ143" s="218"/>
      <c r="HK143" s="218"/>
      <c r="HL143" s="218"/>
      <c r="HM143" s="218"/>
      <c r="HN143" s="218"/>
      <c r="HO143" s="218"/>
      <c r="HP143" s="218"/>
      <c r="HQ143" s="218"/>
      <c r="HR143" s="218"/>
      <c r="HS143" s="218"/>
      <c r="HT143" s="218"/>
      <c r="HU143" s="218"/>
      <c r="HV143" s="218"/>
      <c r="HW143" s="218"/>
      <c r="HX143" s="218"/>
      <c r="HY143" s="218"/>
      <c r="HZ143" s="218"/>
      <c r="IA143" s="218"/>
      <c r="IB143" s="218"/>
      <c r="IC143" s="218"/>
      <c r="ID143" s="218"/>
    </row>
    <row r="144" spans="1:238" s="230" customFormat="1" x14ac:dyDescent="0.25">
      <c r="A144" s="239"/>
      <c r="HI144" s="218"/>
      <c r="HJ144" s="218"/>
      <c r="HK144" s="218"/>
      <c r="HL144" s="218"/>
      <c r="HM144" s="218"/>
      <c r="HN144" s="218"/>
      <c r="HO144" s="218"/>
      <c r="HP144" s="218"/>
      <c r="HQ144" s="218"/>
      <c r="HR144" s="218"/>
      <c r="HS144" s="218"/>
      <c r="HT144" s="218"/>
      <c r="HU144" s="218"/>
      <c r="HV144" s="218"/>
      <c r="HW144" s="218"/>
      <c r="HX144" s="218"/>
      <c r="HY144" s="218"/>
      <c r="HZ144" s="218"/>
      <c r="IA144" s="218"/>
      <c r="IB144" s="218"/>
      <c r="IC144" s="218"/>
      <c r="ID144" s="218"/>
    </row>
    <row r="145" spans="1:238" s="230" customFormat="1" x14ac:dyDescent="0.25">
      <c r="A145" s="239"/>
      <c r="HI145" s="218"/>
      <c r="HJ145" s="218"/>
      <c r="HK145" s="218"/>
      <c r="HL145" s="218"/>
      <c r="HM145" s="218"/>
      <c r="HN145" s="218"/>
      <c r="HO145" s="218"/>
      <c r="HP145" s="218"/>
      <c r="HQ145" s="218"/>
      <c r="HR145" s="218"/>
      <c r="HS145" s="218"/>
      <c r="HT145" s="218"/>
      <c r="HU145" s="218"/>
      <c r="HV145" s="218"/>
      <c r="HW145" s="218"/>
      <c r="HX145" s="218"/>
      <c r="HY145" s="218"/>
      <c r="HZ145" s="218"/>
      <c r="IA145" s="218"/>
      <c r="IB145" s="218"/>
      <c r="IC145" s="218"/>
      <c r="ID145" s="218"/>
    </row>
    <row r="146" spans="1:238" s="230" customFormat="1" x14ac:dyDescent="0.25">
      <c r="A146" s="239"/>
      <c r="HI146" s="218"/>
      <c r="HJ146" s="218"/>
      <c r="HK146" s="218"/>
      <c r="HL146" s="218"/>
      <c r="HM146" s="218"/>
      <c r="HN146" s="218"/>
      <c r="HO146" s="218"/>
      <c r="HP146" s="218"/>
      <c r="HQ146" s="218"/>
      <c r="HR146" s="218"/>
      <c r="HS146" s="218"/>
      <c r="HT146" s="218"/>
      <c r="HU146" s="218"/>
      <c r="HV146" s="218"/>
      <c r="HW146" s="218"/>
      <c r="HX146" s="218"/>
      <c r="HY146" s="218"/>
      <c r="HZ146" s="218"/>
      <c r="IA146" s="218"/>
      <c r="IB146" s="218"/>
      <c r="IC146" s="218"/>
      <c r="ID146" s="218"/>
    </row>
    <row r="147" spans="1:238" s="230" customFormat="1" x14ac:dyDescent="0.25">
      <c r="A147" s="239"/>
      <c r="HI147" s="218"/>
      <c r="HJ147" s="218"/>
      <c r="HK147" s="218"/>
      <c r="HL147" s="218"/>
      <c r="HM147" s="218"/>
      <c r="HN147" s="218"/>
      <c r="HO147" s="218"/>
      <c r="HP147" s="218"/>
      <c r="HQ147" s="218"/>
      <c r="HR147" s="218"/>
      <c r="HS147" s="218"/>
      <c r="HT147" s="218"/>
      <c r="HU147" s="218"/>
      <c r="HV147" s="218"/>
      <c r="HW147" s="218"/>
      <c r="HX147" s="218"/>
      <c r="HY147" s="218"/>
      <c r="HZ147" s="218"/>
      <c r="IA147" s="218"/>
      <c r="IB147" s="218"/>
      <c r="IC147" s="218"/>
      <c r="ID147" s="218"/>
    </row>
    <row r="148" spans="1:238" s="230" customFormat="1" x14ac:dyDescent="0.25">
      <c r="A148" s="239"/>
      <c r="HI148" s="218"/>
      <c r="HJ148" s="218"/>
      <c r="HK148" s="218"/>
      <c r="HL148" s="218"/>
      <c r="HM148" s="218"/>
      <c r="HN148" s="218"/>
      <c r="HO148" s="218"/>
      <c r="HP148" s="218"/>
      <c r="HQ148" s="218"/>
      <c r="HR148" s="218"/>
      <c r="HS148" s="218"/>
      <c r="HT148" s="218"/>
      <c r="HU148" s="218"/>
      <c r="HV148" s="218"/>
      <c r="HW148" s="218"/>
      <c r="HX148" s="218"/>
      <c r="HY148" s="218"/>
      <c r="HZ148" s="218"/>
      <c r="IA148" s="218"/>
      <c r="IB148" s="218"/>
      <c r="IC148" s="218"/>
      <c r="ID148" s="218"/>
    </row>
    <row r="149" spans="1:238" s="230" customFormat="1" x14ac:dyDescent="0.25">
      <c r="A149" s="239"/>
      <c r="HI149" s="218"/>
      <c r="HJ149" s="218"/>
      <c r="HK149" s="218"/>
      <c r="HL149" s="218"/>
      <c r="HM149" s="218"/>
      <c r="HN149" s="218"/>
      <c r="HO149" s="218"/>
      <c r="HP149" s="218"/>
      <c r="HQ149" s="218"/>
      <c r="HR149" s="218"/>
      <c r="HS149" s="218"/>
      <c r="HT149" s="218"/>
      <c r="HU149" s="218"/>
      <c r="HV149" s="218"/>
      <c r="HW149" s="218"/>
      <c r="HX149" s="218"/>
      <c r="HY149" s="218"/>
      <c r="HZ149" s="218"/>
      <c r="IA149" s="218"/>
      <c r="IB149" s="218"/>
      <c r="IC149" s="218"/>
      <c r="ID149" s="218"/>
    </row>
    <row r="150" spans="1:238" s="230" customFormat="1" x14ac:dyDescent="0.25">
      <c r="A150" s="239"/>
      <c r="HI150" s="218"/>
      <c r="HJ150" s="218"/>
      <c r="HK150" s="218"/>
      <c r="HL150" s="218"/>
      <c r="HM150" s="218"/>
      <c r="HN150" s="218"/>
      <c r="HO150" s="218"/>
      <c r="HP150" s="218"/>
      <c r="HQ150" s="218"/>
      <c r="HR150" s="218"/>
      <c r="HS150" s="218"/>
      <c r="HT150" s="218"/>
      <c r="HU150" s="218"/>
      <c r="HV150" s="218"/>
      <c r="HW150" s="218"/>
      <c r="HX150" s="218"/>
      <c r="HY150" s="218"/>
      <c r="HZ150" s="218"/>
      <c r="IA150" s="218"/>
      <c r="IB150" s="218"/>
      <c r="IC150" s="218"/>
      <c r="ID150" s="218"/>
    </row>
    <row r="151" spans="1:238" s="230" customFormat="1" x14ac:dyDescent="0.25">
      <c r="A151" s="239"/>
      <c r="HI151" s="218"/>
      <c r="HJ151" s="218"/>
      <c r="HK151" s="218"/>
      <c r="HL151" s="218"/>
      <c r="HM151" s="218"/>
      <c r="HN151" s="218"/>
      <c r="HO151" s="218"/>
      <c r="HP151" s="218"/>
      <c r="HQ151" s="218"/>
      <c r="HR151" s="218"/>
      <c r="HS151" s="218"/>
      <c r="HT151" s="218"/>
      <c r="HU151" s="218"/>
      <c r="HV151" s="218"/>
      <c r="HW151" s="218"/>
      <c r="HX151" s="218"/>
      <c r="HY151" s="218"/>
      <c r="HZ151" s="218"/>
      <c r="IA151" s="218"/>
      <c r="IB151" s="218"/>
      <c r="IC151" s="218"/>
      <c r="ID151" s="218"/>
    </row>
    <row r="152" spans="1:238" s="230" customFormat="1" x14ac:dyDescent="0.25">
      <c r="A152" s="239"/>
      <c r="HI152" s="218"/>
      <c r="HJ152" s="218"/>
      <c r="HK152" s="218"/>
      <c r="HL152" s="218"/>
      <c r="HM152" s="218"/>
      <c r="HN152" s="218"/>
      <c r="HO152" s="218"/>
      <c r="HP152" s="218"/>
      <c r="HQ152" s="218"/>
      <c r="HR152" s="218"/>
      <c r="HS152" s="218"/>
      <c r="HT152" s="218"/>
      <c r="HU152" s="218"/>
      <c r="HV152" s="218"/>
      <c r="HW152" s="218"/>
      <c r="HX152" s="218"/>
      <c r="HY152" s="218"/>
      <c r="HZ152" s="218"/>
      <c r="IA152" s="218"/>
      <c r="IB152" s="218"/>
      <c r="IC152" s="218"/>
      <c r="ID152" s="218"/>
    </row>
    <row r="153" spans="1:238" s="230" customFormat="1" x14ac:dyDescent="0.25">
      <c r="A153" s="239"/>
      <c r="HI153" s="218"/>
      <c r="HJ153" s="218"/>
      <c r="HK153" s="218"/>
      <c r="HL153" s="218"/>
      <c r="HM153" s="218"/>
      <c r="HN153" s="218"/>
      <c r="HO153" s="218"/>
      <c r="HP153" s="218"/>
      <c r="HQ153" s="218"/>
      <c r="HR153" s="218"/>
      <c r="HS153" s="218"/>
      <c r="HT153" s="218"/>
      <c r="HU153" s="218"/>
      <c r="HV153" s="218"/>
      <c r="HW153" s="218"/>
      <c r="HX153" s="218"/>
      <c r="HY153" s="218"/>
      <c r="HZ153" s="218"/>
      <c r="IA153" s="218"/>
      <c r="IB153" s="218"/>
      <c r="IC153" s="218"/>
      <c r="ID153" s="218"/>
    </row>
    <row r="154" spans="1:238" s="230" customFormat="1" x14ac:dyDescent="0.25">
      <c r="A154" s="239"/>
      <c r="HI154" s="218"/>
      <c r="HJ154" s="218"/>
      <c r="HK154" s="218"/>
      <c r="HL154" s="218"/>
      <c r="HM154" s="218"/>
      <c r="HN154" s="218"/>
      <c r="HO154" s="218"/>
      <c r="HP154" s="218"/>
      <c r="HQ154" s="218"/>
      <c r="HR154" s="218"/>
      <c r="HS154" s="218"/>
      <c r="HT154" s="218"/>
      <c r="HU154" s="218"/>
      <c r="HV154" s="218"/>
      <c r="HW154" s="218"/>
      <c r="HX154" s="218"/>
      <c r="HY154" s="218"/>
      <c r="HZ154" s="218"/>
      <c r="IA154" s="218"/>
      <c r="IB154" s="218"/>
      <c r="IC154" s="218"/>
      <c r="ID154" s="218"/>
    </row>
    <row r="155" spans="1:238" s="230" customFormat="1" x14ac:dyDescent="0.25">
      <c r="A155" s="239"/>
      <c r="HI155" s="218"/>
      <c r="HJ155" s="218"/>
      <c r="HK155" s="218"/>
      <c r="HL155" s="218"/>
      <c r="HM155" s="218"/>
      <c r="HN155" s="218"/>
      <c r="HO155" s="218"/>
      <c r="HP155" s="218"/>
      <c r="HQ155" s="218"/>
      <c r="HR155" s="218"/>
      <c r="HS155" s="218"/>
      <c r="HT155" s="218"/>
      <c r="HU155" s="218"/>
      <c r="HV155" s="218"/>
      <c r="HW155" s="218"/>
      <c r="HX155" s="218"/>
      <c r="HY155" s="218"/>
      <c r="HZ155" s="218"/>
      <c r="IA155" s="218"/>
      <c r="IB155" s="218"/>
      <c r="IC155" s="218"/>
      <c r="ID155" s="218"/>
    </row>
    <row r="156" spans="1:238" s="230" customFormat="1" x14ac:dyDescent="0.25">
      <c r="A156" s="239"/>
      <c r="HI156" s="218"/>
      <c r="HJ156" s="218"/>
      <c r="HK156" s="218"/>
      <c r="HL156" s="218"/>
      <c r="HM156" s="218"/>
      <c r="HN156" s="218"/>
      <c r="HO156" s="218"/>
      <c r="HP156" s="218"/>
      <c r="HQ156" s="218"/>
      <c r="HR156" s="218"/>
      <c r="HS156" s="218"/>
      <c r="HT156" s="218"/>
      <c r="HU156" s="218"/>
      <c r="HV156" s="218"/>
      <c r="HW156" s="218"/>
      <c r="HX156" s="218"/>
      <c r="HY156" s="218"/>
      <c r="HZ156" s="218"/>
      <c r="IA156" s="218"/>
      <c r="IB156" s="218"/>
      <c r="IC156" s="218"/>
      <c r="ID156" s="218"/>
    </row>
    <row r="157" spans="1:238" s="230" customFormat="1" x14ac:dyDescent="0.25">
      <c r="A157" s="239"/>
      <c r="HI157" s="218"/>
      <c r="HJ157" s="218"/>
      <c r="HK157" s="218"/>
      <c r="HL157" s="218"/>
      <c r="HM157" s="218"/>
      <c r="HN157" s="218"/>
      <c r="HO157" s="218"/>
      <c r="HP157" s="218"/>
      <c r="HQ157" s="218"/>
      <c r="HR157" s="218"/>
      <c r="HS157" s="218"/>
      <c r="HT157" s="218"/>
      <c r="HU157" s="218"/>
      <c r="HV157" s="218"/>
      <c r="HW157" s="218"/>
      <c r="HX157" s="218"/>
      <c r="HY157" s="218"/>
      <c r="HZ157" s="218"/>
      <c r="IA157" s="218"/>
      <c r="IB157" s="218"/>
      <c r="IC157" s="218"/>
      <c r="ID157" s="218"/>
    </row>
    <row r="158" spans="1:238" s="230" customFormat="1" x14ac:dyDescent="0.25">
      <c r="A158" s="239"/>
      <c r="HI158" s="218"/>
      <c r="HJ158" s="218"/>
      <c r="HK158" s="218"/>
      <c r="HL158" s="218"/>
      <c r="HM158" s="218"/>
      <c r="HN158" s="218"/>
      <c r="HO158" s="218"/>
      <c r="HP158" s="218"/>
      <c r="HQ158" s="218"/>
      <c r="HR158" s="218"/>
      <c r="HS158" s="218"/>
      <c r="HT158" s="218"/>
      <c r="HU158" s="218"/>
      <c r="HV158" s="218"/>
      <c r="HW158" s="218"/>
      <c r="HX158" s="218"/>
      <c r="HY158" s="218"/>
      <c r="HZ158" s="218"/>
      <c r="IA158" s="218"/>
      <c r="IB158" s="218"/>
      <c r="IC158" s="218"/>
      <c r="ID158" s="218"/>
    </row>
    <row r="159" spans="1:238" s="230" customFormat="1" x14ac:dyDescent="0.25">
      <c r="A159" s="239"/>
      <c r="HI159" s="218"/>
      <c r="HJ159" s="218"/>
      <c r="HK159" s="218"/>
      <c r="HL159" s="218"/>
      <c r="HM159" s="218"/>
      <c r="HN159" s="218"/>
      <c r="HO159" s="218"/>
      <c r="HP159" s="218"/>
      <c r="HQ159" s="218"/>
      <c r="HR159" s="218"/>
      <c r="HS159" s="218"/>
      <c r="HT159" s="218"/>
      <c r="HU159" s="218"/>
      <c r="HV159" s="218"/>
      <c r="HW159" s="218"/>
      <c r="HX159" s="218"/>
      <c r="HY159" s="218"/>
      <c r="HZ159" s="218"/>
      <c r="IA159" s="218"/>
      <c r="IB159" s="218"/>
      <c r="IC159" s="218"/>
      <c r="ID159" s="218"/>
    </row>
    <row r="160" spans="1:238" s="230" customFormat="1" x14ac:dyDescent="0.25">
      <c r="A160" s="239"/>
      <c r="HI160" s="218"/>
      <c r="HJ160" s="218"/>
      <c r="HK160" s="218"/>
      <c r="HL160" s="218"/>
      <c r="HM160" s="218"/>
      <c r="HN160" s="218"/>
      <c r="HO160" s="218"/>
      <c r="HP160" s="218"/>
      <c r="HQ160" s="218"/>
      <c r="HR160" s="218"/>
      <c r="HS160" s="218"/>
      <c r="HT160" s="218"/>
      <c r="HU160" s="218"/>
      <c r="HV160" s="218"/>
      <c r="HW160" s="218"/>
      <c r="HX160" s="218"/>
      <c r="HY160" s="218"/>
      <c r="HZ160" s="218"/>
      <c r="IA160" s="218"/>
      <c r="IB160" s="218"/>
      <c r="IC160" s="218"/>
      <c r="ID160" s="218"/>
    </row>
    <row r="161" spans="1:238" s="230" customFormat="1" x14ac:dyDescent="0.25">
      <c r="A161" s="239"/>
      <c r="HI161" s="218"/>
      <c r="HJ161" s="218"/>
      <c r="HK161" s="218"/>
      <c r="HL161" s="218"/>
      <c r="HM161" s="218"/>
      <c r="HN161" s="218"/>
      <c r="HO161" s="218"/>
      <c r="HP161" s="218"/>
      <c r="HQ161" s="218"/>
      <c r="HR161" s="218"/>
      <c r="HS161" s="218"/>
      <c r="HT161" s="218"/>
      <c r="HU161" s="218"/>
      <c r="HV161" s="218"/>
      <c r="HW161" s="218"/>
      <c r="HX161" s="218"/>
      <c r="HY161" s="218"/>
      <c r="HZ161" s="218"/>
      <c r="IA161" s="218"/>
      <c r="IB161" s="218"/>
      <c r="IC161" s="218"/>
      <c r="ID161" s="218"/>
    </row>
    <row r="162" spans="1:238" s="230" customFormat="1" x14ac:dyDescent="0.25">
      <c r="A162" s="239"/>
      <c r="HI162" s="218"/>
      <c r="HJ162" s="218"/>
      <c r="HK162" s="218"/>
      <c r="HL162" s="218"/>
      <c r="HM162" s="218"/>
      <c r="HN162" s="218"/>
      <c r="HO162" s="218"/>
      <c r="HP162" s="218"/>
      <c r="HQ162" s="218"/>
      <c r="HR162" s="218"/>
      <c r="HS162" s="218"/>
      <c r="HT162" s="218"/>
      <c r="HU162" s="218"/>
      <c r="HV162" s="218"/>
      <c r="HW162" s="218"/>
      <c r="HX162" s="218"/>
      <c r="HY162" s="218"/>
      <c r="HZ162" s="218"/>
      <c r="IA162" s="218"/>
      <c r="IB162" s="218"/>
      <c r="IC162" s="218"/>
      <c r="ID162" s="218"/>
    </row>
    <row r="163" spans="1:238" s="230" customFormat="1" x14ac:dyDescent="0.25">
      <c r="A163" s="239"/>
      <c r="HI163" s="218"/>
      <c r="HJ163" s="218"/>
      <c r="HK163" s="218"/>
      <c r="HL163" s="218"/>
      <c r="HM163" s="218"/>
      <c r="HN163" s="218"/>
      <c r="HO163" s="218"/>
      <c r="HP163" s="218"/>
      <c r="HQ163" s="218"/>
      <c r="HR163" s="218"/>
      <c r="HS163" s="218"/>
      <c r="HT163" s="218"/>
      <c r="HU163" s="218"/>
      <c r="HV163" s="218"/>
      <c r="HW163" s="218"/>
      <c r="HX163" s="218"/>
      <c r="HY163" s="218"/>
      <c r="HZ163" s="218"/>
      <c r="IA163" s="218"/>
      <c r="IB163" s="218"/>
      <c r="IC163" s="218"/>
      <c r="ID163" s="218"/>
    </row>
    <row r="164" spans="1:238" s="230" customFormat="1" x14ac:dyDescent="0.25">
      <c r="A164" s="239"/>
      <c r="HI164" s="218"/>
      <c r="HJ164" s="218"/>
      <c r="HK164" s="218"/>
      <c r="HL164" s="218"/>
      <c r="HM164" s="218"/>
      <c r="HN164" s="218"/>
      <c r="HO164" s="218"/>
      <c r="HP164" s="218"/>
      <c r="HQ164" s="218"/>
      <c r="HR164" s="218"/>
      <c r="HS164" s="218"/>
      <c r="HT164" s="218"/>
      <c r="HU164" s="218"/>
      <c r="HV164" s="218"/>
      <c r="HW164" s="218"/>
      <c r="HX164" s="218"/>
      <c r="HY164" s="218"/>
      <c r="HZ164" s="218"/>
      <c r="IA164" s="218"/>
      <c r="IB164" s="218"/>
      <c r="IC164" s="218"/>
      <c r="ID164" s="218"/>
    </row>
    <row r="165" spans="1:238" s="230" customFormat="1" x14ac:dyDescent="0.25">
      <c r="A165" s="239"/>
      <c r="HI165" s="218"/>
      <c r="HJ165" s="218"/>
      <c r="HK165" s="218"/>
      <c r="HL165" s="218"/>
      <c r="HM165" s="218"/>
      <c r="HN165" s="218"/>
      <c r="HO165" s="218"/>
      <c r="HP165" s="218"/>
      <c r="HQ165" s="218"/>
      <c r="HR165" s="218"/>
      <c r="HS165" s="218"/>
      <c r="HT165" s="218"/>
      <c r="HU165" s="218"/>
      <c r="HV165" s="218"/>
      <c r="HW165" s="218"/>
      <c r="HX165" s="218"/>
      <c r="HY165" s="218"/>
      <c r="HZ165" s="218"/>
      <c r="IA165" s="218"/>
      <c r="IB165" s="218"/>
      <c r="IC165" s="218"/>
      <c r="ID165" s="218"/>
    </row>
    <row r="166" spans="1:238" s="230" customFormat="1" x14ac:dyDescent="0.25">
      <c r="A166" s="239"/>
      <c r="HI166" s="218"/>
      <c r="HJ166" s="218"/>
      <c r="HK166" s="218"/>
      <c r="HL166" s="218"/>
      <c r="HM166" s="218"/>
      <c r="HN166" s="218"/>
      <c r="HO166" s="218"/>
      <c r="HP166" s="218"/>
      <c r="HQ166" s="218"/>
      <c r="HR166" s="218"/>
      <c r="HS166" s="218"/>
      <c r="HT166" s="218"/>
      <c r="HU166" s="218"/>
      <c r="HV166" s="218"/>
      <c r="HW166" s="218"/>
      <c r="HX166" s="218"/>
      <c r="HY166" s="218"/>
      <c r="HZ166" s="218"/>
      <c r="IA166" s="218"/>
      <c r="IB166" s="218"/>
      <c r="IC166" s="218"/>
      <c r="ID166" s="218"/>
    </row>
    <row r="167" spans="1:238" s="230" customFormat="1" x14ac:dyDescent="0.25">
      <c r="A167" s="239"/>
      <c r="HI167" s="218"/>
      <c r="HJ167" s="218"/>
      <c r="HK167" s="218"/>
      <c r="HL167" s="218"/>
      <c r="HM167" s="218"/>
      <c r="HN167" s="218"/>
      <c r="HO167" s="218"/>
      <c r="HP167" s="218"/>
      <c r="HQ167" s="218"/>
      <c r="HR167" s="218"/>
      <c r="HS167" s="218"/>
      <c r="HT167" s="218"/>
      <c r="HU167" s="218"/>
      <c r="HV167" s="218"/>
      <c r="HW167" s="218"/>
      <c r="HX167" s="218"/>
      <c r="HY167" s="218"/>
      <c r="HZ167" s="218"/>
      <c r="IA167" s="218"/>
      <c r="IB167" s="218"/>
      <c r="IC167" s="218"/>
      <c r="ID167" s="218"/>
    </row>
    <row r="168" spans="1:238" s="230" customFormat="1" x14ac:dyDescent="0.25">
      <c r="A168" s="239"/>
      <c r="HI168" s="218"/>
      <c r="HJ168" s="218"/>
      <c r="HK168" s="218"/>
      <c r="HL168" s="218"/>
      <c r="HM168" s="218"/>
      <c r="HN168" s="218"/>
      <c r="HO168" s="218"/>
      <c r="HP168" s="218"/>
      <c r="HQ168" s="218"/>
      <c r="HR168" s="218"/>
      <c r="HS168" s="218"/>
      <c r="HT168" s="218"/>
      <c r="HU168" s="218"/>
      <c r="HV168" s="218"/>
      <c r="HW168" s="218"/>
      <c r="HX168" s="218"/>
      <c r="HY168" s="218"/>
      <c r="HZ168" s="218"/>
      <c r="IA168" s="218"/>
      <c r="IB168" s="218"/>
      <c r="IC168" s="218"/>
      <c r="ID168" s="218"/>
    </row>
    <row r="169" spans="1:238" s="230" customFormat="1" x14ac:dyDescent="0.25">
      <c r="A169" s="239"/>
      <c r="HI169" s="218"/>
      <c r="HJ169" s="218"/>
      <c r="HK169" s="218"/>
      <c r="HL169" s="218"/>
      <c r="HM169" s="218"/>
      <c r="HN169" s="218"/>
      <c r="HO169" s="218"/>
      <c r="HP169" s="218"/>
      <c r="HQ169" s="218"/>
      <c r="HR169" s="218"/>
      <c r="HS169" s="218"/>
      <c r="HT169" s="218"/>
      <c r="HU169" s="218"/>
      <c r="HV169" s="218"/>
      <c r="HW169" s="218"/>
      <c r="HX169" s="218"/>
      <c r="HY169" s="218"/>
      <c r="HZ169" s="218"/>
      <c r="IA169" s="218"/>
      <c r="IB169" s="218"/>
      <c r="IC169" s="218"/>
      <c r="ID169" s="218"/>
    </row>
    <row r="170" spans="1:238" s="230" customFormat="1" x14ac:dyDescent="0.25">
      <c r="A170" s="239"/>
      <c r="HI170" s="218"/>
      <c r="HJ170" s="218"/>
      <c r="HK170" s="218"/>
      <c r="HL170" s="218"/>
      <c r="HM170" s="218"/>
      <c r="HN170" s="218"/>
      <c r="HO170" s="218"/>
      <c r="HP170" s="218"/>
      <c r="HQ170" s="218"/>
      <c r="HR170" s="218"/>
      <c r="HS170" s="218"/>
      <c r="HT170" s="218"/>
      <c r="HU170" s="218"/>
      <c r="HV170" s="218"/>
      <c r="HW170" s="218"/>
      <c r="HX170" s="218"/>
      <c r="HY170" s="218"/>
      <c r="HZ170" s="218"/>
      <c r="IA170" s="218"/>
      <c r="IB170" s="218"/>
      <c r="IC170" s="218"/>
      <c r="ID170" s="218"/>
    </row>
  </sheetData>
  <printOptions horizontalCentered="1"/>
  <pageMargins left="0.78740157480314965" right="0.78740157480314965" top="1.5748031496062993" bottom="1.4173228346456694" header="0.78740157480314965" footer="0.78740157480314965"/>
  <pageSetup paperSize="9" scale="82" firstPageNumber="0" fitToHeight="0" orientation="portrait" r:id="rId1"/>
  <headerFooter alignWithMargins="0">
    <oddHeader xml:space="preserve">&amp;L 2/D melléklet a ......./2020. (.................) önkormányzati rendelethez&amp;C&amp;"Arial,Félkövér"&amp;10
&amp;"-,Félkövér"&amp;16Tartalékok működési és felhalmozási cél szerinti bontásban&amp;R&amp;10 </oddHeader>
    <oddFooter>&amp;C&amp;8&amp;D &amp;T&amp;R&amp;9&amp;P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9C76-8668-454D-AA5C-BF369DE61D99}">
  <sheetPr>
    <pageSetUpPr fitToPage="1"/>
  </sheetPr>
  <dimension ref="A1:F34"/>
  <sheetViews>
    <sheetView view="pageBreakPreview" zoomScale="95" zoomScaleNormal="100" zoomScaleSheetLayoutView="95" workbookViewId="0">
      <selection activeCell="F15" sqref="F15"/>
    </sheetView>
  </sheetViews>
  <sheetFormatPr defaultRowHeight="15" x14ac:dyDescent="0.25"/>
  <cols>
    <col min="1" max="1" width="5.7109375" style="242" customWidth="1"/>
    <col min="2" max="2" width="61.7109375" style="153" customWidth="1"/>
    <col min="3" max="3" width="15.140625" style="153" customWidth="1"/>
    <col min="4" max="4" width="15.85546875" style="153" customWidth="1"/>
    <col min="5" max="5" width="13.5703125" style="153" customWidth="1"/>
    <col min="6" max="6" width="14.85546875" style="153" customWidth="1"/>
    <col min="7" max="16384" width="9.140625" style="153"/>
  </cols>
  <sheetData>
    <row r="1" spans="1:6" x14ac:dyDescent="0.25">
      <c r="D1" s="69"/>
      <c r="F1" s="69" t="s">
        <v>0</v>
      </c>
    </row>
    <row r="2" spans="1:6" s="97" customFormat="1" ht="60" x14ac:dyDescent="0.25">
      <c r="A2" s="243" t="s">
        <v>500</v>
      </c>
      <c r="B2" s="243" t="s">
        <v>128</v>
      </c>
      <c r="C2" s="244" t="s">
        <v>501</v>
      </c>
      <c r="D2" s="244" t="s">
        <v>502</v>
      </c>
      <c r="E2" s="244" t="s">
        <v>503</v>
      </c>
      <c r="F2" s="244" t="s">
        <v>504</v>
      </c>
    </row>
    <row r="3" spans="1:6" x14ac:dyDescent="0.25">
      <c r="A3" s="245" t="s">
        <v>505</v>
      </c>
      <c r="B3" s="246" t="s">
        <v>506</v>
      </c>
      <c r="C3" s="247">
        <f>C11+C12</f>
        <v>80979000</v>
      </c>
      <c r="D3" s="247">
        <f>D33+D34</f>
        <v>80979000</v>
      </c>
      <c r="E3" s="247">
        <f>E11+E12</f>
        <v>122479000</v>
      </c>
      <c r="F3" s="247">
        <f>F33+F34</f>
        <v>122479000</v>
      </c>
    </row>
    <row r="4" spans="1:6" ht="39.75" customHeight="1" x14ac:dyDescent="0.25">
      <c r="A4" s="248" t="s">
        <v>507</v>
      </c>
      <c r="B4" s="249" t="s">
        <v>508</v>
      </c>
      <c r="C4" s="250"/>
      <c r="D4" s="250"/>
      <c r="E4" s="250"/>
      <c r="F4" s="250"/>
    </row>
    <row r="5" spans="1:6" x14ac:dyDescent="0.25">
      <c r="A5" s="251" t="s">
        <v>8</v>
      </c>
      <c r="B5" s="252" t="s">
        <v>9</v>
      </c>
      <c r="C5" s="253">
        <f>C6</f>
        <v>36637000</v>
      </c>
      <c r="D5" s="253"/>
      <c r="E5" s="253">
        <f>E6</f>
        <v>36637000</v>
      </c>
      <c r="F5" s="253"/>
    </row>
    <row r="6" spans="1:6" x14ac:dyDescent="0.25">
      <c r="A6" s="254" t="s">
        <v>11</v>
      </c>
      <c r="B6" s="255" t="s">
        <v>18</v>
      </c>
      <c r="C6" s="256">
        <f>C7+C9</f>
        <v>36637000</v>
      </c>
      <c r="D6" s="256"/>
      <c r="E6" s="256">
        <f>E7+E9</f>
        <v>36637000</v>
      </c>
      <c r="F6" s="256"/>
    </row>
    <row r="7" spans="1:6" x14ac:dyDescent="0.25">
      <c r="A7" s="257"/>
      <c r="B7" s="258" t="s">
        <v>509</v>
      </c>
      <c r="C7" s="259">
        <f>SUM(C8)</f>
        <v>28848000</v>
      </c>
      <c r="D7" s="259"/>
      <c r="E7" s="259">
        <f>SUM(E8)</f>
        <v>28848000</v>
      </c>
      <c r="F7" s="259"/>
    </row>
    <row r="8" spans="1:6" x14ac:dyDescent="0.25">
      <c r="A8" s="257"/>
      <c r="B8" s="260" t="s">
        <v>510</v>
      </c>
      <c r="C8" s="259">
        <v>28848000</v>
      </c>
      <c r="D8" s="259"/>
      <c r="E8" s="259">
        <v>28848000</v>
      </c>
      <c r="F8" s="259"/>
    </row>
    <row r="9" spans="1:6" x14ac:dyDescent="0.25">
      <c r="A9" s="257"/>
      <c r="B9" s="261" t="s">
        <v>511</v>
      </c>
      <c r="C9" s="259">
        <v>7789000</v>
      </c>
      <c r="D9" s="259"/>
      <c r="E9" s="259">
        <v>7789000</v>
      </c>
      <c r="F9" s="259"/>
    </row>
    <row r="10" spans="1:6" x14ac:dyDescent="0.25">
      <c r="A10" s="251" t="s">
        <v>27</v>
      </c>
      <c r="B10" s="252" t="s">
        <v>512</v>
      </c>
      <c r="C10" s="253">
        <v>0</v>
      </c>
      <c r="D10" s="253"/>
      <c r="E10" s="253">
        <v>0</v>
      </c>
      <c r="F10" s="253"/>
    </row>
    <row r="11" spans="1:6" x14ac:dyDescent="0.25">
      <c r="A11" s="262"/>
      <c r="B11" s="263" t="s">
        <v>38</v>
      </c>
      <c r="C11" s="264">
        <f>C5+C10</f>
        <v>36637000</v>
      </c>
      <c r="D11" s="264"/>
      <c r="E11" s="264">
        <f>E5+E10</f>
        <v>36637000</v>
      </c>
      <c r="F11" s="264"/>
    </row>
    <row r="12" spans="1:6" x14ac:dyDescent="0.25">
      <c r="A12" s="251" t="s">
        <v>42</v>
      </c>
      <c r="B12" s="252" t="s">
        <v>43</v>
      </c>
      <c r="C12" s="253">
        <f>C13</f>
        <v>44342000</v>
      </c>
      <c r="D12" s="253"/>
      <c r="E12" s="253">
        <f>E13</f>
        <v>85842000</v>
      </c>
      <c r="F12" s="253"/>
    </row>
    <row r="13" spans="1:6" x14ac:dyDescent="0.25">
      <c r="A13" s="254" t="s">
        <v>11</v>
      </c>
      <c r="B13" s="255" t="s">
        <v>513</v>
      </c>
      <c r="C13" s="256">
        <f>C14</f>
        <v>44342000</v>
      </c>
      <c r="D13" s="256"/>
      <c r="E13" s="256">
        <f>E14</f>
        <v>85842000</v>
      </c>
      <c r="F13" s="256"/>
    </row>
    <row r="14" spans="1:6" x14ac:dyDescent="0.25">
      <c r="A14" s="257"/>
      <c r="B14" s="258" t="s">
        <v>514</v>
      </c>
      <c r="C14" s="259">
        <f>44342000</f>
        <v>44342000</v>
      </c>
      <c r="D14" s="259"/>
      <c r="E14" s="259">
        <f>44342000+41500000</f>
        <v>85842000</v>
      </c>
      <c r="F14" s="259"/>
    </row>
    <row r="15" spans="1:6" x14ac:dyDescent="0.25">
      <c r="A15" s="257"/>
      <c r="B15" s="258" t="s">
        <v>515</v>
      </c>
      <c r="C15" s="259">
        <v>30480000</v>
      </c>
      <c r="D15" s="259"/>
      <c r="E15" s="259">
        <v>30480000</v>
      </c>
      <c r="F15" s="259"/>
    </row>
    <row r="16" spans="1:6" ht="42" customHeight="1" x14ac:dyDescent="0.25">
      <c r="A16" s="248" t="s">
        <v>516</v>
      </c>
      <c r="B16" s="249" t="s">
        <v>517</v>
      </c>
      <c r="C16" s="250"/>
      <c r="D16" s="250"/>
      <c r="E16" s="250"/>
      <c r="F16" s="250"/>
    </row>
    <row r="17" spans="1:6" x14ac:dyDescent="0.25">
      <c r="A17" s="251" t="s">
        <v>303</v>
      </c>
      <c r="B17" s="252" t="s">
        <v>109</v>
      </c>
      <c r="C17" s="253"/>
      <c r="D17" s="253">
        <f>D18</f>
        <v>0</v>
      </c>
      <c r="E17" s="253"/>
      <c r="F17" s="253">
        <f>F18</f>
        <v>0</v>
      </c>
    </row>
    <row r="18" spans="1:6" x14ac:dyDescent="0.25">
      <c r="A18" s="254" t="s">
        <v>11</v>
      </c>
      <c r="B18" s="255" t="s">
        <v>518</v>
      </c>
      <c r="C18" s="256"/>
      <c r="D18" s="256">
        <f>D19</f>
        <v>0</v>
      </c>
      <c r="E18" s="256"/>
      <c r="F18" s="256">
        <f>F19</f>
        <v>0</v>
      </c>
    </row>
    <row r="19" spans="1:6" x14ac:dyDescent="0.25">
      <c r="A19" s="257"/>
      <c r="B19" s="258" t="s">
        <v>519</v>
      </c>
      <c r="C19" s="259"/>
      <c r="D19" s="259">
        <v>0</v>
      </c>
      <c r="E19" s="259"/>
      <c r="F19" s="259">
        <v>0</v>
      </c>
    </row>
    <row r="20" spans="1:6" x14ac:dyDescent="0.25">
      <c r="A20" s="251" t="s">
        <v>520</v>
      </c>
      <c r="B20" s="252" t="s">
        <v>115</v>
      </c>
      <c r="C20" s="253"/>
      <c r="D20" s="253">
        <f>D21+D28+D31</f>
        <v>80979000</v>
      </c>
      <c r="E20" s="253"/>
      <c r="F20" s="253">
        <f>F21+F28+F31</f>
        <v>122479000</v>
      </c>
    </row>
    <row r="21" spans="1:6" x14ac:dyDescent="0.25">
      <c r="A21" s="254" t="s">
        <v>11</v>
      </c>
      <c r="B21" s="255" t="s">
        <v>31</v>
      </c>
      <c r="C21" s="256"/>
      <c r="D21" s="256">
        <f>D22+D23+D24+D25+D26+D27</f>
        <v>0</v>
      </c>
      <c r="E21" s="256"/>
      <c r="F21" s="256">
        <f>F22+F23+F24+F25+F26+F27</f>
        <v>0</v>
      </c>
    </row>
    <row r="22" spans="1:6" x14ac:dyDescent="0.25">
      <c r="A22" s="257"/>
      <c r="B22" s="258" t="s">
        <v>521</v>
      </c>
      <c r="C22" s="259"/>
      <c r="D22" s="259"/>
      <c r="E22" s="259"/>
      <c r="F22" s="259"/>
    </row>
    <row r="23" spans="1:6" hidden="1" x14ac:dyDescent="0.25">
      <c r="A23" s="257"/>
      <c r="B23" s="258"/>
      <c r="C23" s="259"/>
      <c r="D23" s="259">
        <v>0</v>
      </c>
      <c r="E23" s="259"/>
      <c r="F23" s="259">
        <v>0</v>
      </c>
    </row>
    <row r="24" spans="1:6" hidden="1" x14ac:dyDescent="0.25">
      <c r="A24" s="257"/>
      <c r="B24" s="258"/>
      <c r="C24" s="259"/>
      <c r="D24" s="259"/>
      <c r="E24" s="259"/>
      <c r="F24" s="259"/>
    </row>
    <row r="25" spans="1:6" hidden="1" x14ac:dyDescent="0.25">
      <c r="A25" s="257"/>
      <c r="B25" s="258"/>
      <c r="C25" s="259"/>
      <c r="D25" s="259"/>
      <c r="E25" s="259"/>
      <c r="F25" s="259"/>
    </row>
    <row r="26" spans="1:6" hidden="1" x14ac:dyDescent="0.25">
      <c r="A26" s="257"/>
      <c r="B26" s="258"/>
      <c r="C26" s="259"/>
      <c r="D26" s="259"/>
      <c r="E26" s="259"/>
      <c r="F26" s="259"/>
    </row>
    <row r="27" spans="1:6" hidden="1" x14ac:dyDescent="0.25">
      <c r="A27" s="257"/>
      <c r="B27" s="258"/>
      <c r="C27" s="259"/>
      <c r="D27" s="259"/>
      <c r="E27" s="259"/>
      <c r="F27" s="259"/>
    </row>
    <row r="28" spans="1:6" x14ac:dyDescent="0.25">
      <c r="A28" s="254" t="s">
        <v>14</v>
      </c>
      <c r="B28" s="255" t="s">
        <v>33</v>
      </c>
      <c r="C28" s="256"/>
      <c r="D28" s="256">
        <f>SUM(D29:D30)</f>
        <v>66750500</v>
      </c>
      <c r="E28" s="256"/>
      <c r="F28" s="256">
        <f>SUM(F29:F30)</f>
        <v>66750500</v>
      </c>
    </row>
    <row r="29" spans="1:6" x14ac:dyDescent="0.25">
      <c r="A29" s="257"/>
      <c r="B29" s="258" t="s">
        <v>522</v>
      </c>
      <c r="C29" s="259"/>
      <c r="D29" s="259">
        <v>3123500</v>
      </c>
      <c r="E29" s="259"/>
      <c r="F29" s="259">
        <v>3123500</v>
      </c>
    </row>
    <row r="30" spans="1:6" x14ac:dyDescent="0.25">
      <c r="A30" s="257"/>
      <c r="B30" s="258" t="s">
        <v>523</v>
      </c>
      <c r="C30" s="259"/>
      <c r="D30" s="259">
        <v>63627000</v>
      </c>
      <c r="E30" s="259"/>
      <c r="F30" s="259">
        <v>63627000</v>
      </c>
    </row>
    <row r="31" spans="1:6" x14ac:dyDescent="0.25">
      <c r="A31" s="254" t="s">
        <v>17</v>
      </c>
      <c r="B31" s="255" t="s">
        <v>524</v>
      </c>
      <c r="C31" s="256"/>
      <c r="D31" s="256">
        <f>D32</f>
        <v>14228500</v>
      </c>
      <c r="E31" s="256"/>
      <c r="F31" s="256">
        <f>F32</f>
        <v>55728500</v>
      </c>
    </row>
    <row r="32" spans="1:6" x14ac:dyDescent="0.25">
      <c r="A32" s="257"/>
      <c r="B32" s="258" t="s">
        <v>525</v>
      </c>
      <c r="C32" s="259"/>
      <c r="D32" s="259">
        <f>14228500</f>
        <v>14228500</v>
      </c>
      <c r="E32" s="259"/>
      <c r="F32" s="259">
        <f>14228500+41500000</f>
        <v>55728500</v>
      </c>
    </row>
    <row r="33" spans="1:6" x14ac:dyDescent="0.25">
      <c r="A33" s="262"/>
      <c r="B33" s="263" t="s">
        <v>39</v>
      </c>
      <c r="C33" s="264"/>
      <c r="D33" s="264">
        <f>D17+D20</f>
        <v>80979000</v>
      </c>
      <c r="E33" s="264"/>
      <c r="F33" s="264">
        <f>F17+F20</f>
        <v>122479000</v>
      </c>
    </row>
    <row r="34" spans="1:6" x14ac:dyDescent="0.25">
      <c r="A34" s="251" t="s">
        <v>526</v>
      </c>
      <c r="B34" s="252" t="s">
        <v>44</v>
      </c>
      <c r="C34" s="253"/>
      <c r="D34" s="253">
        <v>0</v>
      </c>
      <c r="E34" s="253"/>
      <c r="F34" s="253">
        <v>0</v>
      </c>
    </row>
  </sheetData>
  <pageMargins left="0.70866141732283472" right="0.70866141732283472" top="1.2204724409448819" bottom="0.74803149606299213" header="0.70866141732283472" footer="0.31496062992125984"/>
  <pageSetup paperSize="9" scale="68" orientation="portrait" r:id="rId1"/>
  <headerFooter>
    <oddHeader>&amp;L2/E. melléklet a ......./2020. (.................) önkormányzati rendelethez&amp;C&amp;"-,Félkövér"&amp;14
A Vízügyi Építési Alap 2020. évi költségvetése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41</vt:i4>
      </vt:variant>
    </vt:vector>
  </HeadingPairs>
  <TitlesOfParts>
    <vt:vector size="66" baseType="lpstr">
      <vt:lpstr>0.Mérleg</vt:lpstr>
      <vt:lpstr>1A. Fő bev</vt:lpstr>
      <vt:lpstr>1B. Fő kiad</vt:lpstr>
      <vt:lpstr>1C Bev kiad fel</vt:lpstr>
      <vt:lpstr>2A Önk bev</vt:lpstr>
      <vt:lpstr>2B Önk kiad</vt:lpstr>
      <vt:lpstr>2C Önk bev kiad fel</vt:lpstr>
      <vt:lpstr>2D Céltartalék</vt:lpstr>
      <vt:lpstr>2E VÉA</vt:lpstr>
      <vt:lpstr>3A PH</vt:lpstr>
      <vt:lpstr>3B PH fel</vt:lpstr>
      <vt:lpstr>4A Walla</vt:lpstr>
      <vt:lpstr>4B Nyitnikék</vt:lpstr>
      <vt:lpstr>4C Bóbita</vt:lpstr>
      <vt:lpstr>4D MMMH</vt:lpstr>
      <vt:lpstr>4E Könyvtár</vt:lpstr>
      <vt:lpstr>4F Segítő Kéz</vt:lpstr>
      <vt:lpstr>4G Szérüskert</vt:lpstr>
      <vt:lpstr>4H VG bev kiad</vt:lpstr>
      <vt:lpstr>5 GSZNR fel</vt:lpstr>
      <vt:lpstr>6. létszámkeret</vt:lpstr>
      <vt:lpstr>7. Fejlesztések</vt:lpstr>
      <vt:lpstr>8. stab tv</vt:lpstr>
      <vt:lpstr>9. Uniós tám</vt:lpstr>
      <vt:lpstr>10. címrend</vt:lpstr>
      <vt:lpstr>'1A. Fő bev'!Nyomtatási_cím</vt:lpstr>
      <vt:lpstr>'1B. Fő kiad'!Nyomtatási_cím</vt:lpstr>
      <vt:lpstr>'1C Bev kiad fel'!Nyomtatási_cím</vt:lpstr>
      <vt:lpstr>'2A Önk bev'!Nyomtatási_cím</vt:lpstr>
      <vt:lpstr>'2B Önk kiad'!Nyomtatási_cím</vt:lpstr>
      <vt:lpstr>'2C Önk bev kiad fel'!Nyomtatási_cím</vt:lpstr>
      <vt:lpstr>'3A PH'!Nyomtatási_cím</vt:lpstr>
      <vt:lpstr>'3B PH fel'!Nyomtatási_cím</vt:lpstr>
      <vt:lpstr>'4A Walla'!Nyomtatási_cím</vt:lpstr>
      <vt:lpstr>'4B Nyitnikék'!Nyomtatási_cím</vt:lpstr>
      <vt:lpstr>'4C Bóbita'!Nyomtatási_cím</vt:lpstr>
      <vt:lpstr>'4D MMMH'!Nyomtatási_cím</vt:lpstr>
      <vt:lpstr>'4E Könyvtár'!Nyomtatási_cím</vt:lpstr>
      <vt:lpstr>'4F Segítő Kéz'!Nyomtatási_cím</vt:lpstr>
      <vt:lpstr>'4G Szérüskert'!Nyomtatási_cím</vt:lpstr>
      <vt:lpstr>'4H VG bev kiad'!Nyomtatási_cím</vt:lpstr>
      <vt:lpstr>'5 GSZNR fel'!Nyomtatási_cím</vt:lpstr>
      <vt:lpstr>'0.Mérleg'!Nyomtatási_terület</vt:lpstr>
      <vt:lpstr>'10. címrend'!Nyomtatási_terület</vt:lpstr>
      <vt:lpstr>'1A. Fő bev'!Nyomtatási_terület</vt:lpstr>
      <vt:lpstr>'1B. Fő kiad'!Nyomtatási_terület</vt:lpstr>
      <vt:lpstr>'1C Bev kiad fel'!Nyomtatási_terület</vt:lpstr>
      <vt:lpstr>'2A Önk bev'!Nyomtatási_terület</vt:lpstr>
      <vt:lpstr>'2B Önk kiad'!Nyomtatási_terület</vt:lpstr>
      <vt:lpstr>'2C Önk bev kiad fel'!Nyomtatási_terület</vt:lpstr>
      <vt:lpstr>'2D Céltartalék'!Nyomtatási_terület</vt:lpstr>
      <vt:lpstr>'2E VÉA'!Nyomtatási_terület</vt:lpstr>
      <vt:lpstr>'3A PH'!Nyomtatási_terület</vt:lpstr>
      <vt:lpstr>'3B PH fel'!Nyomtatási_terület</vt:lpstr>
      <vt:lpstr>'4A Walla'!Nyomtatási_terület</vt:lpstr>
      <vt:lpstr>'4B Nyitnikék'!Nyomtatási_terület</vt:lpstr>
      <vt:lpstr>'4C Bóbita'!Nyomtatási_terület</vt:lpstr>
      <vt:lpstr>'4D MMMH'!Nyomtatási_terület</vt:lpstr>
      <vt:lpstr>'4E Könyvtár'!Nyomtatási_terület</vt:lpstr>
      <vt:lpstr>'4F Segítő Kéz'!Nyomtatási_terület</vt:lpstr>
      <vt:lpstr>'4G Szérüskert'!Nyomtatási_terület</vt:lpstr>
      <vt:lpstr>'4H VG bev kiad'!Nyomtatási_terület</vt:lpstr>
      <vt:lpstr>'5 GSZNR fel'!Nyomtatási_terület</vt:lpstr>
      <vt:lpstr>'6. létszámkeret'!Nyomtatási_terület</vt:lpstr>
      <vt:lpstr>'7. Fejlesztések'!Nyomtatási_terület</vt:lpstr>
      <vt:lpstr>'8. stab tv'!Nyomtatási_terület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Eszter</dc:creator>
  <cp:lastModifiedBy>Nagy Eszter</cp:lastModifiedBy>
  <cp:lastPrinted>2020-07-23T09:33:26Z</cp:lastPrinted>
  <dcterms:created xsi:type="dcterms:W3CDTF">2020-07-23T09:06:18Z</dcterms:created>
  <dcterms:modified xsi:type="dcterms:W3CDTF">2020-07-23T09:33:37Z</dcterms:modified>
</cp:coreProperties>
</file>