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tabRatio="895" firstSheet="4" activeTab="11"/>
  </bookViews>
  <sheets>
    <sheet name="1. bevételek" sheetId="1" r:id="rId1"/>
    <sheet name="2. kiadások " sheetId="2" r:id="rId2"/>
    <sheet name="3.műk.-felh." sheetId="3" r:id="rId3"/>
    <sheet name="4.önkorm.szakf. " sheetId="4" r:id="rId4"/>
    <sheet name="5. kiadások megbontása" sheetId="5" r:id="rId5"/>
    <sheet name="6. források sz. bontás" sheetId="6" r:id="rId6"/>
    <sheet name="7. létszámok" sheetId="7" r:id="rId7"/>
    <sheet name="8.felhki" sheetId="8" r:id="rId8"/>
    <sheet name="9.tart" sheetId="9" r:id="rId9"/>
    <sheet name="10. Stab.tv.saját bev" sheetId="10" r:id="rId10"/>
    <sheet name="11.normatívák" sheetId="11" r:id="rId11"/>
    <sheet name="12. Eu projektek" sheetId="12" r:id="rId12"/>
  </sheets>
  <definedNames>
    <definedName name="_xlnm.Print_Titles" localSheetId="0">'1. bevételek'!$5:$6</definedName>
    <definedName name="_xlnm.Print_Titles" localSheetId="1">'2. kiadások '!$5:$6</definedName>
    <definedName name="_xlnm.Print_Titles" localSheetId="2">'3.műk.-felh.'!$4:$5</definedName>
    <definedName name="_xlnm.Print_Titles" localSheetId="3">'4.önkorm.szakf. '!$4:$7</definedName>
    <definedName name="_xlnm.Print_Titles" localSheetId="4">'5. kiadások megbontása'!$5:$8</definedName>
    <definedName name="_xlnm.Print_Titles" localSheetId="6">'7. létszámok'!$7:$7</definedName>
    <definedName name="_xlnm.Print_Titles" localSheetId="7">'8.felhki'!$6:$7</definedName>
    <definedName name="_xlnm.Print_Titles" localSheetId="8">'9.tart'!$7:$7</definedName>
    <definedName name="_xlnm.Print_Area" localSheetId="0">'1. bevételek'!$A$1:$I$198</definedName>
    <definedName name="_xlnm.Print_Area" localSheetId="9">'10. Stab.tv.saját bev'!$A$1:$I$14</definedName>
    <definedName name="_xlnm.Print_Area" localSheetId="10">'11.normatívák'!$A$1:$L$50</definedName>
    <definedName name="_xlnm.Print_Area" localSheetId="1">'2. kiadások '!$A$1:$I$79</definedName>
    <definedName name="_xlnm.Print_Area" localSheetId="3">'4.önkorm.szakf. '!$D$1:$Y$53</definedName>
    <definedName name="_xlnm.Print_Area" localSheetId="4">'5. kiadások megbontása'!$A$1:$M$76</definedName>
    <definedName name="_xlnm.Print_Area" localSheetId="5">'6. források sz. bontás'!$A$1:$AC$57</definedName>
    <definedName name="_xlnm.Print_Area" localSheetId="6">'7. létszámok'!$A$1:$M$62</definedName>
    <definedName name="_xlnm.Print_Area" localSheetId="7">'8.felhki'!$A$1:$D$64</definedName>
  </definedNames>
  <calcPr fullCalcOnLoad="1"/>
</workbook>
</file>

<file path=xl/sharedStrings.xml><?xml version="1.0" encoding="utf-8"?>
<sst xmlns="http://schemas.openxmlformats.org/spreadsheetml/2006/main" count="1592" uniqueCount="1026">
  <si>
    <t>Rovatok megnevezése</t>
  </si>
  <si>
    <t>K1</t>
  </si>
  <si>
    <t>ebből:</t>
  </si>
  <si>
    <t>K2</t>
  </si>
  <si>
    <t>Munkaadókat terhelő járulékok és szoc. hozzájárulási adó</t>
  </si>
  <si>
    <t>K3</t>
  </si>
  <si>
    <t>Dologi kiadások</t>
  </si>
  <si>
    <t>államháztartáson belül</t>
  </si>
  <si>
    <t>K4</t>
  </si>
  <si>
    <t>Ellátottak pénzbeli juttatásai</t>
  </si>
  <si>
    <t>K41</t>
  </si>
  <si>
    <t>Társadalombiztosítási ellátások</t>
  </si>
  <si>
    <t>K42</t>
  </si>
  <si>
    <t>Családi támogatások</t>
  </si>
  <si>
    <t>Intézményi ellátottak pénzbeli juttatásai</t>
  </si>
  <si>
    <t>1. Működési célú támogatások államháztartáson belülről</t>
  </si>
  <si>
    <t>1.1. Önkormányzatok működési támogatásai</t>
  </si>
  <si>
    <t>1.3. Egyéb műk. c. támogatások bevételei állh.-on belülről</t>
  </si>
  <si>
    <t>1.Felhalm. célú támogatások államháztartáson belülről</t>
  </si>
  <si>
    <t>1.1. Felhalmozási célú önkormányzati támogatások</t>
  </si>
  <si>
    <t>1.2. Egyéb felh. c. támogatások bevételei államházt.-on belülről</t>
  </si>
  <si>
    <t>2. Közhatalmi bevételek</t>
  </si>
  <si>
    <t>2.3. Egyéb közhatalmi bevételek</t>
  </si>
  <si>
    <t>3. Működési bevételek</t>
  </si>
  <si>
    <t>3.2. Szolgáltatások ellenértéke</t>
  </si>
  <si>
    <t>3.3. Közvetített szolgáltatások ellenértéke</t>
  </si>
  <si>
    <t>3.5. Ellátási díjak</t>
  </si>
  <si>
    <t>3.6. Kiszámlázott általános forgalmi adó</t>
  </si>
  <si>
    <t>2. Felhalmozási bevételek</t>
  </si>
  <si>
    <t>2.1. Immateriális javak értékesítése</t>
  </si>
  <si>
    <t>2.2. Ingatlanok értékesítése</t>
  </si>
  <si>
    <t>2.3. Egyéb tárgyi eszközök értékesítése</t>
  </si>
  <si>
    <t>2.4. Részesedések értékesítése</t>
  </si>
  <si>
    <t>4. Működési célú átvett pénzeszközök</t>
  </si>
  <si>
    <t>4.1. Műk. c. vtérítendő támog., kölcsönök vtérülése állh.-on kív.</t>
  </si>
  <si>
    <t>4.2. Egyéb műk. c. átvett pénzeszközök</t>
  </si>
  <si>
    <t>3.  Felhalmozási célú átvett pénzeszközök</t>
  </si>
  <si>
    <t>ebből működési</t>
  </si>
  <si>
    <t>ebből felhalmozási</t>
  </si>
  <si>
    <t xml:space="preserve">3. Dologi kiadások </t>
  </si>
  <si>
    <t>4. Ellátottak pénzbeli juttatásai</t>
  </si>
  <si>
    <t>5.3. Egyéb műk. célú támogatások államh.-on kívülre</t>
  </si>
  <si>
    <t>5. Egyéb működési célú kiadások</t>
  </si>
  <si>
    <t>5.4. Tartalékok</t>
  </si>
  <si>
    <t>1. Beruházások</t>
  </si>
  <si>
    <t>2. Felújítások</t>
  </si>
  <si>
    <t>3. Egyéb felhalmozási célú kiadások</t>
  </si>
  <si>
    <t>3.1. Felh. c. v.tér. tám. kölcs. nyújt. állh.-on belülre</t>
  </si>
  <si>
    <t>3.2. Felh. c. v.tér. tám. kölcs. törl. állh.-on belülre</t>
  </si>
  <si>
    <t>3.3. Egyéb felh. c. támogatások állh-on belülre</t>
  </si>
  <si>
    <t>2.2. Belföldi gépjárművek adójának helyi önk-t megillető része</t>
  </si>
  <si>
    <t>3.4. Felh. c. v.tér. tám. kölcs. nyújt. állh.-on kívülre</t>
  </si>
  <si>
    <t>3.5. Egyéb felh. c. támogatások állh-on kívülre</t>
  </si>
  <si>
    <t>Viziközmű fejl. tartalék</t>
  </si>
  <si>
    <t>051030</t>
  </si>
  <si>
    <t>Nem veszélyes (települési) hulladék vegyes begyűjtése, szállítása, átrakása</t>
  </si>
  <si>
    <t>051060</t>
  </si>
  <si>
    <t>052080</t>
  </si>
  <si>
    <t>045160</t>
  </si>
  <si>
    <t>081071</t>
  </si>
  <si>
    <t>013350</t>
  </si>
  <si>
    <t>Önk-i vagyonnal való gazdálkodással kapcs. feladatok</t>
  </si>
  <si>
    <t>013360</t>
  </si>
  <si>
    <t>Más szerv részére végzett pü-i gazd-i, üzemeltetési, egyéb szolg.</t>
  </si>
  <si>
    <t>066010</t>
  </si>
  <si>
    <t>011130</t>
  </si>
  <si>
    <t>Önk-ok és önk-i hivatalok jogalkotói és ált. igazgatási tevékenysége</t>
  </si>
  <si>
    <t>016080</t>
  </si>
  <si>
    <t>064010</t>
  </si>
  <si>
    <t>066020</t>
  </si>
  <si>
    <t>900070</t>
  </si>
  <si>
    <t>032020</t>
  </si>
  <si>
    <t>Tűz- és katasztrófavédelmi tevékenységek</t>
  </si>
  <si>
    <t>047410</t>
  </si>
  <si>
    <t>Ár- és belvízvédelemmel összefüggő tevékenységek</t>
  </si>
  <si>
    <t>091140</t>
  </si>
  <si>
    <t>072111</t>
  </si>
  <si>
    <t>072112</t>
  </si>
  <si>
    <t>072311</t>
  </si>
  <si>
    <t>074031</t>
  </si>
  <si>
    <t>102021</t>
  </si>
  <si>
    <t>107013</t>
  </si>
  <si>
    <t>102030</t>
  </si>
  <si>
    <t>104042</t>
  </si>
  <si>
    <t>107015</t>
  </si>
  <si>
    <t>Hajléktalanok nappali ellátása</t>
  </si>
  <si>
    <t>107051</t>
  </si>
  <si>
    <t>107052</t>
  </si>
  <si>
    <t>107054</t>
  </si>
  <si>
    <t>104060</t>
  </si>
  <si>
    <t>107060</t>
  </si>
  <si>
    <t>082044</t>
  </si>
  <si>
    <t>082061</t>
  </si>
  <si>
    <t>082092</t>
  </si>
  <si>
    <t>Hagyományos közösségi kult. értékek gondozása - Közművelődés</t>
  </si>
  <si>
    <t>081030</t>
  </si>
  <si>
    <t>Sportlétesítmények, edzőtáborok működtetése és fejlesztése</t>
  </si>
  <si>
    <t>Város-,  községgazdálkodási egyéb szolg.</t>
  </si>
  <si>
    <t xml:space="preserve">Hajléktalanok átmeneti ellátása </t>
  </si>
  <si>
    <t>Múzeumi, gyűjteményi tevékenység</t>
  </si>
  <si>
    <t xml:space="preserve">működési </t>
  </si>
  <si>
    <t>felhalmozási</t>
  </si>
  <si>
    <t>össz.</t>
  </si>
  <si>
    <t>Jánoshalma Városi Önkormányzat</t>
  </si>
  <si>
    <t>Költségvetési egyenleg</t>
  </si>
  <si>
    <t>működési</t>
  </si>
  <si>
    <t>összesen</t>
  </si>
  <si>
    <t>Lakott külterülettel kapcsolatos feladatok támogatása</t>
  </si>
  <si>
    <t xml:space="preserve"> </t>
  </si>
  <si>
    <t>Ingatlan, termőföld értékesítés</t>
  </si>
  <si>
    <t>Állami feladat kiadása</t>
  </si>
  <si>
    <t>Önkormányzat kiadásai összesen:</t>
  </si>
  <si>
    <t>Központi ktgv.-i támogatás össz.:</t>
  </si>
  <si>
    <t>Átvett pénzeszköz összesen:</t>
  </si>
  <si>
    <t>Saját bevétel összesen:</t>
  </si>
  <si>
    <t>Jh.-i Polgármesteri Hivatal</t>
  </si>
  <si>
    <t>Jh.-i Polgárm. Hiv. kiadásai össz.:</t>
  </si>
  <si>
    <t>Gyermeklánc Óvoda és Egységes Óvoda-Bölcsőde kiadásai összesen:</t>
  </si>
  <si>
    <t>Központi ktgv.-i támog. mindössz.:</t>
  </si>
  <si>
    <t>Átvett pénzeszköz mindösszesen:</t>
  </si>
  <si>
    <t>Saját bevétel mindösszesen:</t>
  </si>
  <si>
    <t>BEVÉTELEK</t>
  </si>
  <si>
    <t>felhalm.</t>
  </si>
  <si>
    <t>Kötelező feladatok</t>
  </si>
  <si>
    <t>Önkormányzat</t>
  </si>
  <si>
    <t>Gyermeklánc Óvoda és Bölcsőde</t>
  </si>
  <si>
    <t>Önként vállalt feladatok</t>
  </si>
  <si>
    <t>Állami feladatok</t>
  </si>
  <si>
    <t>MINDÖSSZESEN:</t>
  </si>
  <si>
    <t>Földalapú támogatás</t>
  </si>
  <si>
    <t>Bérleti díj bevételek</t>
  </si>
  <si>
    <t>Kieg. RGYVK címén kifizetett összeg és kapcsolódó pótlék megtérítése</t>
  </si>
  <si>
    <t>Felhalmozás célú támogatás államháztartáson kívülre</t>
  </si>
  <si>
    <t>2.1. Helyi adók és adójellegű bevételek</t>
  </si>
  <si>
    <t>Település-üzemeltetéshez kapcsolódó feladatellátás támogatása</t>
  </si>
  <si>
    <t>Egyéb önkormányzati feladatok támogatása</t>
  </si>
  <si>
    <t>A települési önkormányzatok egyes köznevelési feladatainak támogatása</t>
  </si>
  <si>
    <t>Óvodapedagógusok, és az óvodapedagógusok nevelő munkáját közvetlenül segítők bértámogatása</t>
  </si>
  <si>
    <t>II.1 (3)</t>
  </si>
  <si>
    <t>A települési önkormányzatok szociális, gyermekjóléti és gyermekétkeztetési feladatainak támogatása</t>
  </si>
  <si>
    <t>III.5</t>
  </si>
  <si>
    <t>Gyermekétkeztetés támogatása</t>
  </si>
  <si>
    <t>III.5.b</t>
  </si>
  <si>
    <t>Gyermekétkeztetés üzemeltetési támogatása</t>
  </si>
  <si>
    <t>Települési önkormányzatok nyilvános könyvtári és közművelődési feladatainak támogatása</t>
  </si>
  <si>
    <t>Központi költségvetési támogatások mindösszesen:</t>
  </si>
  <si>
    <t>Műk. célú tám. ÁH-on kívülre</t>
  </si>
  <si>
    <t>K6</t>
  </si>
  <si>
    <t>Felújítások</t>
  </si>
  <si>
    <t>K7</t>
  </si>
  <si>
    <t>Egyéb felhalmozási célú kiadások</t>
  </si>
  <si>
    <t>K8</t>
  </si>
  <si>
    <t>Finanszírozási kiadások</t>
  </si>
  <si>
    <t>K9</t>
  </si>
  <si>
    <t>353/2011. (XII. 30.) Korm. rendelet 2.§ (1) bek. szerinti saját bevétel összege az adósságot keletkeztető ügyletek (viziközmű-társulati hitel kapcsán vállalt készfizető kezesség)  futamidejének végéig</t>
  </si>
  <si>
    <t>K43</t>
  </si>
  <si>
    <t>Pénzbeli kárpótlások, kártérítések</t>
  </si>
  <si>
    <t>K44</t>
  </si>
  <si>
    <t>Betegséggel kapcsolatos (nem TB) ellátások</t>
  </si>
  <si>
    <t>K45</t>
  </si>
  <si>
    <t>Foglalkoztatással, munkanélküliséggel kapcs. ellátások</t>
  </si>
  <si>
    <t>K46</t>
  </si>
  <si>
    <t>Lakhatással kapcsolatos ellátások</t>
  </si>
  <si>
    <t>K47</t>
  </si>
  <si>
    <t>K48</t>
  </si>
  <si>
    <t>Egyéb nem intézményi ellátások</t>
  </si>
  <si>
    <t>K5</t>
  </si>
  <si>
    <t>Egyéb működési célú kiadások</t>
  </si>
  <si>
    <t>K501</t>
  </si>
  <si>
    <t>Nemzetközi kötelezettségek</t>
  </si>
  <si>
    <t>K502</t>
  </si>
  <si>
    <t>Elvonások és befizetések</t>
  </si>
  <si>
    <t>K503</t>
  </si>
  <si>
    <t>Műk. célú garancia- és kezességvállalásból szárm. Kif. Államháztartáson belülre</t>
  </si>
  <si>
    <t>K504</t>
  </si>
  <si>
    <t>Műk. c. visszatérítendő támogatások, kölcsönök nyújtása államháztartáson belülre</t>
  </si>
  <si>
    <t>a,</t>
  </si>
  <si>
    <t>központi költségvetési szervek</t>
  </si>
  <si>
    <t>b,</t>
  </si>
  <si>
    <t>központi kezelésű előirányzatok</t>
  </si>
  <si>
    <t>c,</t>
  </si>
  <si>
    <t>fejezeti kezelésű ei EU-s pr. és azok hazai társfin.</t>
  </si>
  <si>
    <t>d,</t>
  </si>
  <si>
    <t>egyéb fejezeti kezelésű előirányzatok</t>
  </si>
  <si>
    <t>e,</t>
  </si>
  <si>
    <t>TB pénzügyi alapjai</t>
  </si>
  <si>
    <t xml:space="preserve">f, </t>
  </si>
  <si>
    <t>elkülönített állami pénzalapok</t>
  </si>
  <si>
    <t>g,</t>
  </si>
  <si>
    <t>helyi önkormányzatok és költségvetési szerveik</t>
  </si>
  <si>
    <t xml:space="preserve">h, </t>
  </si>
  <si>
    <t>társulások és költségvetési szerveik</t>
  </si>
  <si>
    <t xml:space="preserve">i, </t>
  </si>
  <si>
    <t>nemzetiségi önk-ok és költségvetési szerveik</t>
  </si>
  <si>
    <t>j,</t>
  </si>
  <si>
    <t>térségi fejleszt. tanácsok és költségvetési szerveik</t>
  </si>
  <si>
    <t>K505</t>
  </si>
  <si>
    <t>Műk. c. visszatérítendő támogatások, kölcsönök törtlesztése államháztartáson belülre</t>
  </si>
  <si>
    <t>K506</t>
  </si>
  <si>
    <t>Egyéb működési célú támogatások államháztartáson belülre</t>
  </si>
  <si>
    <t>K507</t>
  </si>
  <si>
    <t>Műk. c. garancia- és kezességv-ból származó kifizetés államháztartáson kívülre</t>
  </si>
  <si>
    <t>K508</t>
  </si>
  <si>
    <t>egyházi jogi személyek</t>
  </si>
  <si>
    <t>egyéb civil szervezetek</t>
  </si>
  <si>
    <t>háztartások</t>
  </si>
  <si>
    <t>pénzügyi vállalkozások</t>
  </si>
  <si>
    <t>állami többségi tul. -ú nem pénzügyi vállalkozások</t>
  </si>
  <si>
    <t>önk-i többségi tul.-ú nem pénzügyi vállalkozások</t>
  </si>
  <si>
    <t>egyéb vállalkozások</t>
  </si>
  <si>
    <t>Európai Unió</t>
  </si>
  <si>
    <t>kormányok és nemzetközi szervezetek</t>
  </si>
  <si>
    <t>egyéb külföldiek</t>
  </si>
  <si>
    <t>K509</t>
  </si>
  <si>
    <t>Árkiegészítések, átrtámogatások</t>
  </si>
  <si>
    <t>K510</t>
  </si>
  <si>
    <t>Kamattámogatások</t>
  </si>
  <si>
    <t>K511</t>
  </si>
  <si>
    <t>Egyéb műk. c. támogatások államháztartáson kívülre</t>
  </si>
  <si>
    <t>K512</t>
  </si>
  <si>
    <t>Tartalékok</t>
  </si>
  <si>
    <t xml:space="preserve">    </t>
  </si>
  <si>
    <t>K81</t>
  </si>
  <si>
    <t>Felhalm. c. garancia- és kez.váll-ból szárm. kif. állh-on belülre</t>
  </si>
  <si>
    <t>K82</t>
  </si>
  <si>
    <t>Felh. c. visszatér. tám, kölcsönök nyújt. állh-on belülre</t>
  </si>
  <si>
    <t>K83</t>
  </si>
  <si>
    <t>Felh. c. visszatér. tám, kölcsönök törl. állh-on belülre</t>
  </si>
  <si>
    <t>K84</t>
  </si>
  <si>
    <t>Egyéb felhalmozási c. támogatások állh-on belülre</t>
  </si>
  <si>
    <t>K85</t>
  </si>
  <si>
    <t>Felhalm. c. garancia- és kez.váll-ból szárm. kif. állh-on kívülre</t>
  </si>
  <si>
    <t>K86</t>
  </si>
  <si>
    <t>Felh. c. visszatér. tám, kölcsönök nyújt. állh-on kívülre</t>
  </si>
  <si>
    <t>K87</t>
  </si>
  <si>
    <t>Lakástámogatás</t>
  </si>
  <si>
    <t>K88</t>
  </si>
  <si>
    <t>Kiadások mindösszesen</t>
  </si>
  <si>
    <t>B1</t>
  </si>
  <si>
    <t>Működési célú támogatások államháztartáson belülről</t>
  </si>
  <si>
    <t>B11</t>
  </si>
  <si>
    <t>Önkormányzatok működési támogatásai</t>
  </si>
  <si>
    <t>B111</t>
  </si>
  <si>
    <t>B112</t>
  </si>
  <si>
    <t>B113</t>
  </si>
  <si>
    <t>B114</t>
  </si>
  <si>
    <t>B115</t>
  </si>
  <si>
    <t>B116</t>
  </si>
  <si>
    <t>B12</t>
  </si>
  <si>
    <t>Elvonások és befizetések bevételei</t>
  </si>
  <si>
    <t>B13</t>
  </si>
  <si>
    <t>B14</t>
  </si>
  <si>
    <t>fejezeti kezelésű ei EU-s pr. és azok hazai társfinanszírozása</t>
  </si>
  <si>
    <t>B15</t>
  </si>
  <si>
    <t>B16</t>
  </si>
  <si>
    <t>B2</t>
  </si>
  <si>
    <t>B21</t>
  </si>
  <si>
    <t>B22</t>
  </si>
  <si>
    <t>B23</t>
  </si>
  <si>
    <t>B24</t>
  </si>
  <si>
    <t>B25</t>
  </si>
  <si>
    <t>B3</t>
  </si>
  <si>
    <t>Közhatalmi bevételek</t>
  </si>
  <si>
    <t>B31</t>
  </si>
  <si>
    <t>Jövedelemadók</t>
  </si>
  <si>
    <t>B32</t>
  </si>
  <si>
    <t>Szociális hozzájárulási adó és járulékok</t>
  </si>
  <si>
    <t>B33</t>
  </si>
  <si>
    <t>Bérhez és foglalkoztatáshoz kapcsolódó adók</t>
  </si>
  <si>
    <t>B34</t>
  </si>
  <si>
    <t xml:space="preserve">Vagyoni típusú adók </t>
  </si>
  <si>
    <t>magánszemélyek kommunális adója</t>
  </si>
  <si>
    <t>telekadó</t>
  </si>
  <si>
    <t>B35</t>
  </si>
  <si>
    <t>Termékek és szolgáltatások adói</t>
  </si>
  <si>
    <t>B351</t>
  </si>
  <si>
    <t>Értékesítési és forgalmi adók</t>
  </si>
  <si>
    <t>B352</t>
  </si>
  <si>
    <t>B353</t>
  </si>
  <si>
    <t>Pü-i monopóliumok nyereségét terhelő adók</t>
  </si>
  <si>
    <t>B354</t>
  </si>
  <si>
    <t>Gépjárműadók</t>
  </si>
  <si>
    <t>B355</t>
  </si>
  <si>
    <t>Egyéb áruhasználati és szolgáltatási adók</t>
  </si>
  <si>
    <t>talajterhelési díj</t>
  </si>
  <si>
    <t>korábbi évek megszűnt adónemei áthúzódó bevételei</t>
  </si>
  <si>
    <t>B36</t>
  </si>
  <si>
    <t>Egyéb közhatalmi bevételek</t>
  </si>
  <si>
    <t>eljárási illetékek</t>
  </si>
  <si>
    <t>igazgatási szolgáltatási díjak</t>
  </si>
  <si>
    <t>felügyeleti díjak</t>
  </si>
  <si>
    <t>környezetvédelmi bírság</t>
  </si>
  <si>
    <t>építésügyi bírság</t>
  </si>
  <si>
    <t>egyéb bírságok</t>
  </si>
  <si>
    <t>késedelmi és önellenőrzési pótlék</t>
  </si>
  <si>
    <t>B4</t>
  </si>
  <si>
    <t>Működési bevételek</t>
  </si>
  <si>
    <t>B401</t>
  </si>
  <si>
    <t>B402</t>
  </si>
  <si>
    <t>tárgyi eszközök bérbe adásából származó bevétel</t>
  </si>
  <si>
    <t>B403</t>
  </si>
  <si>
    <t>Közvetített szolgáltatások ellenértéke</t>
  </si>
  <si>
    <t>B404</t>
  </si>
  <si>
    <t>Tulajdonosi bevételek</t>
  </si>
  <si>
    <t>vadászati jog bérbeadásából származó bevétel</t>
  </si>
  <si>
    <t>B405</t>
  </si>
  <si>
    <t>Ellátási díjak (pl. szociális és ellátotti étkeztetés díja)</t>
  </si>
  <si>
    <t>B406</t>
  </si>
  <si>
    <t>Kiszámlázott általános forgalmi adó</t>
  </si>
  <si>
    <t>B407</t>
  </si>
  <si>
    <t>Általános forgalmi adó visszatérítése</t>
  </si>
  <si>
    <t>B408</t>
  </si>
  <si>
    <t>B409</t>
  </si>
  <si>
    <t>B410</t>
  </si>
  <si>
    <t>B5</t>
  </si>
  <si>
    <t>Felhalmozási bevételek</t>
  </si>
  <si>
    <t>B51</t>
  </si>
  <si>
    <t>B52</t>
  </si>
  <si>
    <t>Ingatlanok értékesítése</t>
  </si>
  <si>
    <t>termőföld-eladás bevételei</t>
  </si>
  <si>
    <t>B53</t>
  </si>
  <si>
    <t>Egyéb tárgyi eszközök értékesítése</t>
  </si>
  <si>
    <t>B54</t>
  </si>
  <si>
    <t>Részesedések értékesítése</t>
  </si>
  <si>
    <t>B55</t>
  </si>
  <si>
    <t>Részesedések megszűnéséhez kapcsolódó bevételek</t>
  </si>
  <si>
    <t>B6</t>
  </si>
  <si>
    <t>Működési célú átvett pénzeszközök</t>
  </si>
  <si>
    <t>B61</t>
  </si>
  <si>
    <t>B62</t>
  </si>
  <si>
    <t>3.7. Általános forgalmi adó visszatérítése</t>
  </si>
  <si>
    <t>B63</t>
  </si>
  <si>
    <t>B7</t>
  </si>
  <si>
    <t>Felhalmozási célú átvett pénzeszközök</t>
  </si>
  <si>
    <t>B71</t>
  </si>
  <si>
    <t>B72</t>
  </si>
  <si>
    <t>B73</t>
  </si>
  <si>
    <t>B8</t>
  </si>
  <si>
    <t>Finanszírozási bevételek</t>
  </si>
  <si>
    <t>B81</t>
  </si>
  <si>
    <t>Belföldi finanszírozás bevételei</t>
  </si>
  <si>
    <t>B811</t>
  </si>
  <si>
    <t>B8111</t>
  </si>
  <si>
    <t>B8112</t>
  </si>
  <si>
    <t>B8113</t>
  </si>
  <si>
    <t>B812</t>
  </si>
  <si>
    <t>Belföldi értékpapírok bevételei</t>
  </si>
  <si>
    <t>B813</t>
  </si>
  <si>
    <t>Maradvány igénybevétele</t>
  </si>
  <si>
    <t>B8131</t>
  </si>
  <si>
    <t>Előző év költségvetési maradványának igénybevétele</t>
  </si>
  <si>
    <t>B8132</t>
  </si>
  <si>
    <t>Előző év vállalkozási maradványának igénybevétele</t>
  </si>
  <si>
    <t>B814</t>
  </si>
  <si>
    <t>B815</t>
  </si>
  <si>
    <t>B816</t>
  </si>
  <si>
    <t>Központi, irányító szervi támogatás</t>
  </si>
  <si>
    <t>B817</t>
  </si>
  <si>
    <t>B818</t>
  </si>
  <si>
    <t>Központi költségvetés sajátos finanszírozási bevételei</t>
  </si>
  <si>
    <t>B82</t>
  </si>
  <si>
    <t>Külföldi finanszírozás bevételei</t>
  </si>
  <si>
    <t>B83</t>
  </si>
  <si>
    <t>Adóssághoz nem kapcsolódó származékos ügyletek bevételei</t>
  </si>
  <si>
    <t>II. Felhalmozási kiadások</t>
  </si>
  <si>
    <t>Felh. célú</t>
  </si>
  <si>
    <t>Műk. célú</t>
  </si>
  <si>
    <t>Szolgáltatások ellenértéke</t>
  </si>
  <si>
    <t>Immateriális javak értékesítése</t>
  </si>
  <si>
    <t>Beruházás</t>
  </si>
  <si>
    <t>Építményüzemeltetés</t>
  </si>
  <si>
    <t>- Gazdasági ügyintéző</t>
  </si>
  <si>
    <t>Közutak, alagutak üzemeltetése, fenntartása</t>
  </si>
  <si>
    <t>Személyi juttatások</t>
  </si>
  <si>
    <t>Kiadások mindösszesen:</t>
  </si>
  <si>
    <t>Jan</t>
  </si>
  <si>
    <t>Febr</t>
  </si>
  <si>
    <t>Márc</t>
  </si>
  <si>
    <t>Ápr</t>
  </si>
  <si>
    <t>Máj</t>
  </si>
  <si>
    <t>Jún</t>
  </si>
  <si>
    <t>Júl</t>
  </si>
  <si>
    <t>Aug</t>
  </si>
  <si>
    <t>Szept</t>
  </si>
  <si>
    <t>Okt</t>
  </si>
  <si>
    <t>Nov</t>
  </si>
  <si>
    <t>Dec</t>
  </si>
  <si>
    <t>Diákélelmezési Konyha</t>
  </si>
  <si>
    <t>- Tűzoltók (közalkalmazottak)</t>
  </si>
  <si>
    <t xml:space="preserve">Közfoglalkoztatás </t>
  </si>
  <si>
    <t>Ügyeleti Szolgálat</t>
  </si>
  <si>
    <t>- Gépkocsivezető</t>
  </si>
  <si>
    <t>Védőnői Szolgálat</t>
  </si>
  <si>
    <t>- Védőnők</t>
  </si>
  <si>
    <t>Megnevezés</t>
  </si>
  <si>
    <t>Kiadások</t>
  </si>
  <si>
    <t>Dologi kiadás</t>
  </si>
  <si>
    <t>Összesen:</t>
  </si>
  <si>
    <t>Mindösszesen:</t>
  </si>
  <si>
    <t>Mindösszesen</t>
  </si>
  <si>
    <t>Beruházások</t>
  </si>
  <si>
    <t>Bevé-        telek</t>
  </si>
  <si>
    <t>K i a d á s b ó l</t>
  </si>
  <si>
    <t>Kiadások összesen</t>
  </si>
  <si>
    <t>Céltartalék (felhalmozási)</t>
  </si>
  <si>
    <t>Polgármesteri Hivatal</t>
  </si>
  <si>
    <t>Felújítás</t>
  </si>
  <si>
    <t>Összeg</t>
  </si>
  <si>
    <t>–</t>
  </si>
  <si>
    <t>Tervezett tartalékok</t>
  </si>
  <si>
    <t>Veszélyes hulladék kezelése, ártalmatlanítása</t>
  </si>
  <si>
    <t>Zöldterület kezelés</t>
  </si>
  <si>
    <t>Kiemelt állami és önkormányzati rendezvények</t>
  </si>
  <si>
    <t>Közvilágítás</t>
  </si>
  <si>
    <t>Fejezeti és általános tartalékok elszámolása</t>
  </si>
  <si>
    <t>Háziorvosi alapellátás</t>
  </si>
  <si>
    <t>Háziorvosi ügyeleti ellátás</t>
  </si>
  <si>
    <t>Fogorvosi alapellátás</t>
  </si>
  <si>
    <t>Könyvtári szolgáltatások</t>
  </si>
  <si>
    <t>Céltartalék (működési)</t>
  </si>
  <si>
    <t>Vis maior tartalék (működési)</t>
  </si>
  <si>
    <t>Tartalékok mindösszesen (I.+II.)</t>
  </si>
  <si>
    <t>Működési tartalékok összesen (I.):</t>
  </si>
  <si>
    <t>Felhalmozási tartalékok összesen (II.):</t>
  </si>
  <si>
    <t>Helyi önkormányzat összesen:</t>
  </si>
  <si>
    <t>I</t>
  </si>
  <si>
    <t>J</t>
  </si>
  <si>
    <t>K</t>
  </si>
  <si>
    <t>L</t>
  </si>
  <si>
    <t>M</t>
  </si>
  <si>
    <t>N</t>
  </si>
  <si>
    <t>O</t>
  </si>
  <si>
    <t>P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</si>
  <si>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</si>
  <si>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</si>
  <si>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</si>
  <si>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</si>
  <si>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</si>
  <si>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</si>
  <si>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</si>
  <si>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</si>
  <si>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</si>
  <si>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</si>
  <si>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</si>
  <si>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</si>
  <si>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</si>
  <si>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</si>
  <si>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</si>
  <si>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</si>
  <si>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</si>
  <si>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</si>
  <si>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</si>
  <si>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</si>
  <si>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</si>
  <si>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</si>
  <si>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28</t>
  </si>
  <si>
    <t>29</t>
  </si>
  <si>
    <t>30</t>
  </si>
  <si>
    <t>32</t>
  </si>
  <si>
    <t>Időszak</t>
  </si>
  <si>
    <t>5. bírság-, pótlék- és díjbevétel</t>
  </si>
  <si>
    <t>1. helyi adóból származó bevétel</t>
  </si>
  <si>
    <t>2. önkormányzati  vagyon és az önkormányzatot megillető vagyoni értékű jog értékesítéséből és hasznosításából származó bevétel</t>
  </si>
  <si>
    <t>4. tárgyi eszköz és az immateriális jószág, részvény, részesedés, vállalat értékesítéséből vagy privatizációból származó bevétel</t>
  </si>
  <si>
    <t>6. kezességvállalással kapcsolatos megtérülés</t>
  </si>
  <si>
    <t>Az önkormányzat saját bevételének típusa</t>
  </si>
  <si>
    <t>Helyi önkorm. összesen:</t>
  </si>
  <si>
    <t xml:space="preserve">- Köztisztviselők                      </t>
  </si>
  <si>
    <t>Polgárm. Hiv. összesen:</t>
  </si>
  <si>
    <t>HELYI ÖNKORMÁNYZAT ÉS INTÉZMÉNYEI ÖSSZESEN:</t>
  </si>
  <si>
    <t>Összesen</t>
  </si>
  <si>
    <t>3. osztalék, koncessziós díj és hozambevétel</t>
  </si>
  <si>
    <t>Felújítási alap befizetési kötelezettség (vegyes tulajdonú társasházak)</t>
  </si>
  <si>
    <t>Fejlesztési célú támogatásértékű kiadások</t>
  </si>
  <si>
    <t>Fejlesztési célú tartalék</t>
  </si>
  <si>
    <t>Vis maior tartalék</t>
  </si>
  <si>
    <t>A</t>
  </si>
  <si>
    <t>B</t>
  </si>
  <si>
    <t>C</t>
  </si>
  <si>
    <t>D</t>
  </si>
  <si>
    <t>E</t>
  </si>
  <si>
    <t>F</t>
  </si>
  <si>
    <t>Ssz.</t>
  </si>
  <si>
    <t>G</t>
  </si>
  <si>
    <t>H</t>
  </si>
  <si>
    <t>33</t>
  </si>
  <si>
    <t>Család- és nővédelmi egészségügyi gondozás</t>
  </si>
  <si>
    <t>Körny. véd. alap</t>
  </si>
  <si>
    <t>Bevételek</t>
  </si>
  <si>
    <t>Bevételek mindösszesen:</t>
  </si>
  <si>
    <t>-</t>
  </si>
  <si>
    <t>Helyi önkormányzat</t>
  </si>
  <si>
    <t>2017. év</t>
  </si>
  <si>
    <t>2018. év</t>
  </si>
  <si>
    <t>2019. év</t>
  </si>
  <si>
    <t>2020. év</t>
  </si>
  <si>
    <t>2021. év</t>
  </si>
  <si>
    <t>2022. év</t>
  </si>
  <si>
    <t>Jogcím</t>
  </si>
  <si>
    <t>száma</t>
  </si>
  <si>
    <t>megnevezése</t>
  </si>
  <si>
    <t>mutató</t>
  </si>
  <si>
    <t>fajlagos Ft</t>
  </si>
  <si>
    <t>mutató    (8 hó)</t>
  </si>
  <si>
    <t>mutató   (4 hó)</t>
  </si>
  <si>
    <t>xxx</t>
  </si>
  <si>
    <t>I. Működési bevételek</t>
  </si>
  <si>
    <t>Szociális étkeztetés</t>
  </si>
  <si>
    <t>Házi segítségnyújtás</t>
  </si>
  <si>
    <t>II. Felhalmozási bevételek</t>
  </si>
  <si>
    <t>I. Működési kiadások</t>
  </si>
  <si>
    <t>1. Személyi juttatások</t>
  </si>
  <si>
    <t>26</t>
  </si>
  <si>
    <t>Általános tartalék</t>
  </si>
  <si>
    <t>A települési önkormányzatok kulturális feladatainak támogatása</t>
  </si>
  <si>
    <t xml:space="preserve">fajlagos Ft </t>
  </si>
  <si>
    <t>Önkormányzati hivatal működésének támogatása</t>
  </si>
  <si>
    <t>A zöldterület-gazdálkodással kapcsolatos feladatok ellátásának támogatása</t>
  </si>
  <si>
    <t>Közvilágítás fenntartásának támogatása</t>
  </si>
  <si>
    <t>Köztemető fenntartással kapcsolatos feladatok támogatása</t>
  </si>
  <si>
    <t>Közutak fenntartásának támogatása</t>
  </si>
  <si>
    <t>II.</t>
  </si>
  <si>
    <t>I.</t>
  </si>
  <si>
    <t>II.1</t>
  </si>
  <si>
    <t>Óvodapedagógusok bértámogatása</t>
  </si>
  <si>
    <t>II.1 (1)</t>
  </si>
  <si>
    <t>II.1 (2)</t>
  </si>
  <si>
    <t>II.2</t>
  </si>
  <si>
    <t>Óvodaműködtetési támogatás</t>
  </si>
  <si>
    <t>III.</t>
  </si>
  <si>
    <t>III.1</t>
  </si>
  <si>
    <t>III.2</t>
  </si>
  <si>
    <t>III.3</t>
  </si>
  <si>
    <t>Egyes szociális és gyermekjóléti feladatok támogatása</t>
  </si>
  <si>
    <t xml:space="preserve">Helyi önkormányzatok működésének általános támogatása </t>
  </si>
  <si>
    <t>IV.</t>
  </si>
  <si>
    <t>összeg Ft</t>
  </si>
  <si>
    <t>Ell.szám</t>
  </si>
  <si>
    <t>2. melléklet jogcímei mindösszesen:</t>
  </si>
  <si>
    <t>KIADÁSOK</t>
  </si>
  <si>
    <t>Feladatellátás jogszabályi alapja</t>
  </si>
  <si>
    <t>Kötelező feladatok kiadása</t>
  </si>
  <si>
    <t>Önként vállalt feladatok kiadása</t>
  </si>
  <si>
    <t>Állami (államigazgatási) feladatok kiadása</t>
  </si>
  <si>
    <t>23</t>
  </si>
  <si>
    <t>24</t>
  </si>
  <si>
    <t>25</t>
  </si>
  <si>
    <t>27</t>
  </si>
  <si>
    <t>31</t>
  </si>
  <si>
    <t>34</t>
  </si>
  <si>
    <t>35</t>
  </si>
  <si>
    <t>36</t>
  </si>
  <si>
    <t>37</t>
  </si>
  <si>
    <t>38</t>
  </si>
  <si>
    <t>Polgármesteri Hivatal összesen:</t>
  </si>
  <si>
    <t>Óvodai intézményi étkeztetés</t>
  </si>
  <si>
    <t>Óvodai nevelés, ellátás Jh.</t>
  </si>
  <si>
    <t>Óvodai nevelés, ellátás Kéleshalom</t>
  </si>
  <si>
    <t>Önkormányzat mindösszesen:</t>
  </si>
  <si>
    <t>Mötv.</t>
  </si>
  <si>
    <t>2011. évi CLXXXIX. tv. Magyarország helyi önkormányzatairól</t>
  </si>
  <si>
    <t xml:space="preserve">Szoc. tv. </t>
  </si>
  <si>
    <t>1993. évi III. törvény a szociális igazgatásról és szociális ellátásokról</t>
  </si>
  <si>
    <t>Ttv.</t>
  </si>
  <si>
    <t xml:space="preserve">1996. évi XXXI. törvény a tűz elleni védekezésről, a műszaki mentésről és tűzoltóságról </t>
  </si>
  <si>
    <t xml:space="preserve">Gyvt. </t>
  </si>
  <si>
    <t>1997. évi XXXI. törvény a gyermekek védelméről és a gyámügyi igazgatásról</t>
  </si>
  <si>
    <t xml:space="preserve">Közműv. tv. </t>
  </si>
  <si>
    <t>1997. évi CXL. törvény a muzeális intézményekről, a nyilvános könyvtári ellátásról és a közművelődésről</t>
  </si>
  <si>
    <t>Központi költségvetési támogatás</t>
  </si>
  <si>
    <t>Átvett pénzeszközök</t>
  </si>
  <si>
    <t>Saját bevételek</t>
  </si>
  <si>
    <t>Bevételek összesen</t>
  </si>
  <si>
    <t>Helyi önkormányzatok működésének ált. támogatása</t>
  </si>
  <si>
    <t>Ügyeleti ellátáshoz önkormányzatoktól átvett pénzeszk.</t>
  </si>
  <si>
    <t>Ügyeleti ellátáshoz OEP-finanszírozás</t>
  </si>
  <si>
    <t>Család- és nővédelmi eü. gondozáshoz OEP-finanszírozás</t>
  </si>
  <si>
    <t>Tűzoltóság BM támogatása</t>
  </si>
  <si>
    <t>Építéshatósági eljárási díj</t>
  </si>
  <si>
    <t>Anyakönyvi szolg. díjbevétele</t>
  </si>
  <si>
    <t>Továbbszámlázott szolg. bevételei</t>
  </si>
  <si>
    <t>Étkeztetéssel kapcsolatos térítési díj bevétel</t>
  </si>
  <si>
    <t>KÖZFOGLALKOZTATOTTAK LÉTSZÁMA ÖSSZESEN:</t>
  </si>
  <si>
    <t xml:space="preserve">A helyi önkormányzat és költségvetési szervei engedélyezett létszáma és a közfoglalkoztatottak létszáma </t>
  </si>
  <si>
    <t>B. Költségvetési bevételek és A. költségvetési kiadások összesítésének egyenlege (hiány/többlet):</t>
  </si>
  <si>
    <t>I.1.a</t>
  </si>
  <si>
    <t>I.1.b</t>
  </si>
  <si>
    <t>I.1.ba</t>
  </si>
  <si>
    <t>I.1.bb</t>
  </si>
  <si>
    <t>I.1.bc</t>
  </si>
  <si>
    <t>I.1.bd</t>
  </si>
  <si>
    <t>I.1.c</t>
  </si>
  <si>
    <t>I.1.d</t>
  </si>
  <si>
    <t>I.6.</t>
  </si>
  <si>
    <t>II.4</t>
  </si>
  <si>
    <t>Kiegészítő támogatás az óvodapedagógusok minősítéséből adódó többletkiadásokhoz</t>
  </si>
  <si>
    <t>A települési önkorm.-k szociális feladatainak egyéb támogatása</t>
  </si>
  <si>
    <t xml:space="preserve">A finanszírozás szempontjából elismert dolgozók bértámogatása                </t>
  </si>
  <si>
    <t xml:space="preserve">III.5.a </t>
  </si>
  <si>
    <t>IV.1.d</t>
  </si>
  <si>
    <t>IV.1</t>
  </si>
  <si>
    <t>Könyvtári, közművelődési és múzeumi feladatok támogatása</t>
  </si>
  <si>
    <t>önk-i többségi tulajdonú nem pénzügyi vállalkozások</t>
  </si>
  <si>
    <t>állami többségi tulajdonú nem pénzügyi vállalkozások</t>
  </si>
  <si>
    <t>3.4. Tulajdonosi bevételek</t>
  </si>
  <si>
    <t>082030</t>
  </si>
  <si>
    <t>082042</t>
  </si>
  <si>
    <t>Konyha</t>
  </si>
  <si>
    <t>Más szerv részére végzett pü-i, gazd-i, üzemeltetési, egyéb szolg. - Építményüzemeltetés</t>
  </si>
  <si>
    <t>Közutak, hidak, alagutak üzemeltetése, fenntartása</t>
  </si>
  <si>
    <t>Zöldterület -kezelés</t>
  </si>
  <si>
    <t>Város-, községgazdálkodási egyéb szolgáltatások</t>
  </si>
  <si>
    <t>Könyvtári állomány gyarapítása, nyilvántartása</t>
  </si>
  <si>
    <t>Közművelődés- hagyományos közösségi kulturális értékek gondozása</t>
  </si>
  <si>
    <t>Nyitnikék Gyerekház</t>
  </si>
  <si>
    <t>Szociális feladatok egyéb támogatása</t>
  </si>
  <si>
    <t>Nyitnikék Gyerekház fejezeti támogatása</t>
  </si>
  <si>
    <t>Elszámolásból származó bevételek</t>
  </si>
  <si>
    <t>Készletértékesítés ellenértéke</t>
  </si>
  <si>
    <t>egyéb részesedések után kapott osztalék</t>
  </si>
  <si>
    <t>fedezeti ügyletek kamatbevételei</t>
  </si>
  <si>
    <t>Biztosító által fizetett kártérítés</t>
  </si>
  <si>
    <t>B411</t>
  </si>
  <si>
    <t>B64</t>
  </si>
  <si>
    <t>B65</t>
  </si>
  <si>
    <t>B74</t>
  </si>
  <si>
    <t>B75</t>
  </si>
  <si>
    <t>B8121</t>
  </si>
  <si>
    <t>Forgatási c. belföldi értékpapírok beváltása, értékesítése</t>
  </si>
  <si>
    <t>B8122</t>
  </si>
  <si>
    <t>Éven belüli lejáratú belföldi értékpapírok kibocsátása</t>
  </si>
  <si>
    <t>B8123</t>
  </si>
  <si>
    <t>Befektetési célú belföldi értékpapírok beváltása, értékesítése</t>
  </si>
  <si>
    <t>B8124</t>
  </si>
  <si>
    <t>Éven túli lejáratú belföldi értékpapírok kibocsátása</t>
  </si>
  <si>
    <t>Lekötött bankbetétek megszüntetése</t>
  </si>
  <si>
    <t>B819</t>
  </si>
  <si>
    <t>Tulajdonosi kölcsönök bevételei</t>
  </si>
  <si>
    <t>B8191</t>
  </si>
  <si>
    <t>Hosszú lejáratú tulajdonosi kölcsönök bevételei</t>
  </si>
  <si>
    <t>B8192</t>
  </si>
  <si>
    <t>Rövid lejáratú tulajdonosi kölcsönök bevételei</t>
  </si>
  <si>
    <t>B84</t>
  </si>
  <si>
    <t>Váltóbevételek</t>
  </si>
  <si>
    <t>szerződés megerősítésével, a szerződésszegéssel kapcsolatos véglegesen járó bevételek, a szerződésen kívüli károkozásért, személyiségi, dologi vagy más jog megsértéséért, jogalap nélküli gazdagodásért kapott összegek</t>
  </si>
  <si>
    <t>nonprofit gazdasági társaságok</t>
  </si>
  <si>
    <t>külföldi szervezetek, személyek</t>
  </si>
  <si>
    <t xml:space="preserve">k, </t>
  </si>
  <si>
    <t>Egyéb műk. c. támogatások EU-nak</t>
  </si>
  <si>
    <t>K513</t>
  </si>
  <si>
    <t>K89</t>
  </si>
  <si>
    <t>Egyéb felhalmozási c. támogatások EU-nak</t>
  </si>
  <si>
    <t>3.1. Készletértékesítés ellenértéke</t>
  </si>
  <si>
    <t>Gyermeklánc Óvoda és Egységes Óvoda-Bölcsőde, Család- és Gyermekjóléti Központ</t>
  </si>
  <si>
    <t>Család- és Gyermekjóléti Központ</t>
  </si>
  <si>
    <t>Gyermeklánc Óvoda és Egységes Óvoda-Bölcsőde, Család- és Gyermekjóléti Központ összesen:</t>
  </si>
  <si>
    <t>II.1 (4)</t>
  </si>
  <si>
    <t>Óvodapedagógusok pótlólagos bértámogatása</t>
  </si>
  <si>
    <t>Pedagógus szakképzettséggel rendelkező, óvodapedagógusok nevelő munkáját közvetlenül segítők pótlólagos bértámogatása</t>
  </si>
  <si>
    <t>Pedagógus szakképzettséggel rendelkező, óvodapedagógusok nevelő munkáját közvetlenül segítők bértámogatása</t>
  </si>
  <si>
    <t>Pedagógus szakképzettséggel nem rendelkező, óvodapedagógusok nevelő munkáját közvetlenül segítők bértámogatása</t>
  </si>
  <si>
    <t xml:space="preserve">III.3.a </t>
  </si>
  <si>
    <t>Család- és gyermekjóléti szolgálat</t>
  </si>
  <si>
    <t>Család- és gyermekjóléti központ</t>
  </si>
  <si>
    <t>III.3.b</t>
  </si>
  <si>
    <t>III.5.c</t>
  </si>
  <si>
    <t>A rászoruló gyermekek intézményen kívüli szünidei étkeztetésének támog.</t>
  </si>
  <si>
    <t xml:space="preserve">Fogyasztási adók </t>
  </si>
  <si>
    <t>jövedéki adó</t>
  </si>
  <si>
    <t>Kamatbevételek és más nyereségjellegű bevételek</t>
  </si>
  <si>
    <t>hitelviszonyt megtest. értékpapírok értékesítési nyeresége</t>
  </si>
  <si>
    <t>Egyéb kapott (járó) kamatok és kamatjellegű bevételek</t>
  </si>
  <si>
    <t>Részesedésekből származó pénzügyi műveletek bevételei</t>
  </si>
  <si>
    <t>Más egyéb pénzügyi műveletek bevételei</t>
  </si>
  <si>
    <t xml:space="preserve">Egyéb pénzügyi műveletek bevételei </t>
  </si>
  <si>
    <t>részesedések értékesítéséhez kapcs. realizált nyereség</t>
  </si>
  <si>
    <t>befektetési jegyek bevételei</t>
  </si>
  <si>
    <t>hitelviszonyt megtest. értékpapírok kibocsátási nyeresége</t>
  </si>
  <si>
    <t>valuta és deviza eszközök realizált árfolyamnyeresége</t>
  </si>
  <si>
    <t>kiadások visszatérítései</t>
  </si>
  <si>
    <t>Hitel-, kölcsönfelvétel pénzügyi vállalkozástól</t>
  </si>
  <si>
    <t>Államháztartáson belüli megelőlegezések (Áht. 78.§ (4) és 83.§(3) bek.)</t>
  </si>
  <si>
    <t>Államháztartáson belüli megelől. törleszt. (Áht. 78.§ (4) és 83.§ (3) bek.)</t>
  </si>
  <si>
    <t>Önkormányzati bérlakások felújítása</t>
  </si>
  <si>
    <t>Gyermeklánc Óvoda és Egységes Óvoda- Bölcsőde, Család- és Gyermekjóléti Központ</t>
  </si>
  <si>
    <t>Gyermeklánc Óvoda és Egységes Óvoda- Bölcsőde, Család- és Gyermekjóléti Központ  összesen:</t>
  </si>
  <si>
    <t>091250</t>
  </si>
  <si>
    <t>Alapfokú művészetoktatással összefüggő működtetési feladatok</t>
  </si>
  <si>
    <t>098022</t>
  </si>
  <si>
    <t>Pedagógiai szakszolgáltató tevékenység működtetési feladatai</t>
  </si>
  <si>
    <t>Vállalk. tev. - Növénytermesztés és kapcsolódó szolgáltatások</t>
  </si>
  <si>
    <t>Művészeti tevékenységek -Jánoshalmi Művésztelep működtetése</t>
  </si>
  <si>
    <t>Művészeti tevékenységek - Jánoshalmi Művésztelep működtetése</t>
  </si>
  <si>
    <t xml:space="preserve">Egyéb szoc. pénzbeli ellátások, támogatások </t>
  </si>
  <si>
    <t>2015. évi  CXXIII. törvény az egészségügyi alapellátásról</t>
  </si>
  <si>
    <t>Eü a. tv.</t>
  </si>
  <si>
    <t>Gyermekvédelmi pénzbeli és természetbeni ell. -(Erzsébet ut., kieg. gyerm.véd. tám. és pótléka)</t>
  </si>
  <si>
    <t>Gyvt. 40/A. §</t>
  </si>
  <si>
    <t xml:space="preserve">Gyvt. tv. 14.§ (3), 18.§ (1a), 20/A.§,20/B.§, </t>
  </si>
  <si>
    <t>Óvodapedagógusok és a munkájukat közvetlen segítők bértámogatása</t>
  </si>
  <si>
    <t>A rászoruló gyermekek intézményen kívüli szünidei étkeztetésének támogatása</t>
  </si>
  <si>
    <t>Tűzoltóság települési támogatása</t>
  </si>
  <si>
    <t xml:space="preserve">- Vezető </t>
  </si>
  <si>
    <t xml:space="preserve">- Óvónő </t>
  </si>
  <si>
    <t>- Pedagógiai asszisztens</t>
  </si>
  <si>
    <t xml:space="preserve">- Óvodai dajka </t>
  </si>
  <si>
    <t>- Óvodatitkár</t>
  </si>
  <si>
    <t>- Technikai dolgozó (udvaros)</t>
  </si>
  <si>
    <t>- Óvónő</t>
  </si>
  <si>
    <t>- Kisgyermeknevelő</t>
  </si>
  <si>
    <t>- Bölcsődei gondozónő dajka</t>
  </si>
  <si>
    <t>- Óvodai dajka</t>
  </si>
  <si>
    <t>- Szakmai vezető</t>
  </si>
  <si>
    <t>- Családsegítő</t>
  </si>
  <si>
    <t>- Esetmenedzser / Tanácsadó</t>
  </si>
  <si>
    <t xml:space="preserve">Nyitnikék Gyerekház </t>
  </si>
  <si>
    <t>- Gyerekház vezető</t>
  </si>
  <si>
    <t>- Polgármester</t>
  </si>
  <si>
    <t>- Főállású alpolgármester</t>
  </si>
  <si>
    <t>Önkormányzati Tűzoltóság</t>
  </si>
  <si>
    <t>összeg  Ft</t>
  </si>
  <si>
    <t>II.3</t>
  </si>
  <si>
    <t>Társulás által fenntartott óvodákba bejáró gyermekek utaztatásának tám.</t>
  </si>
  <si>
    <t xml:space="preserve">II.4 a (1) </t>
  </si>
  <si>
    <t xml:space="preserve">II.4 a (2) </t>
  </si>
  <si>
    <t>Mesterpedagógus kategória (minősítést megszerezték 2015. december 31-ig)</t>
  </si>
  <si>
    <t>Szociális ágazati összevont pótlék</t>
  </si>
  <si>
    <t>A 2016. évről áthúzódó bérkompenzáció támogatása</t>
  </si>
  <si>
    <t>Jánoshalma Városi Önkormányzat 2017. évi költségvetésében tervezett köponti költségvetési támogatások</t>
  </si>
  <si>
    <t>Környezetvédelmi alap a 2017. évre tervezett talajterhelési díj bevételből</t>
  </si>
  <si>
    <t xml:space="preserve">Céltartalék - viziközművek 2017. évi bérleti díj bevételéből (szerződés szerint viziközművek fejlesztésére fordítandó a szolgáltatóval történő egyeztetés alapján) </t>
  </si>
  <si>
    <t>Általános tartalék (működési)</t>
  </si>
  <si>
    <t>- Ápoló</t>
  </si>
  <si>
    <t>Jánoshalma Városi Önkormányzat és költségvetési szervei 2017. évi költségvetésének bevételi előirányzatai</t>
  </si>
  <si>
    <t>adatok Ft-ban</t>
  </si>
  <si>
    <t>Telep. önk-ok szoc.,  gyermekjóléti és gyermekétk. feladatainak tám.</t>
  </si>
  <si>
    <t>termőföld bérbeadásából származó jövedelem adója</t>
  </si>
  <si>
    <t>Egyéb felhalmozási célra átvett pénzeszközök</t>
  </si>
  <si>
    <t>Jánoshalma Városi Önkormányzat és költségvetési szervei 2017. évi költségvetésének kiadási előirányzatai</t>
  </si>
  <si>
    <t>Jánoshalma Városi Önkormányzat  2017. évi költségvetési kiadásai feladatonként</t>
  </si>
  <si>
    <t>013320</t>
  </si>
  <si>
    <t>Köztemető fenntartás és működtetés</t>
  </si>
  <si>
    <t>018020</t>
  </si>
  <si>
    <t>Központi költségvetési befizetések</t>
  </si>
  <si>
    <t>Kerékpárút építése</t>
  </si>
  <si>
    <t>045120</t>
  </si>
  <si>
    <t>Munkaadót terhelő járulékok</t>
  </si>
  <si>
    <t>Óvodai nevelés, ellátás</t>
  </si>
  <si>
    <t>102023</t>
  </si>
  <si>
    <t>102031</t>
  </si>
  <si>
    <t>Időskorúak tartós bentlakásos ellátása (Szoc. Otthon)</t>
  </si>
  <si>
    <t>Idősek nappali ellátása (Idősek Klubja)</t>
  </si>
  <si>
    <t>Hajléktalanok átmeneti ellátása (éjjeli menedékhely)</t>
  </si>
  <si>
    <t>Hajléktalanok nappali ellátása (nappali melegedő)</t>
  </si>
  <si>
    <t>Egyéb szociális pénzbeli és természetbeni ellátások, támog.</t>
  </si>
  <si>
    <t>096015</t>
  </si>
  <si>
    <t>Gyermekétkeztetés köznevelési intézményben</t>
  </si>
  <si>
    <t>104037</t>
  </si>
  <si>
    <t>Intézményen kívüli gyermekétkeztetés</t>
  </si>
  <si>
    <t>Egyéb felhalmozási célú kiadás</t>
  </si>
  <si>
    <t>K5 Egyéb működési célú kiadások</t>
  </si>
  <si>
    <t>Céltartalék Interreg-IPA pályázathoz</t>
  </si>
  <si>
    <t>kiotói egységek és kibocsátási egységek eladásából befolyt eladási ár</t>
  </si>
  <si>
    <t>Egyéb működési célú átvett pénzeszközök</t>
  </si>
  <si>
    <t>Helyi önkormányzatok működésének általános támogatása</t>
  </si>
  <si>
    <t>Működési célú költségvetési támogatás és kiegészítő támogatás</t>
  </si>
  <si>
    <t>Működési c. garancia- és kezesságvállalásból származó megtérülés államháztartáson belülről</t>
  </si>
  <si>
    <t>Működési célú visszatérítendő támogatások, kölcsönök visszatérülése ÁH-on belülről</t>
  </si>
  <si>
    <t>Működési célú visszatérítendő támogatások, kölcsönök igénybevétele ÁH-on belülről</t>
  </si>
  <si>
    <t>Egyéb működési célú támogatások bevételei államháztartáson belülről</t>
  </si>
  <si>
    <t>Települési önkormányzatok egyes köznevelési feladatainak támogatása</t>
  </si>
  <si>
    <t>Települési önkormányzatok kulturális feladatainak támogatása</t>
  </si>
  <si>
    <t>fejezeti kezelésű ei EU-s programok és azok hazai társfinanszírozása</t>
  </si>
  <si>
    <t>nemzetiségi önkormányzatok és költségvetési szerveik</t>
  </si>
  <si>
    <t>térségi fejlesztési tanácsok és költségvetési szerveik</t>
  </si>
  <si>
    <t>Felhalmozási célú önkormányzati támogatások</t>
  </si>
  <si>
    <t>Felhalm. célú garancia- és kezességvállalásból származó megtérülés állháztartáson belülről</t>
  </si>
  <si>
    <t>Felhalm. célú visszatérítendő támogatások, kölcsönök visszatérülése állháztartáson belülről</t>
  </si>
  <si>
    <t>Felhalm. célú visszatérítendő támogatások, kölcsönök igénybevétele állháztartáson belülről</t>
  </si>
  <si>
    <t>Egyéb felhalmozási célú támogatások bevételei államháztartáson belülről</t>
  </si>
  <si>
    <t>Felhalmozási célú támogatások államháztartáson belülről</t>
  </si>
  <si>
    <t>állandó jelleggel végzett iparűzési tevékenység utáni helyi iparűzési adó</t>
  </si>
  <si>
    <t>ideiglenes jelleggel végzett tevékenység utáni helyi iparűzési adó</t>
  </si>
  <si>
    <t>belföldi gépjárművek adójának helyi önkormányzatot megillető része</t>
  </si>
  <si>
    <t>szabálysértési pénz- és helyszíni bírság és a közlekedési szabályszegések után kiszabott közigazgatási bírság önkormányzatot megillető része</t>
  </si>
  <si>
    <t>utak használata ellenében beszedett használati díj, pótdíj, elektr. Útdíj</t>
  </si>
  <si>
    <t>önkormányzati vagyon üzemeltetéséből, koncesszióból származó bevétel</t>
  </si>
  <si>
    <t>önkormányzati vagyon vagyonkezelésbe adásából szárm. bevétel</t>
  </si>
  <si>
    <t>állami többségi tulajdonú vállalkozástól kapott osztalék</t>
  </si>
  <si>
    <t>önkormányzati többségi tulaljdonú vállalkozástól kapott osztalék</t>
  </si>
  <si>
    <t>Befektetett pénzügyi eszközökből származó bevételek</t>
  </si>
  <si>
    <t>hitelviszonyt megtestesítő értékpapírok értékesítési nyeresége</t>
  </si>
  <si>
    <t>Működési célú garancia- és kezességvállalásból származó megtérülés ÁH-on kívülről</t>
  </si>
  <si>
    <t>Működési célú visszatérítendő támogatások, kölcsönök visszatérülése EU-tól</t>
  </si>
  <si>
    <t>Működési célú visszatérítendő támogatások, kölcsönök visszatérülése kormányoktól és más nemzetközi szervezetektől</t>
  </si>
  <si>
    <t>Működési célú visszatérítendő támogatások, kölcsönök visszatérülése ÁH-n kívülről</t>
  </si>
  <si>
    <t>Felhalmozási célú garancia- és kezességvállalásból származó megtérülés ÁH-on kívülről</t>
  </si>
  <si>
    <t>Felhalmozási célú visszatérítendő támogatások, kölcsönök visszatérülése EU-tól</t>
  </si>
  <si>
    <t>Felhalmozási célú visszatérítendő támogatások, kölcsönök visszatérülése kormányoktól és más nemzetközi szervezetektől</t>
  </si>
  <si>
    <t>Felhalmozási célú visszatérítendő támogatások, kölcsönök visszatérülése állházt.-on kívülről</t>
  </si>
  <si>
    <t>Hosszú lejáratú hitelek, kölcsönök felvétele pénzügyi vállalkozástól</t>
  </si>
  <si>
    <t>Likviditási célú hitelek, kölcsönök felvétele pénzügyi vállalkozástól</t>
  </si>
  <si>
    <t>Rövid lejáratú hitelek, kölcsönök felvétele pénzügyi vállalkozástól</t>
  </si>
  <si>
    <t>Fejlesztési célú tartalék - Interreg-IPA pályázat</t>
  </si>
  <si>
    <t>Egyéb felhalmozási célú támogatások állháztartáson kívülre</t>
  </si>
  <si>
    <t>Fejlesztési célú tartalék - viziközművek fejlesztésére</t>
  </si>
  <si>
    <t>Működési célú tartalék - Környezetvédelmi alap</t>
  </si>
  <si>
    <t>Jánoshalma Város Önkormányzat 2017. évi költségvetése működési és felhalmozási célú bontásban</t>
  </si>
  <si>
    <t>VI. Államháztartáson belüli megelőlegezések</t>
  </si>
  <si>
    <t>VI. Államháztartáson belüli megelőlegezések visszafizetése</t>
  </si>
  <si>
    <t>3.2. Egyéb felhalmozási célra átvett pénzeszközök</t>
  </si>
  <si>
    <t>3.1. Felh. c. visszatérít. támog., kölcsönök visszatér. ÁH-on kív.</t>
  </si>
  <si>
    <t>III/a. Előző évek költségvetési maradványának igénybevétele</t>
  </si>
  <si>
    <t>III/b. Előző évek vállakozási maradványának igénybevétele</t>
  </si>
  <si>
    <t>IV. Belföldi értékpapírok bevételei</t>
  </si>
  <si>
    <t>V. Hitel-, kölcsönfelvétel államháztartáson kívülről</t>
  </si>
  <si>
    <t>IV. Értékpapírok vásárlásának kiadása</t>
  </si>
  <si>
    <t>V. Hitelek törlesztése és kötvénykibocsátás kiadásai</t>
  </si>
  <si>
    <t>1.2. Műk. c. visszatérítendő tám., kölcsönök v.térülése ÁH-on bel.</t>
  </si>
  <si>
    <t>5.2. Műk. c. v.térítendő támog.-k, kölcs. nyújt. ÁH-on kívülre</t>
  </si>
  <si>
    <t>2. Munkaadót terhelő járulékok és szociális hozzájárulási adó</t>
  </si>
  <si>
    <t>Jánoshalma Városi Önkormányzat és költségvetési szerveinek 2017. évi költségvetési kiadásai kötelező-, önként vállalt-, és állami (államigazgatási) feladatok szerinti bontásban</t>
  </si>
  <si>
    <t>Óvodai nevelés</t>
  </si>
  <si>
    <t>Időskorúak tartós bentlakásos ellátása</t>
  </si>
  <si>
    <t>Jánoshalma Városi Önkormányzat összesen:</t>
  </si>
  <si>
    <t>Család- és Gyermekjóléti Szolgálat</t>
  </si>
  <si>
    <t>Bölcsődei ellátás</t>
  </si>
  <si>
    <t>Bölcsődei étkeztetés</t>
  </si>
  <si>
    <t>Mötv. 13.§ (1) 9.</t>
  </si>
  <si>
    <t>Ttv. 2.§(2) Mötv. 13.§ (1) 12.</t>
  </si>
  <si>
    <t>Mötv. 13.§ (1) 2.</t>
  </si>
  <si>
    <t>Mötv. 13.§ (1) 11.</t>
  </si>
  <si>
    <t>Mötv. 13.§ (1) 19.</t>
  </si>
  <si>
    <t>Mötv. 13.§ (1) 5., 19.</t>
  </si>
  <si>
    <t>Mötv. 13.§ (1) 2., 11., 9., 12., 5.</t>
  </si>
  <si>
    <t xml:space="preserve">Mötv. 13.§ (1) 4.,  Eü tv. 5.§ (1) </t>
  </si>
  <si>
    <t>Mötv. 13.§ (1) 15.</t>
  </si>
  <si>
    <t>Mötv. 13.§ (1) 7., Közműv. tv. 64.§ (1)</t>
  </si>
  <si>
    <t>Mötv. 13.§ (1) 7</t>
  </si>
  <si>
    <t>Mötv. 13.§ (1) 7., Közműv. tv. 73.§ (2)</t>
  </si>
  <si>
    <t>Szoc. tv. 86.§ (1) d,</t>
  </si>
  <si>
    <t>Mötv. 13.§ (1) 10.</t>
  </si>
  <si>
    <t>Szoc. tv. 86.§ (1) b,</t>
  </si>
  <si>
    <t>Szoc. tv. 86.§ (1) c,</t>
  </si>
  <si>
    <t>Mötv. 13.§ (1)13.</t>
  </si>
  <si>
    <t>Mötv. 13.§ (1) 13.</t>
  </si>
  <si>
    <t>Mötv. 13.§ (1) 6.</t>
  </si>
  <si>
    <t>39</t>
  </si>
  <si>
    <t>40</t>
  </si>
  <si>
    <t>Család- és nővédelmi egészségügyi gondozás (Védőnői Szolg.)</t>
  </si>
  <si>
    <t xml:space="preserve">Fejlesztési célú céltartalék - Interreg - IPA pályázat </t>
  </si>
  <si>
    <t>2017. évi felhalmozási kiadások feladatonként, felújítási kiadások célonként</t>
  </si>
  <si>
    <t>Redőnyfelújítás - Radnóti utcai óvodaépület</t>
  </si>
  <si>
    <t>Egyéb tárgyi eszközök beszerzése (mosógép, Panda vírusírtó) - Jánoshalmi óvoda, Nyitnikék Gyerekház</t>
  </si>
  <si>
    <t>Egyéb tárgyi eszközök beszerzése (hűtőszekrény, CD-s lejátszó) - Kéleshalmi tagóvoda</t>
  </si>
  <si>
    <t>Informatikai és egyéb tárgyi eszközök beszerzése - Család- és Gyermekjóléti Központ</t>
  </si>
  <si>
    <t>Informatikai és egyéb tárgyi eszközök beszerzése - Család- és Gyermekjóléti Szolgálat</t>
  </si>
  <si>
    <t>3.8. Kamatbevételek</t>
  </si>
  <si>
    <t>3.9. Egyéb működési bevételek</t>
  </si>
  <si>
    <t>Gyvt. 21/A § (3)</t>
  </si>
  <si>
    <t xml:space="preserve">Mötv. 13.§ (1) 8a, Szoc. tv.  45.§, 48.§ </t>
  </si>
  <si>
    <t>Gyvt. 21/A.§ (3)</t>
  </si>
  <si>
    <t>Gyvt. 40. §</t>
  </si>
  <si>
    <t>Gyvt. 94. § (3a)</t>
  </si>
  <si>
    <t xml:space="preserve">Gyvt. 38/A § </t>
  </si>
  <si>
    <t>Gyvt. 21/C § (1)</t>
  </si>
  <si>
    <t>Mötv. 13.§ (1) 6., 9.</t>
  </si>
  <si>
    <t>Idősek nappali ellátása</t>
  </si>
  <si>
    <t>Jánoshalma Városi Önkormányzat  és költségvetési szerveinek 2017. évi költségvetési bevételei és  kiadásai kötelező-, önként vállalt-, és állami (államigazgatási) feladatok szerinti bontásban</t>
  </si>
  <si>
    <t>Egységes óvoda-bölcsődei csoport (Petőfi u.) 2017.08.31-ig</t>
  </si>
  <si>
    <t>Kéleshalmi tagóvoda</t>
  </si>
  <si>
    <t>Család- és Gyermekjóléti Szolg.</t>
  </si>
  <si>
    <t>199/2016.(XII.15.) Kt. hat. Jánoshalmi Közétkeztetési Kft alapítása (törzstőke)</t>
  </si>
  <si>
    <t>208/2016.(XII.15.) Kt. hat. Pályázati önerő VP6-7.2.1-7.4.2-16. kódszámú pályázathoz (közutak karbantartásához erő- és munkagépek beszerzése)</t>
  </si>
  <si>
    <t>209/2016.(XII.15.) Kt. hat. Pályázati önerő az "Innovatív vízgazdálkodási tervezés a határmenti régióban" projekthez</t>
  </si>
  <si>
    <t>Háziorvosi Ügyeleti szolgálat - üzenetrögzítős telefon beszerzése</t>
  </si>
  <si>
    <t>Védőnői Szolgálat részére eszközbeszerzések (hűtő, vércukormérő, vörös visszfénylámpa, zsámoly, tornaszőnyeg, csörgő)</t>
  </si>
  <si>
    <t xml:space="preserve">168/2015.(X.08.) Kt. hat. Pályázati önerő - Műfüves labdarúgópálya kialakítása Jánoshalma, Radnóti u. 13. sz. alatti ingatlanon </t>
  </si>
  <si>
    <t>89/2016.(V.26.) Kt. hat. Eszközbeszerzés az óvodafejlesztési projekt keretében pályázati támogatással a Batthyány utcai óvodába (zsírfogó, mosógép, 2 db villanybojler, hűtőszekrény, vízlágyító, mosogatógép állvánnyal, kamerarendszer, székek)</t>
  </si>
  <si>
    <t>Egyéb tárgyi eszköz beszerzések (szünetmentes tápegység, nyomtató, porszívó)</t>
  </si>
  <si>
    <t xml:space="preserve">2 db Notebook vásárlása </t>
  </si>
  <si>
    <t>Tűzoltó laktanya vizesblokkjának felújítása</t>
  </si>
  <si>
    <t>51/2016.(III.24.) Kt. Hat. Jánoshalmi Művésztelep energetikai felújítása, közösségi terek fejlesztése pályázathoz tervezői munkarészek (Sándorfi Tervezőiroda Baja)</t>
  </si>
  <si>
    <t>51/2016.(III.24.) Kt. Hat. Jánoshalmi Művésztelep energetikai felújítása, közösségi terek fejlesztése pályázathoz önerő</t>
  </si>
  <si>
    <t>89/2016.(V.26.) Kt. hat. Batthyány utcai óvodaépület felújítása pályázati támogatással (tetőfelújítás, napelemes rendszer kiépítése, falak, csővezetékek festése, parkettalakkozás, csempeburkolatok javítása)</t>
  </si>
  <si>
    <t>219/2016.(XII.15.) Kt. hat. Szennyvízcsatorna beruházáshoz lehívott hitel elszámolása a Jánoshalmi Viziközmű Társulattal (elszámolási különbözet III. részletének kifizetése)</t>
  </si>
  <si>
    <t>35/2016.(III.24.) Kt. hat. Nyertes pályázat esetén a Gazdakörnek székház felújításához biztosított 1,5 millió Ft támogatás (pályázati önerő) 2017. évben átutalásra kerülő része</t>
  </si>
  <si>
    <t>Jánoshalmi tagóvodák                           (Radnóti u.,Batthyány u.,Petőfi u.)</t>
  </si>
  <si>
    <t>- Szakmai munkatárs</t>
  </si>
  <si>
    <t>- Technikai munkatárs</t>
  </si>
  <si>
    <t>2016. december havi bérkompenzáció</t>
  </si>
  <si>
    <t>RGYVK-hoz kapcs. természetbeni juttatás (Erzsébet utalvány) megtérítése</t>
  </si>
  <si>
    <t>Felhalmozási célú maradvány igénybevétele</t>
  </si>
  <si>
    <t>Ügyeleti szolg. ellenértéke (pl. vérvétel)</t>
  </si>
  <si>
    <t>Készletértékesítés (búza, kukorica stb.)</t>
  </si>
  <si>
    <t>Naperőmű által termelt többlet energia értékesítésének bevétele</t>
  </si>
  <si>
    <t>2016. dec. havi étkeztetési, szállítási tevék. bev.</t>
  </si>
  <si>
    <t>Közvetített szolgáltatások értéke</t>
  </si>
  <si>
    <t>Kamatbevétel</t>
  </si>
  <si>
    <t>Működési célú maradvány igénybevétele</t>
  </si>
  <si>
    <t xml:space="preserve">Ellátási díjak </t>
  </si>
  <si>
    <t>Intézményi gyermekétkeztetési feladatok támogatása (iskolai étkeztetés)</t>
  </si>
  <si>
    <t>Intézményi gyermekétkeztetési feladatok támogatása (óvodai étkeztetés)</t>
  </si>
  <si>
    <t>Lajtha</t>
  </si>
  <si>
    <t>Pelikán</t>
  </si>
  <si>
    <t>Eü. Ágazat</t>
  </si>
  <si>
    <t>Céltartalék - Pályázati önerő az Interreg-IPA Magyarország - Szerbia határon átnyúló együttműködési program 3.2 prioritás keretében benyújtandó pályázathoz (2576,65 euró)</t>
  </si>
  <si>
    <t>Céltartalék - Pályázati önerő az Interreg-IPA Magyarország - Szerbia határon átnyúló együttműködési program 4.1 prioritás keretében benyújtandó pályázathoz (6681,2 euró)</t>
  </si>
  <si>
    <t>Családsegítő- és Gyermekjóléti Szolgálat, Családsegítő- és Gyermekjóléti Központ</t>
  </si>
  <si>
    <t>RK Egyházmegye hozzájárulása a műfüves labdarúgó pálya megvalósításához</t>
  </si>
  <si>
    <t>Pedagógus II. kategória - (teljes összeg, minősítést megszerezték 2015.12.31-ig)</t>
  </si>
  <si>
    <t>Műk. c. visszatérítendő támogatások, kölcsönök nyújtása államháztartáson kívülre</t>
  </si>
  <si>
    <t>Alaptevékenység maradványából képzett tartalék</t>
  </si>
  <si>
    <t>Vállalkozási tevékenység maradványából képzett tartalék</t>
  </si>
  <si>
    <t>5.5. Egyéb elvonások, befizetések</t>
  </si>
  <si>
    <t>1.4. Elvonások és befizetések bevételei</t>
  </si>
  <si>
    <t>018030</t>
  </si>
  <si>
    <t>Támogatási célú finanszírozási műveletek</t>
  </si>
  <si>
    <t>Egyéb műk. c. tám. ÁH-on belülre</t>
  </si>
  <si>
    <t>Alaptev. maradv.-ból képzett tart.</t>
  </si>
  <si>
    <t>Vállalk. tev. maradványából képzett tart.</t>
  </si>
  <si>
    <t>Önk-ok elszámolásai a központi költségvetéssel</t>
  </si>
  <si>
    <t>018010</t>
  </si>
  <si>
    <t>049010</t>
  </si>
  <si>
    <t>Máshova nem sorolt gazdasági ügyek</t>
  </si>
  <si>
    <t>041232</t>
  </si>
  <si>
    <t>Start-munka program - Téli közfoglalkoztatás</t>
  </si>
  <si>
    <t>041233</t>
  </si>
  <si>
    <t>Hosszabb időtartamú közfoglalkoztatás</t>
  </si>
  <si>
    <t>Start- munka program - Téli közfoglalkoztatás</t>
  </si>
  <si>
    <t>41</t>
  </si>
  <si>
    <t>42</t>
  </si>
  <si>
    <t>43</t>
  </si>
  <si>
    <t>44</t>
  </si>
  <si>
    <t>45</t>
  </si>
  <si>
    <t>21. Egészségügyi ellátás</t>
  </si>
  <si>
    <t>25. Latha Kft f.ellát. támog.</t>
  </si>
  <si>
    <t>30. Pelikán Kft. feladatell. tám.</t>
  </si>
  <si>
    <t>ASP rendszerhez történő csatlakozás műköödési célú támogatása</t>
  </si>
  <si>
    <t>ASP rendszerhez történő csatlakozás felhalmozási célú támogatása</t>
  </si>
  <si>
    <t xml:space="preserve">2016. évi szabad maradvány elvonása </t>
  </si>
  <si>
    <t>2017. évi bérkompenzáció</t>
  </si>
  <si>
    <t>I. Szent István király szobor elkészítésére vissza nem térítendő támogatás</t>
  </si>
  <si>
    <t>Kéményseprő-ipari közszolgáltatás támogatása</t>
  </si>
  <si>
    <t>Hosszabb időtartamú közfogl. működési c. tám.</t>
  </si>
  <si>
    <t>Hosszabb időtartamú közfogl. felhalm. c. tám.</t>
  </si>
  <si>
    <t>Startmunka programok működési c. támogatás</t>
  </si>
  <si>
    <t>Startmunka programok felhalm. c. támogatás</t>
  </si>
  <si>
    <t>Kéleshalom önkormányzat támogatása óvodai ellátáshoz</t>
  </si>
  <si>
    <t>Egyéb működési bev.- áramdíj túlfizetés visszatérítése</t>
  </si>
  <si>
    <t>Készletértékesítés (homokbánya, konyhai készlet)</t>
  </si>
  <si>
    <t>Egyéb működési bev.- konyhai gépjármű biztosítási díj visszatérítése</t>
  </si>
  <si>
    <t>Polgármesteri béremelés különbözetének támogatása</t>
  </si>
  <si>
    <t>2016. évi maradvány igénybevétel</t>
  </si>
  <si>
    <t>Startmunka mintaprogram - Bio- és megújuló energia felhasználás programelem (2017. 03.16-tól)</t>
  </si>
  <si>
    <t>Startmunka mintaprogram - Belterületi utak karbantartása programelem (2017. 03.16-tól)</t>
  </si>
  <si>
    <t>Startmunka mintaprogram - Belvízelvezetés programelem (2017. 03.16-tól)</t>
  </si>
  <si>
    <t>Hosszabb időtartamú közfoglalkoztatás- összesen 87 fő változó időtartamban (Mg. paprika termesztés + képzések)</t>
  </si>
  <si>
    <t>28/2017.(III.02.) Kt. hat. ASP rendszerhez történő csatlakozás - eszközbeszerzések</t>
  </si>
  <si>
    <t>38/20147.(III.23.) Kt. hat. EFOP-4.1.8-16 kódszámú "A könyvtári intézményrendszer tanulást segítő infrastrukturális fejlesztései" pályázat - előkészítési költségeinek támogatása</t>
  </si>
  <si>
    <t>72/2017.(IV.20) Kt. hat. Belterületi utak, járdák, hidak felújítása pályázat - járdafelújítás pályázati önerő</t>
  </si>
  <si>
    <t>112/2017.(V.25.) Kt. hat. Településképi Arculati Kézikönyv elkészítése</t>
  </si>
  <si>
    <t>210/2016.(XII.15.) Kt. hat. "I. Szent István szobor elkészítése és felállítása Jánoshalma főterén"                          (pályázati önerő és vissza nem térítendő támogatás)</t>
  </si>
  <si>
    <t>Hosszabb időtartamú közfoglalkoztatás eszközbeszerzései</t>
  </si>
  <si>
    <t>Startmunka mintaprogramok eszközbeszerzései</t>
  </si>
  <si>
    <t>200/2016.(XII.15.) Kt. hat. Kiskunhalas - Jánoshalma - Mélykút kerékpárút Jánoshalma közigazgatási területét érintő szakaszának tervezési munkái (VIA Futura Mérnöki Tanácsadó és Szolgáltató Kft)  és közbeszerzési eljárás költsége</t>
  </si>
  <si>
    <t>Tűzoltóság eszközbeszerzése (1 db habbekeverő)</t>
  </si>
  <si>
    <t xml:space="preserve">Fejlesztési célú tartalék - viziközművek előző évek és 2017. évi bérleti díj bevételéből (szerződés szerint viziközművek fejlesztésére fordítandó a szolgáltatóval történő egyeztetés alapján) </t>
  </si>
  <si>
    <t>Általános tartalék képzése</t>
  </si>
  <si>
    <t>43/2017. (III.23) Kt. hat. Jánoshalma- Mélykút Ivóvízminőség-javító Társulás támogatása</t>
  </si>
  <si>
    <t>45/2017. (III.23) Kt. hat. Érdekeltségi hozzájárulás adók módjára történő behajtásának költségei</t>
  </si>
  <si>
    <t>2016. évi alaptevékenység maradványából tartalék képzés</t>
  </si>
  <si>
    <t>2016. évi vállalkozási tevékenység maradványából tartalék képzés</t>
  </si>
  <si>
    <t>2016. évi maradványt terhelő kötelezettségek</t>
  </si>
  <si>
    <t>Céltartalék - viziközművek bérleti díj bevétel maradványa előző évekről</t>
  </si>
  <si>
    <t>Viziközművek céltartaléka összesen:</t>
  </si>
  <si>
    <t>Önkormányzati intézmények elvont 2016. évi szabad kv-i  maradványának tartalékba helyezése</t>
  </si>
  <si>
    <t>Kéleshalom önkormányzatának hozzájárulása az óvoda működtetési költségeihez</t>
  </si>
  <si>
    <t>Építményüzemeltetés (Béke tér 11.) előző évről áthúzódó kiadásai</t>
  </si>
  <si>
    <t>A 2015. évi állami támogatások elszámolásának felülvizsgálata alapján visszafizetendő összeg</t>
  </si>
  <si>
    <t>Kerékpárút építés - közbeszerzési eljárás költsége</t>
  </si>
  <si>
    <t>Vis maior tartalék képzése</t>
  </si>
  <si>
    <t>56/2017. (III.23) Kt. hat. Közfoglalkoztatási Nonprofit Kft. fennálló tartozásainak rendezése</t>
  </si>
  <si>
    <t>Környezetvédelmi alap (előző évek maradványa)</t>
  </si>
  <si>
    <t>Céltartalék - pályázati önerő összesen:</t>
  </si>
  <si>
    <t>Kéményseprő-ipari közszolgáltatás helyi önkormányzat általi ellátásának támogatása</t>
  </si>
  <si>
    <t>2.</t>
  </si>
  <si>
    <t>3. melléklet jogcímei mindösszesen:</t>
  </si>
  <si>
    <t>évenkénti üteme</t>
  </si>
  <si>
    <t>Saját erő</t>
  </si>
  <si>
    <t>EU-s forrás</t>
  </si>
  <si>
    <t>Források összesen</t>
  </si>
  <si>
    <t>Beruházási kiadások (elszámolható)</t>
  </si>
  <si>
    <t>Dologi kiadások (elszámolható)</t>
  </si>
  <si>
    <t>2017. költségvetésben tervezett, EU-forrásból finanszírozott  támogatással megvalósuló projektek kiadásai, a helyi önkormányzat ilyen projektekhez történő hozzájárulásai</t>
  </si>
  <si>
    <t>Jánoshalma Városi Önkormányzat ASP központhoz való csatlakozása (KÖFOP-1.2.1-VEKOP-16-2017-00938)</t>
  </si>
  <si>
    <t xml:space="preserve">Támogatási szerződés szerinti bevételek, kiadások  (Ft)     </t>
  </si>
  <si>
    <t xml:space="preserve">2017. évi költségvetésben tervezett bevételi előirányzatok (Ft)    </t>
  </si>
  <si>
    <t xml:space="preserve">2017. évi költségvetésben tervezett kiadási előirányzatok (Ft)    </t>
  </si>
  <si>
    <t xml:space="preserve">Rendszeres gyermekvédelmi kedvezményhez kapcsolódó természetbeni juttatás </t>
  </si>
  <si>
    <t xml:space="preserve">Kiegészítő gyermekvédelmi támogatás és a kieg. gyermekvédelmi támogatás pótléka </t>
  </si>
  <si>
    <t xml:space="preserve">Köztemetés </t>
  </si>
  <si>
    <t xml:space="preserve">Települési támogatás </t>
  </si>
  <si>
    <t xml:space="preserve">Egyéb működési bevételek </t>
  </si>
  <si>
    <t>a Magyarország 2017. évi központi költségvetéséről szóló 2016. évi XC. törvény 2. és 3. sz. mellékletének jogcímei szerint</t>
  </si>
  <si>
    <t>B. Költségvetési bevételek (I.+II.)</t>
  </si>
  <si>
    <t>A. Költségvetési kiadások (I.+II.)</t>
  </si>
  <si>
    <t>C. Költségvetési hiány belső finanszírozására szolgáló pénzforgalom nélküli bevételek (III/a+III/b)</t>
  </si>
  <si>
    <t>E. Finanszírozási kiadások (IV.+V.+VI.)</t>
  </si>
  <si>
    <t>D. Költségvetési hiány belső finanszírozását meghaladó összegének külső finanszírozására szolgáló bevételek (IV.+V.+VI.)</t>
  </si>
  <si>
    <t>5.1. Egyéb műk. célú támogatások államháztartáson belülre</t>
  </si>
  <si>
    <t>Hosszabb időtartamú közfoglalk. (Roma védőháló)</t>
  </si>
  <si>
    <t>Hosszabb időtartamú közfoglalkoztatás (Mg-i közfoglalkoztatás)</t>
  </si>
  <si>
    <t>Hosszabb időtartamú közfoglalk. (Intézményes)</t>
  </si>
  <si>
    <t>1. melléklet a 11/2017.(VI.23.) önkormányzati rendelethez</t>
  </si>
  <si>
    <t>2. melléklet a 11/2017.(VI.23.) önkormányzati rendelethez</t>
  </si>
  <si>
    <t>3. melléklet a 11/2017.(VI.23.) önkormányzati rendelethez</t>
  </si>
  <si>
    <t>4. melléklet a 11/2017.(VI.23.) önkormányzati rendelethez</t>
  </si>
  <si>
    <t>5. melléklet a 11/2017.(VI.23.) önkormányzati rendelethez</t>
  </si>
  <si>
    <t>6. melléklet a 11/2017.(VI.23.) önkormányzati rendelethez</t>
  </si>
  <si>
    <t>7. melléklet a 11/2017. (VI.23.) önkormányzati rendelethez</t>
  </si>
  <si>
    <t>8. melléklet a 11/2017.(VI.23.) önkormányzati rendelethez</t>
  </si>
  <si>
    <t>9. melléklet a 11/2017.(VI.23.) önkormányzati rendelethez</t>
  </si>
  <si>
    <t>10. melléklet a 11/2017. (VI.23.) önkormányzati rendelethez</t>
  </si>
  <si>
    <t>11. melléklet a 11/2017. (VI.23.) önkormányzati rendelethez</t>
  </si>
  <si>
    <t>12. melléklet a 11/2017. (VI.23.) önkormányzati rendelethez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</si>
</sst>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0.0"/>
    <numFmt numFmtId="166" formatCode="#,##0.0\ &quot;Ft&quot;"/>
    <numFmt numFmtId="167" formatCode="#,##0.0\ _F_t"/>
    <numFmt numFmtId="168" formatCode="#,##0\ _F_t"/>
    <numFmt numFmtId="169" formatCode="#,##0.0"/>
    <numFmt numFmtId="170" formatCode="yyyy/\ mmmm\ d\."/>
    <numFmt numFmtId="171" formatCode="mmm/yyyy"/>
    <numFmt numFmtId="172" formatCode="[$-40E]yyyy\.\ mmmm\ d\."/>
    <numFmt numFmtId="173" formatCode="&quot;H-&quot;0000"/>
    <numFmt numFmtId="174" formatCode="0.0000"/>
    <numFmt numFmtId="175" formatCode="#,##0.0000"/>
    <numFmt numFmtId="176" formatCode="#,##0.00000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#,##0.00\ [$CHF]"/>
    <numFmt numFmtId="181" formatCode="#,##0.00\ &quot;Ft&quot;"/>
    <numFmt numFmtId="182" formatCode="#,##0_ ;\-#,##0\ "/>
    <numFmt numFmtId="183" formatCode="_-* #,##0.000\ _F_t_-;\-* #,##0.000\ _F_t_-;_-* &quot;-&quot;??\ _F_t_-;_-@_-"/>
    <numFmt numFmtId="184" formatCode="_-* #,##0.0\ _F_t_-;\-* #,##0.0\ _F_t_-;_-* &quot;-&quot;??\ _F_t_-;_-@_-"/>
    <numFmt numFmtId="185" formatCode="_-* #,##0\ _F_t_-;\-* #,##0\ _F_t_-;_-* &quot;-&quot;??\ _F_t_-;_-@_-"/>
    <numFmt numFmtId="186" formatCode="[$€-2]\ #\ ##,000_);[Red]\([$€-2]\ #\ ##,000\)"/>
    <numFmt numFmtId="187" formatCode="#,##0\ [$CHF]"/>
    <numFmt numFmtId="188" formatCode="0.0000000%"/>
    <numFmt numFmtId="189" formatCode="0.000000%"/>
    <numFmt numFmtId="190" formatCode="[$¥€-2]\ #\ ##,000_);[Red]\([$€-2]\ #\ ##,000\)"/>
  </numFmts>
  <fonts count="109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10"/>
      <name val="Times New Roman CE"/>
      <family val="1"/>
    </font>
    <font>
      <sz val="8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i/>
      <sz val="11"/>
      <name val="Times New Roman CE"/>
      <family val="1"/>
    </font>
    <font>
      <u val="single"/>
      <sz val="11"/>
      <color indexed="12"/>
      <name val="Arial CE"/>
      <family val="0"/>
    </font>
    <font>
      <u val="single"/>
      <sz val="11"/>
      <color indexed="36"/>
      <name val="Arial CE"/>
      <family val="0"/>
    </font>
    <font>
      <b/>
      <sz val="12"/>
      <name val="Arial CE"/>
      <family val="2"/>
    </font>
    <font>
      <b/>
      <sz val="9"/>
      <name val="Times New Roman CE"/>
      <family val="1"/>
    </font>
    <font>
      <sz val="9"/>
      <name val="Arial CE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color indexed="10"/>
      <name val="Times New Roman CE"/>
      <family val="1"/>
    </font>
    <font>
      <b/>
      <sz val="11"/>
      <color indexed="60"/>
      <name val="Times New Roman"/>
      <family val="1"/>
    </font>
    <font>
      <b/>
      <i/>
      <sz val="11"/>
      <color indexed="60"/>
      <name val="Times New Roman"/>
      <family val="1"/>
    </font>
    <font>
      <b/>
      <sz val="12"/>
      <color indexed="60"/>
      <name val="Times New Roman"/>
      <family val="1"/>
    </font>
    <font>
      <sz val="11"/>
      <color indexed="60"/>
      <name val="Times New Roman"/>
      <family val="1"/>
    </font>
    <font>
      <b/>
      <sz val="10"/>
      <color indexed="56"/>
      <name val="Times New Roman"/>
      <family val="1"/>
    </font>
    <font>
      <b/>
      <i/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b/>
      <sz val="10"/>
      <color indexed="60"/>
      <name val="Times New Roman"/>
      <family val="1"/>
    </font>
    <font>
      <b/>
      <sz val="9"/>
      <name val="Arial"/>
      <family val="2"/>
    </font>
    <font>
      <sz val="8"/>
      <name val="Arial CE"/>
      <family val="0"/>
    </font>
    <font>
      <b/>
      <sz val="13"/>
      <name val="Arial CE"/>
      <family val="2"/>
    </font>
    <font>
      <sz val="11"/>
      <name val="Arial CE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color indexed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0"/>
      <color indexed="30"/>
      <name val="Times New Roman"/>
      <family val="1"/>
    </font>
    <font>
      <sz val="10"/>
      <color indexed="30"/>
      <name val="Times New Roman"/>
      <family val="1"/>
    </font>
    <font>
      <sz val="8"/>
      <color indexed="30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b/>
      <i/>
      <sz val="7"/>
      <name val="Times New Roman"/>
      <family val="1"/>
    </font>
    <font>
      <i/>
      <sz val="9"/>
      <name val="Times New Roman"/>
      <family val="1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12"/>
      <name val="Times New Roman"/>
      <family val="1"/>
    </font>
    <font>
      <i/>
      <sz val="10"/>
      <color indexed="62"/>
      <name val="Times New Roman"/>
      <family val="1"/>
    </font>
    <font>
      <sz val="10"/>
      <color indexed="62"/>
      <name val="Times New Roman"/>
      <family val="1"/>
    </font>
    <font>
      <b/>
      <i/>
      <sz val="14"/>
      <name val="Times New Roman"/>
      <family val="1"/>
    </font>
    <font>
      <b/>
      <sz val="12"/>
      <name val="Times New Roman CE"/>
      <family val="1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0"/>
      <name val="Arial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Arial"/>
      <family val="2"/>
    </font>
    <font>
      <sz val="11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 style="thick"/>
      <right>
        <color indexed="63"/>
      </right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ck"/>
      <top style="medium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n"/>
      <right style="thick"/>
      <top style="thick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ck"/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medium"/>
      <top>
        <color indexed="63"/>
      </top>
      <bottom style="thick"/>
    </border>
    <border>
      <left style="thick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medium"/>
      <right style="medium"/>
      <top style="thin"/>
      <bottom style="thick"/>
    </border>
    <border>
      <left/>
      <right style="medium"/>
      <top style="thin"/>
      <bottom style="thick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thick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n"/>
      <top>
        <color indexed="63"/>
      </top>
      <bottom style="thick"/>
    </border>
    <border>
      <left/>
      <right style="medium"/>
      <top style="thick"/>
      <bottom style="medium"/>
    </border>
    <border>
      <left/>
      <right style="medium"/>
      <top style="medium"/>
      <bottom style="thin"/>
    </border>
    <border>
      <left style="thin"/>
      <right>
        <color indexed="63"/>
      </right>
      <top style="medium"/>
      <bottom style="thick"/>
    </border>
    <border>
      <left/>
      <right style="medium"/>
      <top style="thick"/>
      <bottom style="thick"/>
    </border>
    <border>
      <left style="medium"/>
      <right/>
      <top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14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2" fillId="25" borderId="1" applyNumberFormat="0" applyAlignment="0" applyProtection="0"/>
    <xf numFmtId="0" fontId="93" fillId="0" borderId="0" applyNumberFormat="0" applyFill="0" applyBorder="0" applyAlignment="0" applyProtection="0"/>
    <xf numFmtId="0" fontId="94" fillId="0" borderId="2" applyNumberFormat="0" applyFill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6" fillId="0" borderId="0" applyNumberFormat="0" applyFill="0" applyBorder="0" applyAlignment="0" applyProtection="0"/>
    <xf numFmtId="0" fontId="97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9" fillId="0" borderId="6" applyNumberFormat="0" applyFill="0" applyAlignment="0" applyProtection="0"/>
    <xf numFmtId="0" fontId="0" fillId="27" borderId="7" applyNumberFormat="0" applyFont="0" applyAlignment="0" applyProtection="0"/>
    <xf numFmtId="0" fontId="100" fillId="28" borderId="0" applyNumberFormat="0" applyBorder="0" applyAlignment="0" applyProtection="0"/>
    <xf numFmtId="0" fontId="101" fillId="29" borderId="8" applyNumberFormat="0" applyAlignment="0" applyProtection="0"/>
    <xf numFmtId="0" fontId="10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0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4" fillId="30" borderId="0" applyNumberFormat="0" applyBorder="0" applyAlignment="0" applyProtection="0"/>
    <xf numFmtId="0" fontId="105" fillId="31" borderId="0" applyNumberFormat="0" applyBorder="0" applyAlignment="0" applyProtection="0"/>
    <xf numFmtId="0" fontId="106" fillId="29" borderId="1" applyNumberFormat="0" applyAlignment="0" applyProtection="0"/>
    <xf numFmtId="9" fontId="0" fillId="0" borderId="0" applyFont="0" applyFill="0" applyBorder="0" applyAlignment="0" applyProtection="0"/>
  </cellStyleXfs>
  <cellXfs count="1156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left" vertical="center"/>
    </xf>
    <xf numFmtId="3" fontId="8" fillId="0" borderId="12" xfId="0" applyNumberFormat="1" applyFont="1" applyFill="1" applyBorder="1" applyAlignment="1">
      <alignment horizontal="left" vertical="center"/>
    </xf>
    <xf numFmtId="3" fontId="7" fillId="0" borderId="13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11" fillId="0" borderId="0" xfId="61" applyFont="1">
      <alignment/>
      <protection/>
    </xf>
    <xf numFmtId="0" fontId="11" fillId="0" borderId="0" xfId="61" applyFont="1" applyAlignment="1">
      <alignment horizontal="center"/>
      <protection/>
    </xf>
    <xf numFmtId="0" fontId="1" fillId="0" borderId="14" xfId="61" applyFont="1" applyBorder="1" applyAlignment="1">
      <alignment horizontal="center" vertical="center"/>
      <protection/>
    </xf>
    <xf numFmtId="0" fontId="1" fillId="0" borderId="21" xfId="61" applyFont="1" applyBorder="1" applyAlignment="1">
      <alignment horizontal="center" vertical="center" wrapText="1"/>
      <protection/>
    </xf>
    <xf numFmtId="0" fontId="1" fillId="0" borderId="17" xfId="61" applyFont="1" applyBorder="1" applyAlignment="1">
      <alignment horizontal="center" vertical="center" wrapText="1"/>
      <protection/>
    </xf>
    <xf numFmtId="0" fontId="1" fillId="0" borderId="22" xfId="61" applyFont="1" applyBorder="1" applyAlignment="1">
      <alignment horizontal="center" vertical="center" wrapText="1"/>
      <protection/>
    </xf>
    <xf numFmtId="0" fontId="1" fillId="0" borderId="23" xfId="61" applyFont="1" applyBorder="1" applyAlignment="1">
      <alignment horizontal="center" vertical="center" wrapText="1"/>
      <protection/>
    </xf>
    <xf numFmtId="0" fontId="1" fillId="0" borderId="0" xfId="61" applyFont="1" applyAlignment="1">
      <alignment horizontal="center" vertical="center"/>
      <protection/>
    </xf>
    <xf numFmtId="49" fontId="14" fillId="0" borderId="22" xfId="61" applyNumberFormat="1" applyBorder="1" applyAlignment="1">
      <alignment vertical="center"/>
      <protection/>
    </xf>
    <xf numFmtId="3" fontId="14" fillId="0" borderId="0" xfId="61" applyNumberFormat="1">
      <alignment/>
      <protection/>
    </xf>
    <xf numFmtId="0" fontId="14" fillId="0" borderId="0" xfId="61">
      <alignment/>
      <protection/>
    </xf>
    <xf numFmtId="3" fontId="2" fillId="0" borderId="0" xfId="61" applyNumberFormat="1" applyFont="1">
      <alignment/>
      <protection/>
    </xf>
    <xf numFmtId="3" fontId="1" fillId="0" borderId="0" xfId="61" applyNumberFormat="1" applyFont="1">
      <alignment/>
      <protection/>
    </xf>
    <xf numFmtId="0" fontId="2" fillId="0" borderId="0" xfId="61" applyFont="1">
      <alignment/>
      <protection/>
    </xf>
    <xf numFmtId="49" fontId="14" fillId="0" borderId="0" xfId="61" applyNumberFormat="1">
      <alignment/>
      <protection/>
    </xf>
    <xf numFmtId="0" fontId="29" fillId="0" borderId="0" xfId="0" applyFont="1" applyFill="1" applyAlignment="1">
      <alignment vertical="center"/>
    </xf>
    <xf numFmtId="0" fontId="17" fillId="0" borderId="0" xfId="57" applyFont="1">
      <alignment/>
      <protection/>
    </xf>
    <xf numFmtId="0" fontId="16" fillId="0" borderId="0" xfId="57" applyFont="1" applyAlignment="1">
      <alignment vertical="center"/>
      <protection/>
    </xf>
    <xf numFmtId="0" fontId="18" fillId="0" borderId="22" xfId="57" applyFont="1" applyBorder="1" applyAlignment="1">
      <alignment horizontal="center" vertical="center" wrapText="1"/>
      <protection/>
    </xf>
    <xf numFmtId="0" fontId="20" fillId="0" borderId="22" xfId="57" applyFont="1" applyBorder="1" applyAlignment="1">
      <alignment horizontal="center" vertical="center" wrapText="1"/>
      <protection/>
    </xf>
    <xf numFmtId="0" fontId="20" fillId="0" borderId="0" xfId="57" applyFont="1" applyAlignment="1">
      <alignment horizontal="center" vertical="center" wrapText="1"/>
      <protection/>
    </xf>
    <xf numFmtId="0" fontId="20" fillId="0" borderId="0" xfId="57" applyFont="1">
      <alignment/>
      <protection/>
    </xf>
    <xf numFmtId="0" fontId="19" fillId="0" borderId="22" xfId="57" applyFont="1" applyBorder="1">
      <alignment/>
      <protection/>
    </xf>
    <xf numFmtId="0" fontId="19" fillId="0" borderId="0" xfId="57" applyFont="1">
      <alignment/>
      <protection/>
    </xf>
    <xf numFmtId="0" fontId="23" fillId="0" borderId="0" xfId="57" applyFont="1">
      <alignment/>
      <protection/>
    </xf>
    <xf numFmtId="0" fontId="24" fillId="0" borderId="0" xfId="57" applyFont="1">
      <alignment/>
      <protection/>
    </xf>
    <xf numFmtId="0" fontId="23" fillId="0" borderId="22" xfId="57" applyFont="1" applyBorder="1">
      <alignment/>
      <protection/>
    </xf>
    <xf numFmtId="0" fontId="25" fillId="0" borderId="0" xfId="57" applyFont="1">
      <alignment/>
      <protection/>
    </xf>
    <xf numFmtId="0" fontId="19" fillId="0" borderId="0" xfId="57" applyFont="1" applyBorder="1">
      <alignment/>
      <protection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23" fillId="0" borderId="22" xfId="57" applyFont="1" applyBorder="1" applyAlignment="1">
      <alignment horizontal="left" vertical="center" indent="2"/>
      <protection/>
    </xf>
    <xf numFmtId="16" fontId="23" fillId="0" borderId="22" xfId="57" applyNumberFormat="1" applyFont="1" applyBorder="1" applyAlignment="1">
      <alignment horizontal="left" vertical="center" indent="2"/>
      <protection/>
    </xf>
    <xf numFmtId="0" fontId="23" fillId="0" borderId="22" xfId="57" applyFont="1" applyBorder="1" applyAlignment="1">
      <alignment horizontal="left" indent="2"/>
      <protection/>
    </xf>
    <xf numFmtId="3" fontId="20" fillId="0" borderId="22" xfId="48" applyNumberFormat="1" applyFont="1" applyBorder="1" applyAlignment="1">
      <alignment horizontal="right"/>
    </xf>
    <xf numFmtId="3" fontId="19" fillId="0" borderId="22" xfId="48" applyNumberFormat="1" applyFont="1" applyBorder="1" applyAlignment="1">
      <alignment horizontal="right"/>
    </xf>
    <xf numFmtId="3" fontId="23" fillId="0" borderId="22" xfId="48" applyNumberFormat="1" applyFont="1" applyBorder="1" applyAlignment="1">
      <alignment horizontal="right"/>
    </xf>
    <xf numFmtId="0" fontId="30" fillId="0" borderId="22" xfId="57" applyFont="1" applyBorder="1" applyAlignment="1">
      <alignment horizontal="left" vertical="center" wrapText="1"/>
      <protection/>
    </xf>
    <xf numFmtId="0" fontId="30" fillId="0" borderId="0" xfId="57" applyFont="1" applyAlignment="1">
      <alignment horizontal="center" vertical="center" wrapText="1"/>
      <protection/>
    </xf>
    <xf numFmtId="3" fontId="30" fillId="0" borderId="22" xfId="48" applyNumberFormat="1" applyFont="1" applyBorder="1" applyAlignment="1">
      <alignment horizontal="right"/>
    </xf>
    <xf numFmtId="0" fontId="30" fillId="0" borderId="22" xfId="57" applyFont="1" applyBorder="1">
      <alignment/>
      <protection/>
    </xf>
    <xf numFmtId="0" fontId="31" fillId="0" borderId="0" xfId="57" applyFont="1">
      <alignment/>
      <protection/>
    </xf>
    <xf numFmtId="0" fontId="32" fillId="0" borderId="22" xfId="57" applyFont="1" applyBorder="1" applyAlignment="1">
      <alignment horizontal="right"/>
      <protection/>
    </xf>
    <xf numFmtId="0" fontId="33" fillId="0" borderId="0" xfId="57" applyFont="1">
      <alignment/>
      <protection/>
    </xf>
    <xf numFmtId="0" fontId="34" fillId="0" borderId="22" xfId="57" applyFont="1" applyBorder="1" applyAlignment="1">
      <alignment vertical="center"/>
      <protection/>
    </xf>
    <xf numFmtId="3" fontId="34" fillId="0" borderId="22" xfId="48" applyNumberFormat="1" applyFont="1" applyBorder="1" applyAlignment="1">
      <alignment horizontal="right"/>
    </xf>
    <xf numFmtId="0" fontId="34" fillId="0" borderId="22" xfId="57" applyFont="1" applyBorder="1">
      <alignment/>
      <protection/>
    </xf>
    <xf numFmtId="0" fontId="34" fillId="0" borderId="0" xfId="57" applyFont="1">
      <alignment/>
      <protection/>
    </xf>
    <xf numFmtId="0" fontId="34" fillId="0" borderId="22" xfId="57" applyFont="1" applyBorder="1" applyAlignment="1">
      <alignment vertical="center" wrapText="1"/>
      <protection/>
    </xf>
    <xf numFmtId="0" fontId="34" fillId="0" borderId="22" xfId="57" applyFont="1" applyBorder="1" applyAlignment="1">
      <alignment horizontal="left" vertical="center"/>
      <protection/>
    </xf>
    <xf numFmtId="0" fontId="35" fillId="0" borderId="0" xfId="57" applyFont="1">
      <alignment/>
      <protection/>
    </xf>
    <xf numFmtId="0" fontId="34" fillId="0" borderId="22" xfId="57" applyFont="1" applyBorder="1" applyAlignment="1">
      <alignment horizontal="left" vertical="center" wrapText="1"/>
      <protection/>
    </xf>
    <xf numFmtId="0" fontId="36" fillId="0" borderId="0" xfId="57" applyFont="1">
      <alignment/>
      <protection/>
    </xf>
    <xf numFmtId="0" fontId="20" fillId="0" borderId="22" xfId="57" applyFont="1" applyBorder="1" applyAlignment="1">
      <alignment horizontal="left" vertical="center" indent="1"/>
      <protection/>
    </xf>
    <xf numFmtId="0" fontId="20" fillId="0" borderId="22" xfId="57" applyFont="1" applyBorder="1" applyAlignment="1">
      <alignment horizontal="left" indent="1"/>
      <protection/>
    </xf>
    <xf numFmtId="3" fontId="37" fillId="0" borderId="22" xfId="57" applyNumberFormat="1" applyFont="1" applyBorder="1" applyAlignment="1">
      <alignment horizontal="right" vertical="center"/>
      <protection/>
    </xf>
    <xf numFmtId="3" fontId="37" fillId="0" borderId="22" xfId="48" applyNumberFormat="1" applyFont="1" applyBorder="1" applyAlignment="1">
      <alignment horizontal="right"/>
    </xf>
    <xf numFmtId="0" fontId="20" fillId="0" borderId="22" xfId="57" applyFont="1" applyBorder="1" applyAlignment="1">
      <alignment horizontal="left" vertical="top" indent="1"/>
      <protection/>
    </xf>
    <xf numFmtId="0" fontId="22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Fill="1" applyAlignment="1">
      <alignment horizontal="center" vertical="center"/>
    </xf>
    <xf numFmtId="0" fontId="12" fillId="0" borderId="2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/>
    </xf>
    <xf numFmtId="0" fontId="17" fillId="0" borderId="22" xfId="0" applyFont="1" applyBorder="1" applyAlignment="1">
      <alignment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7" fillId="0" borderId="22" xfId="0" applyFont="1" applyBorder="1" applyAlignment="1">
      <alignment horizontal="right" vertical="center"/>
    </xf>
    <xf numFmtId="3" fontId="17" fillId="0" borderId="22" xfId="0" applyNumberFormat="1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18" fillId="0" borderId="17" xfId="0" applyFont="1" applyBorder="1" applyAlignment="1">
      <alignment vertical="center"/>
    </xf>
    <xf numFmtId="0" fontId="21" fillId="0" borderId="22" xfId="57" applyFont="1" applyBorder="1" applyAlignment="1">
      <alignment horizontal="center" vertical="center" wrapText="1"/>
      <protection/>
    </xf>
    <xf numFmtId="0" fontId="21" fillId="0" borderId="0" xfId="57" applyFont="1" applyAlignment="1">
      <alignment horizontal="center" vertical="center" wrapText="1"/>
      <protection/>
    </xf>
    <xf numFmtId="0" fontId="21" fillId="0" borderId="0" xfId="57" applyFont="1" applyAlignment="1">
      <alignment horizontal="center"/>
      <protection/>
    </xf>
    <xf numFmtId="0" fontId="21" fillId="0" borderId="22" xfId="57" applyFont="1" applyBorder="1" applyAlignment="1">
      <alignment horizontal="center"/>
      <protection/>
    </xf>
    <xf numFmtId="0" fontId="7" fillId="0" borderId="2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7" fillId="0" borderId="17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3" fillId="0" borderId="14" xfId="61" applyFont="1" applyBorder="1" applyAlignment="1">
      <alignment horizontal="center" vertical="center"/>
      <protection/>
    </xf>
    <xf numFmtId="0" fontId="3" fillId="0" borderId="21" xfId="61" applyFont="1" applyBorder="1" applyAlignment="1">
      <alignment horizontal="center" vertical="center" wrapText="1"/>
      <protection/>
    </xf>
    <xf numFmtId="0" fontId="3" fillId="0" borderId="22" xfId="61" applyFont="1" applyBorder="1" applyAlignment="1">
      <alignment horizontal="center" vertical="center" wrapText="1"/>
      <protection/>
    </xf>
    <xf numFmtId="0" fontId="3" fillId="0" borderId="23" xfId="61" applyFont="1" applyBorder="1" applyAlignment="1">
      <alignment horizontal="center" vertical="center" wrapText="1"/>
      <protection/>
    </xf>
    <xf numFmtId="0" fontId="3" fillId="0" borderId="17" xfId="61" applyFont="1" applyBorder="1" applyAlignment="1">
      <alignment horizontal="center" vertical="center" wrapText="1"/>
      <protection/>
    </xf>
    <xf numFmtId="0" fontId="3" fillId="0" borderId="0" xfId="61" applyFont="1" applyAlignment="1">
      <alignment horizontal="center" vertical="center"/>
      <protection/>
    </xf>
    <xf numFmtId="0" fontId="15" fillId="0" borderId="0" xfId="62" applyFont="1" applyAlignment="1">
      <alignment vertical="center"/>
      <protection/>
    </xf>
    <xf numFmtId="0" fontId="16" fillId="0" borderId="0" xfId="62" applyFont="1" applyAlignment="1">
      <alignment horizontal="center" vertical="center" wrapText="1"/>
      <protection/>
    </xf>
    <xf numFmtId="0" fontId="19" fillId="0" borderId="0" xfId="62" applyFont="1" applyAlignment="1">
      <alignment vertical="center" wrapText="1"/>
      <protection/>
    </xf>
    <xf numFmtId="0" fontId="20" fillId="0" borderId="22" xfId="62" applyFont="1" applyBorder="1" applyAlignment="1">
      <alignment horizontal="center" vertical="center" wrapText="1"/>
      <protection/>
    </xf>
    <xf numFmtId="0" fontId="21" fillId="0" borderId="21" xfId="62" applyFont="1" applyBorder="1" applyAlignment="1">
      <alignment horizontal="center" vertical="center"/>
      <protection/>
    </xf>
    <xf numFmtId="0" fontId="21" fillId="0" borderId="0" xfId="62" applyFont="1" applyAlignment="1">
      <alignment horizontal="center" vertical="center"/>
      <protection/>
    </xf>
    <xf numFmtId="3" fontId="21" fillId="0" borderId="22" xfId="62" applyNumberFormat="1" applyFont="1" applyBorder="1" applyAlignment="1">
      <alignment horizontal="center" vertical="center" wrapText="1"/>
      <protection/>
    </xf>
    <xf numFmtId="0" fontId="21" fillId="0" borderId="22" xfId="62" applyFont="1" applyBorder="1" applyAlignment="1">
      <alignment horizontal="center" vertical="center"/>
      <protection/>
    </xf>
    <xf numFmtId="0" fontId="16" fillId="0" borderId="22" xfId="62" applyFont="1" applyBorder="1" applyAlignment="1">
      <alignment horizontal="center" vertical="center"/>
      <protection/>
    </xf>
    <xf numFmtId="3" fontId="21" fillId="0" borderId="23" xfId="62" applyNumberFormat="1" applyFont="1" applyBorder="1" applyAlignment="1">
      <alignment horizontal="center" vertical="center" wrapText="1"/>
      <protection/>
    </xf>
    <xf numFmtId="0" fontId="22" fillId="0" borderId="22" xfId="0" applyFont="1" applyBorder="1" applyAlignment="1">
      <alignment horizontal="center"/>
    </xf>
    <xf numFmtId="0" fontId="22" fillId="32" borderId="22" xfId="0" applyFont="1" applyFill="1" applyBorder="1" applyAlignment="1">
      <alignment/>
    </xf>
    <xf numFmtId="0" fontId="27" fillId="0" borderId="22" xfId="0" applyFont="1" applyBorder="1" applyAlignment="1">
      <alignment/>
    </xf>
    <xf numFmtId="0" fontId="22" fillId="0" borderId="22" xfId="0" applyFont="1" applyFill="1" applyBorder="1" applyAlignment="1">
      <alignment/>
    </xf>
    <xf numFmtId="0" fontId="22" fillId="0" borderId="0" xfId="0" applyFont="1" applyFill="1" applyAlignment="1">
      <alignment/>
    </xf>
    <xf numFmtId="0" fontId="8" fillId="0" borderId="14" xfId="0" applyFont="1" applyFill="1" applyBorder="1" applyAlignment="1">
      <alignment horizontal="left" vertical="center"/>
    </xf>
    <xf numFmtId="0" fontId="14" fillId="0" borderId="22" xfId="61" applyFont="1" applyBorder="1">
      <alignment/>
      <protection/>
    </xf>
    <xf numFmtId="0" fontId="14" fillId="0" borderId="14" xfId="61" applyFont="1" applyBorder="1">
      <alignment/>
      <protection/>
    </xf>
    <xf numFmtId="49" fontId="22" fillId="0" borderId="22" xfId="61" applyNumberFormat="1" applyFont="1" applyBorder="1" applyAlignment="1">
      <alignment vertical="center"/>
      <protection/>
    </xf>
    <xf numFmtId="0" fontId="22" fillId="0" borderId="22" xfId="61" applyFont="1" applyBorder="1">
      <alignment/>
      <protection/>
    </xf>
    <xf numFmtId="0" fontId="22" fillId="0" borderId="14" xfId="61" applyFont="1" applyBorder="1" applyAlignment="1">
      <alignment wrapText="1"/>
      <protection/>
    </xf>
    <xf numFmtId="3" fontId="22" fillId="0" borderId="0" xfId="61" applyNumberFormat="1" applyFont="1">
      <alignment/>
      <protection/>
    </xf>
    <xf numFmtId="0" fontId="22" fillId="0" borderId="0" xfId="61" applyFont="1">
      <alignment/>
      <protection/>
    </xf>
    <xf numFmtId="0" fontId="22" fillId="0" borderId="14" xfId="61" applyFont="1" applyBorder="1">
      <alignment/>
      <protection/>
    </xf>
    <xf numFmtId="3" fontId="22" fillId="0" borderId="0" xfId="61" applyNumberFormat="1" applyFont="1" applyAlignment="1">
      <alignment vertical="center"/>
      <protection/>
    </xf>
    <xf numFmtId="0" fontId="22" fillId="0" borderId="0" xfId="61" applyFont="1" applyAlignment="1">
      <alignment vertical="center"/>
      <protection/>
    </xf>
    <xf numFmtId="49" fontId="22" fillId="0" borderId="22" xfId="61" applyNumberFormat="1" applyFont="1" applyBorder="1" applyAlignment="1">
      <alignment horizontal="center" vertical="center"/>
      <protection/>
    </xf>
    <xf numFmtId="49" fontId="22" fillId="33" borderId="22" xfId="61" applyNumberFormat="1" applyFont="1" applyFill="1" applyBorder="1" applyAlignment="1">
      <alignment horizontal="center" vertical="center"/>
      <protection/>
    </xf>
    <xf numFmtId="0" fontId="22" fillId="33" borderId="22" xfId="61" applyFont="1" applyFill="1" applyBorder="1" applyAlignment="1">
      <alignment vertical="center"/>
      <protection/>
    </xf>
    <xf numFmtId="0" fontId="22" fillId="33" borderId="14" xfId="61" applyFont="1" applyFill="1" applyBorder="1" applyAlignment="1">
      <alignment vertical="center" wrapText="1"/>
      <protection/>
    </xf>
    <xf numFmtId="3" fontId="22" fillId="33" borderId="21" xfId="61" applyNumberFormat="1" applyFont="1" applyFill="1" applyBorder="1" applyAlignment="1">
      <alignment vertical="center"/>
      <protection/>
    </xf>
    <xf numFmtId="3" fontId="22" fillId="33" borderId="22" xfId="61" applyNumberFormat="1" applyFont="1" applyFill="1" applyBorder="1" applyAlignment="1">
      <alignment vertical="center"/>
      <protection/>
    </xf>
    <xf numFmtId="3" fontId="22" fillId="33" borderId="23" xfId="61" applyNumberFormat="1" applyFont="1" applyFill="1" applyBorder="1" applyAlignment="1">
      <alignment vertical="center"/>
      <protection/>
    </xf>
    <xf numFmtId="3" fontId="22" fillId="33" borderId="17" xfId="61" applyNumberFormat="1" applyFont="1" applyFill="1" applyBorder="1" applyAlignment="1">
      <alignment vertical="center"/>
      <protection/>
    </xf>
    <xf numFmtId="0" fontId="14" fillId="33" borderId="22" xfId="61" applyFill="1" applyBorder="1">
      <alignment/>
      <protection/>
    </xf>
    <xf numFmtId="0" fontId="22" fillId="33" borderId="22" xfId="61" applyFont="1" applyFill="1" applyBorder="1">
      <alignment/>
      <protection/>
    </xf>
    <xf numFmtId="3" fontId="18" fillId="0" borderId="22" xfId="57" applyNumberFormat="1" applyFont="1" applyBorder="1" applyAlignment="1">
      <alignment vertical="center"/>
      <protection/>
    </xf>
    <xf numFmtId="0" fontId="22" fillId="32" borderId="22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 wrapText="1"/>
    </xf>
    <xf numFmtId="0" fontId="22" fillId="0" borderId="21" xfId="0" applyFont="1" applyBorder="1" applyAlignment="1">
      <alignment horizontal="center"/>
    </xf>
    <xf numFmtId="0" fontId="27" fillId="0" borderId="21" xfId="0" applyFont="1" applyBorder="1" applyAlignment="1">
      <alignment wrapText="1"/>
    </xf>
    <xf numFmtId="0" fontId="22" fillId="32" borderId="21" xfId="0" applyFont="1" applyFill="1" applyBorder="1" applyAlignment="1">
      <alignment vertical="center" wrapText="1"/>
    </xf>
    <xf numFmtId="49" fontId="27" fillId="0" borderId="21" xfId="0" applyNumberFormat="1" applyFont="1" applyBorder="1" applyAlignment="1">
      <alignment/>
    </xf>
    <xf numFmtId="49" fontId="27" fillId="0" borderId="21" xfId="0" applyNumberFormat="1" applyFont="1" applyBorder="1" applyAlignment="1">
      <alignment wrapText="1"/>
    </xf>
    <xf numFmtId="0" fontId="22" fillId="0" borderId="21" xfId="0" applyFont="1" applyFill="1" applyBorder="1" applyAlignment="1">
      <alignment/>
    </xf>
    <xf numFmtId="49" fontId="28" fillId="0" borderId="21" xfId="0" applyNumberFormat="1" applyFont="1" applyBorder="1" applyAlignment="1">
      <alignment/>
    </xf>
    <xf numFmtId="0" fontId="22" fillId="7" borderId="21" xfId="0" applyFont="1" applyFill="1" applyBorder="1" applyAlignment="1">
      <alignment wrapText="1"/>
    </xf>
    <xf numFmtId="0" fontId="38" fillId="0" borderId="30" xfId="61" applyFont="1" applyBorder="1" applyAlignment="1">
      <alignment horizontal="center" vertical="center" wrapText="1"/>
      <protection/>
    </xf>
    <xf numFmtId="3" fontId="22" fillId="33" borderId="31" xfId="61" applyNumberFormat="1" applyFont="1" applyFill="1" applyBorder="1" applyAlignment="1">
      <alignment vertical="center"/>
      <protection/>
    </xf>
    <xf numFmtId="0" fontId="17" fillId="0" borderId="0" xfId="62" applyFont="1" applyAlignment="1">
      <alignment horizontal="right" vertical="center"/>
      <protection/>
    </xf>
    <xf numFmtId="3" fontId="107" fillId="0" borderId="0" xfId="61" applyNumberFormat="1" applyFont="1">
      <alignment/>
      <protection/>
    </xf>
    <xf numFmtId="3" fontId="107" fillId="0" borderId="0" xfId="61" applyNumberFormat="1" applyFont="1" applyAlignment="1">
      <alignment vertical="center"/>
      <protection/>
    </xf>
    <xf numFmtId="0" fontId="41" fillId="0" borderId="0" xfId="0" applyFont="1" applyAlignment="1">
      <alignment/>
    </xf>
    <xf numFmtId="0" fontId="27" fillId="0" borderId="22" xfId="0" applyFont="1" applyFill="1" applyBorder="1" applyAlignment="1">
      <alignment/>
    </xf>
    <xf numFmtId="0" fontId="14" fillId="0" borderId="14" xfId="61" applyFont="1" applyBorder="1" applyAlignment="1">
      <alignment wrapText="1"/>
      <protection/>
    </xf>
    <xf numFmtId="0" fontId="21" fillId="34" borderId="21" xfId="62" applyFont="1" applyFill="1" applyBorder="1" applyAlignment="1">
      <alignment horizontal="center" vertical="center"/>
      <protection/>
    </xf>
    <xf numFmtId="0" fontId="15" fillId="34" borderId="0" xfId="62" applyFont="1" applyFill="1" applyAlignment="1">
      <alignment vertical="center"/>
      <protection/>
    </xf>
    <xf numFmtId="0" fontId="0" fillId="0" borderId="0" xfId="0" applyFill="1" applyAlignment="1">
      <alignment/>
    </xf>
    <xf numFmtId="0" fontId="26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2" fillId="32" borderId="21" xfId="0" applyFont="1" applyFill="1" applyBorder="1" applyAlignment="1">
      <alignment vertical="center"/>
    </xf>
    <xf numFmtId="49" fontId="14" fillId="35" borderId="21" xfId="0" applyNumberFormat="1" applyFont="1" applyFill="1" applyBorder="1" applyAlignment="1">
      <alignment vertical="center" wrapText="1"/>
    </xf>
    <xf numFmtId="0" fontId="14" fillId="35" borderId="22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27" fillId="0" borderId="0" xfId="0" applyFont="1" applyFill="1" applyAlignment="1">
      <alignment/>
    </xf>
    <xf numFmtId="49" fontId="27" fillId="0" borderId="21" xfId="0" applyNumberFormat="1" applyFont="1" applyBorder="1" applyAlignment="1">
      <alignment/>
    </xf>
    <xf numFmtId="0" fontId="14" fillId="35" borderId="21" xfId="0" applyFont="1" applyFill="1" applyBorder="1" applyAlignment="1">
      <alignment wrapText="1"/>
    </xf>
    <xf numFmtId="0" fontId="22" fillId="0" borderId="0" xfId="0" applyFont="1" applyFill="1" applyAlignment="1">
      <alignment vertical="center"/>
    </xf>
    <xf numFmtId="0" fontId="21" fillId="0" borderId="29" xfId="62" applyFont="1" applyBorder="1" applyAlignment="1">
      <alignment horizontal="center" vertical="center"/>
      <protection/>
    </xf>
    <xf numFmtId="0" fontId="16" fillId="0" borderId="18" xfId="62" applyFont="1" applyBorder="1" applyAlignment="1">
      <alignment horizontal="center" vertical="center"/>
      <protection/>
    </xf>
    <xf numFmtId="3" fontId="14" fillId="0" borderId="0" xfId="61" applyNumberFormat="1" applyFont="1">
      <alignment/>
      <protection/>
    </xf>
    <xf numFmtId="0" fontId="14" fillId="0" borderId="0" xfId="61" applyAlignment="1">
      <alignment/>
      <protection/>
    </xf>
    <xf numFmtId="164" fontId="17" fillId="0" borderId="22" xfId="0" applyNumberFormat="1" applyFont="1" applyBorder="1" applyAlignment="1">
      <alignment vertical="center"/>
    </xf>
    <xf numFmtId="164" fontId="18" fillId="0" borderId="22" xfId="0" applyNumberFormat="1" applyFont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42" fillId="0" borderId="22" xfId="58" applyFont="1" applyBorder="1">
      <alignment/>
      <protection/>
    </xf>
    <xf numFmtId="0" fontId="42" fillId="0" borderId="14" xfId="58" applyFont="1" applyBorder="1" applyAlignment="1">
      <alignment horizontal="left"/>
      <protection/>
    </xf>
    <xf numFmtId="0" fontId="42" fillId="0" borderId="17" xfId="58" applyFont="1" applyBorder="1" applyAlignment="1">
      <alignment horizontal="left"/>
      <protection/>
    </xf>
    <xf numFmtId="3" fontId="42" fillId="0" borderId="22" xfId="58" applyNumberFormat="1" applyFont="1" applyBorder="1">
      <alignment/>
      <protection/>
    </xf>
    <xf numFmtId="3" fontId="20" fillId="0" borderId="22" xfId="58" applyNumberFormat="1" applyFont="1" applyBorder="1">
      <alignment/>
      <protection/>
    </xf>
    <xf numFmtId="0" fontId="19" fillId="0" borderId="0" xfId="0" applyFont="1" applyAlignment="1">
      <alignment/>
    </xf>
    <xf numFmtId="0" fontId="43" fillId="0" borderId="22" xfId="58" applyFont="1" applyBorder="1">
      <alignment/>
      <protection/>
    </xf>
    <xf numFmtId="3" fontId="43" fillId="0" borderId="22" xfId="58" applyNumberFormat="1" applyFont="1" applyBorder="1">
      <alignment/>
      <protection/>
    </xf>
    <xf numFmtId="0" fontId="44" fillId="0" borderId="0" xfId="0" applyFont="1" applyAlignment="1">
      <alignment/>
    </xf>
    <xf numFmtId="0" fontId="19" fillId="0" borderId="0" xfId="0" applyFont="1" applyFill="1" applyAlignment="1">
      <alignment vertical="center"/>
    </xf>
    <xf numFmtId="0" fontId="42" fillId="0" borderId="0" xfId="58" applyFont="1" applyFill="1" applyAlignment="1">
      <alignment horizontal="center" vertical="center"/>
      <protection/>
    </xf>
    <xf numFmtId="0" fontId="19" fillId="0" borderId="0" xfId="58" applyFont="1" applyFill="1" applyAlignment="1">
      <alignment vertical="center"/>
      <protection/>
    </xf>
    <xf numFmtId="0" fontId="21" fillId="0" borderId="22" xfId="0" applyFont="1" applyFill="1" applyBorder="1" applyAlignment="1">
      <alignment horizontal="center" vertical="center" wrapText="1"/>
    </xf>
    <xf numFmtId="0" fontId="21" fillId="0" borderId="22" xfId="58" applyFont="1" applyFill="1" applyBorder="1" applyAlignment="1">
      <alignment horizontal="center" vertical="center" wrapText="1"/>
      <protection/>
    </xf>
    <xf numFmtId="0" fontId="17" fillId="0" borderId="14" xfId="58" applyFont="1" applyFill="1" applyBorder="1" applyAlignment="1">
      <alignment horizontal="center" vertical="center" wrapText="1"/>
      <protection/>
    </xf>
    <xf numFmtId="0" fontId="17" fillId="0" borderId="22" xfId="58" applyFont="1" applyFill="1" applyBorder="1" applyAlignment="1">
      <alignment horizontal="center" vertical="center" wrapText="1"/>
      <protection/>
    </xf>
    <xf numFmtId="0" fontId="17" fillId="0" borderId="0" xfId="0" applyFont="1" applyAlignment="1">
      <alignment/>
    </xf>
    <xf numFmtId="0" fontId="20" fillId="0" borderId="22" xfId="58" applyFont="1" applyBorder="1">
      <alignment/>
      <protection/>
    </xf>
    <xf numFmtId="3" fontId="47" fillId="0" borderId="22" xfId="58" applyNumberFormat="1" applyFont="1" applyBorder="1">
      <alignment/>
      <protection/>
    </xf>
    <xf numFmtId="0" fontId="48" fillId="0" borderId="22" xfId="58" applyFont="1" applyBorder="1">
      <alignment/>
      <protection/>
    </xf>
    <xf numFmtId="0" fontId="48" fillId="0" borderId="22" xfId="58" applyFont="1" applyBorder="1" applyAlignment="1">
      <alignment horizontal="left"/>
      <protection/>
    </xf>
    <xf numFmtId="3" fontId="48" fillId="0" borderId="22" xfId="58" applyNumberFormat="1" applyFont="1" applyBorder="1">
      <alignment/>
      <protection/>
    </xf>
    <xf numFmtId="0" fontId="19" fillId="0" borderId="22" xfId="58" applyFont="1" applyBorder="1">
      <alignment/>
      <protection/>
    </xf>
    <xf numFmtId="0" fontId="48" fillId="0" borderId="22" xfId="58" applyFont="1" applyBorder="1" applyAlignment="1">
      <alignment horizontal="right"/>
      <protection/>
    </xf>
    <xf numFmtId="0" fontId="48" fillId="0" borderId="14" xfId="58" applyFont="1" applyBorder="1" applyAlignment="1">
      <alignment horizontal="left"/>
      <protection/>
    </xf>
    <xf numFmtId="0" fontId="48" fillId="0" borderId="17" xfId="58" applyFont="1" applyBorder="1" applyAlignment="1">
      <alignment horizontal="left"/>
      <protection/>
    </xf>
    <xf numFmtId="0" fontId="19" fillId="0" borderId="14" xfId="58" applyFont="1" applyBorder="1">
      <alignment/>
      <protection/>
    </xf>
    <xf numFmtId="0" fontId="19" fillId="0" borderId="0" xfId="58" applyFont="1">
      <alignment/>
      <protection/>
    </xf>
    <xf numFmtId="3" fontId="20" fillId="0" borderId="14" xfId="58" applyNumberFormat="1" applyFont="1" applyBorder="1">
      <alignment/>
      <protection/>
    </xf>
    <xf numFmtId="3" fontId="19" fillId="0" borderId="16" xfId="58" applyNumberFormat="1" applyFont="1" applyBorder="1">
      <alignment/>
      <protection/>
    </xf>
    <xf numFmtId="3" fontId="20" fillId="0" borderId="17" xfId="58" applyNumberFormat="1" applyFont="1" applyBorder="1">
      <alignment/>
      <protection/>
    </xf>
    <xf numFmtId="3" fontId="16" fillId="0" borderId="22" xfId="58" applyNumberFormat="1" applyFont="1" applyBorder="1">
      <alignment/>
      <protection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right" vertical="center"/>
    </xf>
    <xf numFmtId="0" fontId="17" fillId="0" borderId="14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49" fillId="0" borderId="22" xfId="0" applyFont="1" applyBorder="1" applyAlignment="1">
      <alignment/>
    </xf>
    <xf numFmtId="3" fontId="49" fillId="0" borderId="22" xfId="0" applyNumberFormat="1" applyFont="1" applyBorder="1" applyAlignment="1">
      <alignment/>
    </xf>
    <xf numFmtId="0" fontId="50" fillId="0" borderId="0" xfId="0" applyFont="1" applyAlignment="1">
      <alignment/>
    </xf>
    <xf numFmtId="0" fontId="42" fillId="0" borderId="22" xfId="0" applyFont="1" applyBorder="1" applyAlignment="1">
      <alignment/>
    </xf>
    <xf numFmtId="3" fontId="42" fillId="0" borderId="22" xfId="0" applyNumberFormat="1" applyFont="1" applyBorder="1" applyAlignment="1">
      <alignment/>
    </xf>
    <xf numFmtId="3" fontId="21" fillId="0" borderId="22" xfId="0" applyNumberFormat="1" applyFont="1" applyBorder="1" applyAlignment="1">
      <alignment/>
    </xf>
    <xf numFmtId="0" fontId="43" fillId="0" borderId="22" xfId="0" applyFont="1" applyBorder="1" applyAlignment="1">
      <alignment/>
    </xf>
    <xf numFmtId="3" fontId="43" fillId="0" borderId="22" xfId="0" applyNumberFormat="1" applyFont="1" applyBorder="1" applyAlignment="1">
      <alignment/>
    </xf>
    <xf numFmtId="3" fontId="47" fillId="0" borderId="22" xfId="0" applyNumberFormat="1" applyFont="1" applyBorder="1" applyAlignment="1">
      <alignment/>
    </xf>
    <xf numFmtId="0" fontId="51" fillId="0" borderId="22" xfId="0" applyFont="1" applyBorder="1" applyAlignment="1">
      <alignment/>
    </xf>
    <xf numFmtId="0" fontId="19" fillId="0" borderId="22" xfId="0" applyFont="1" applyBorder="1" applyAlignment="1">
      <alignment/>
    </xf>
    <xf numFmtId="0" fontId="48" fillId="0" borderId="22" xfId="0" applyFont="1" applyBorder="1" applyAlignment="1">
      <alignment/>
    </xf>
    <xf numFmtId="0" fontId="48" fillId="0" borderId="22" xfId="0" applyFont="1" applyBorder="1" applyAlignment="1">
      <alignment horizontal="left"/>
    </xf>
    <xf numFmtId="3" fontId="48" fillId="0" borderId="22" xfId="0" applyNumberFormat="1" applyFont="1" applyBorder="1" applyAlignment="1">
      <alignment/>
    </xf>
    <xf numFmtId="3" fontId="52" fillId="0" borderId="22" xfId="0" applyNumberFormat="1" applyFont="1" applyBorder="1" applyAlignment="1">
      <alignment/>
    </xf>
    <xf numFmtId="0" fontId="48" fillId="0" borderId="22" xfId="0" applyFont="1" applyFill="1" applyBorder="1" applyAlignment="1">
      <alignment/>
    </xf>
    <xf numFmtId="0" fontId="48" fillId="0" borderId="22" xfId="0" applyFont="1" applyFill="1" applyBorder="1" applyAlignment="1">
      <alignment horizontal="left"/>
    </xf>
    <xf numFmtId="0" fontId="23" fillId="0" borderId="22" xfId="0" applyFont="1" applyBorder="1" applyAlignment="1">
      <alignment/>
    </xf>
    <xf numFmtId="0" fontId="48" fillId="0" borderId="22" xfId="0" applyFont="1" applyBorder="1" applyAlignment="1">
      <alignment horizontal="left" vertical="center" wrapText="1"/>
    </xf>
    <xf numFmtId="3" fontId="48" fillId="34" borderId="22" xfId="0" applyNumberFormat="1" applyFont="1" applyFill="1" applyBorder="1" applyAlignment="1">
      <alignment/>
    </xf>
    <xf numFmtId="0" fontId="48" fillId="0" borderId="22" xfId="0" applyFont="1" applyBorder="1" applyAlignment="1">
      <alignment horizontal="left" vertical="top"/>
    </xf>
    <xf numFmtId="0" fontId="48" fillId="0" borderId="22" xfId="0" applyFont="1" applyBorder="1" applyAlignment="1">
      <alignment horizontal="left" wrapText="1"/>
    </xf>
    <xf numFmtId="3" fontId="48" fillId="0" borderId="32" xfId="0" applyNumberFormat="1" applyFont="1" applyFill="1" applyBorder="1" applyAlignment="1">
      <alignment/>
    </xf>
    <xf numFmtId="0" fontId="53" fillId="0" borderId="22" xfId="0" applyFont="1" applyBorder="1" applyAlignment="1">
      <alignment/>
    </xf>
    <xf numFmtId="3" fontId="53" fillId="0" borderId="22" xfId="0" applyNumberFormat="1" applyFont="1" applyBorder="1" applyAlignment="1">
      <alignment/>
    </xf>
    <xf numFmtId="3" fontId="54" fillId="0" borderId="22" xfId="0" applyNumberFormat="1" applyFont="1" applyBorder="1" applyAlignment="1">
      <alignment/>
    </xf>
    <xf numFmtId="0" fontId="55" fillId="0" borderId="22" xfId="0" applyFont="1" applyBorder="1" applyAlignment="1">
      <alignment/>
    </xf>
    <xf numFmtId="0" fontId="55" fillId="0" borderId="22" xfId="0" applyFont="1" applyBorder="1" applyAlignment="1">
      <alignment horizontal="right"/>
    </xf>
    <xf numFmtId="3" fontId="55" fillId="0" borderId="22" xfId="0" applyNumberFormat="1" applyFont="1" applyBorder="1" applyAlignment="1">
      <alignment/>
    </xf>
    <xf numFmtId="3" fontId="56" fillId="0" borderId="22" xfId="0" applyNumberFormat="1" applyFont="1" applyBorder="1" applyAlignment="1">
      <alignment/>
    </xf>
    <xf numFmtId="0" fontId="23" fillId="0" borderId="0" xfId="0" applyFont="1" applyAlignment="1">
      <alignment/>
    </xf>
    <xf numFmtId="3" fontId="20" fillId="0" borderId="22" xfId="0" applyNumberFormat="1" applyFont="1" applyBorder="1" applyAlignment="1">
      <alignment/>
    </xf>
    <xf numFmtId="3" fontId="19" fillId="0" borderId="22" xfId="0" applyNumberFormat="1" applyFont="1" applyBorder="1" applyAlignment="1">
      <alignment/>
    </xf>
    <xf numFmtId="3" fontId="16" fillId="0" borderId="22" xfId="0" applyNumberFormat="1" applyFont="1" applyBorder="1" applyAlignment="1">
      <alignment/>
    </xf>
    <xf numFmtId="0" fontId="15" fillId="0" borderId="0" xfId="0" applyFont="1" applyAlignment="1">
      <alignment/>
    </xf>
    <xf numFmtId="0" fontId="57" fillId="0" borderId="22" xfId="58" applyFont="1" applyBorder="1" applyAlignment="1">
      <alignment horizontal="left"/>
      <protection/>
    </xf>
    <xf numFmtId="49" fontId="42" fillId="0" borderId="0" xfId="60" applyNumberFormat="1" applyFont="1" applyFill="1" applyAlignment="1">
      <alignment horizontal="center" vertical="center"/>
      <protection/>
    </xf>
    <xf numFmtId="0" fontId="42" fillId="0" borderId="0" xfId="60" applyFont="1" applyFill="1" applyAlignment="1">
      <alignment vertical="center"/>
      <protection/>
    </xf>
    <xf numFmtId="0" fontId="58" fillId="0" borderId="0" xfId="60" applyFont="1" applyFill="1" applyAlignment="1">
      <alignment vertical="center"/>
      <protection/>
    </xf>
    <xf numFmtId="0" fontId="19" fillId="0" borderId="0" xfId="60" applyFont="1" applyFill="1" applyAlignment="1">
      <alignment vertical="center"/>
      <protection/>
    </xf>
    <xf numFmtId="0" fontId="19" fillId="0" borderId="0" xfId="60" applyFont="1" applyFill="1" applyAlignment="1">
      <alignment horizontal="left" vertical="center"/>
      <protection/>
    </xf>
    <xf numFmtId="0" fontId="19" fillId="0" borderId="0" xfId="60" applyFont="1" applyAlignment="1">
      <alignment horizontal="left"/>
      <protection/>
    </xf>
    <xf numFmtId="0" fontId="20" fillId="0" borderId="0" xfId="60" applyFont="1" applyFill="1" applyAlignment="1">
      <alignment vertical="center"/>
      <protection/>
    </xf>
    <xf numFmtId="0" fontId="20" fillId="0" borderId="0" xfId="60" applyFont="1" applyFill="1" applyAlignment="1">
      <alignment horizontal="left" vertical="center"/>
      <protection/>
    </xf>
    <xf numFmtId="0" fontId="43" fillId="0" borderId="33" xfId="60" applyFont="1" applyFill="1" applyBorder="1" applyAlignment="1">
      <alignment horizontal="center" vertical="center"/>
      <protection/>
    </xf>
    <xf numFmtId="0" fontId="21" fillId="0" borderId="29" xfId="60" applyFont="1" applyFill="1" applyBorder="1" applyAlignment="1">
      <alignment horizontal="center" vertical="center" wrapText="1"/>
      <protection/>
    </xf>
    <xf numFmtId="0" fontId="21" fillId="0" borderId="18" xfId="60" applyFont="1" applyFill="1" applyBorder="1" applyAlignment="1">
      <alignment horizontal="center" vertical="center" wrapText="1"/>
      <protection/>
    </xf>
    <xf numFmtId="0" fontId="21" fillId="0" borderId="34" xfId="60" applyFont="1" applyFill="1" applyBorder="1" applyAlignment="1">
      <alignment horizontal="center" vertical="center" wrapText="1"/>
      <protection/>
    </xf>
    <xf numFmtId="0" fontId="21" fillId="0" borderId="20" xfId="60" applyFont="1" applyFill="1" applyBorder="1" applyAlignment="1">
      <alignment horizontal="center" vertical="center" wrapText="1"/>
      <protection/>
    </xf>
    <xf numFmtId="49" fontId="42" fillId="0" borderId="35" xfId="60" applyNumberFormat="1" applyFont="1" applyFill="1" applyBorder="1" applyAlignment="1">
      <alignment horizontal="center" vertical="center"/>
      <protection/>
    </xf>
    <xf numFmtId="0" fontId="21" fillId="0" borderId="36" xfId="60" applyFont="1" applyFill="1" applyBorder="1" applyAlignment="1">
      <alignment vertical="center" wrapText="1"/>
      <protection/>
    </xf>
    <xf numFmtId="3" fontId="43" fillId="0" borderId="10" xfId="60" applyNumberFormat="1" applyFont="1" applyFill="1" applyBorder="1" applyAlignment="1">
      <alignment vertical="center" wrapText="1"/>
      <protection/>
    </xf>
    <xf numFmtId="3" fontId="43" fillId="0" borderId="37" xfId="60" applyNumberFormat="1" applyFont="1" applyFill="1" applyBorder="1" applyAlignment="1">
      <alignment vertical="center" wrapText="1"/>
      <protection/>
    </xf>
    <xf numFmtId="3" fontId="43" fillId="0" borderId="38" xfId="60" applyNumberFormat="1" applyFont="1" applyFill="1" applyBorder="1" applyAlignment="1">
      <alignment vertical="center" wrapText="1"/>
      <protection/>
    </xf>
    <xf numFmtId="3" fontId="43" fillId="0" borderId="23" xfId="60" applyNumberFormat="1" applyFont="1" applyFill="1" applyBorder="1" applyAlignment="1">
      <alignment vertical="center" wrapText="1"/>
      <protection/>
    </xf>
    <xf numFmtId="3" fontId="43" fillId="0" borderId="39" xfId="60" applyNumberFormat="1" applyFont="1" applyFill="1" applyBorder="1" applyAlignment="1">
      <alignment vertical="center" wrapText="1"/>
      <protection/>
    </xf>
    <xf numFmtId="3" fontId="42" fillId="0" borderId="39" xfId="60" applyNumberFormat="1" applyFont="1" applyFill="1" applyBorder="1" applyAlignment="1">
      <alignment vertical="center"/>
      <protection/>
    </xf>
    <xf numFmtId="3" fontId="42" fillId="0" borderId="38" xfId="60" applyNumberFormat="1" applyFont="1" applyFill="1" applyBorder="1" applyAlignment="1">
      <alignment vertical="center"/>
      <protection/>
    </xf>
    <xf numFmtId="3" fontId="21" fillId="0" borderId="31" xfId="60" applyNumberFormat="1" applyFont="1" applyFill="1" applyBorder="1" applyAlignment="1">
      <alignment vertical="center"/>
      <protection/>
    </xf>
    <xf numFmtId="49" fontId="42" fillId="0" borderId="37" xfId="60" applyNumberFormat="1" applyFont="1" applyFill="1" applyBorder="1" applyAlignment="1">
      <alignment horizontal="center" vertical="center"/>
      <protection/>
    </xf>
    <xf numFmtId="3" fontId="43" fillId="0" borderId="40" xfId="60" applyNumberFormat="1" applyFont="1" applyFill="1" applyBorder="1" applyAlignment="1">
      <alignment vertical="center" wrapText="1"/>
      <protection/>
    </xf>
    <xf numFmtId="0" fontId="21" fillId="0" borderId="14" xfId="60" applyFont="1" applyFill="1" applyBorder="1" applyAlignment="1">
      <alignment vertical="center" wrapText="1"/>
      <protection/>
    </xf>
    <xf numFmtId="3" fontId="59" fillId="0" borderId="23" xfId="60" applyNumberFormat="1" applyFont="1" applyFill="1" applyBorder="1" applyAlignment="1">
      <alignment vertical="center"/>
      <protection/>
    </xf>
    <xf numFmtId="49" fontId="42" fillId="0" borderId="21" xfId="60" applyNumberFormat="1" applyFont="1" applyFill="1" applyBorder="1" applyAlignment="1">
      <alignment horizontal="center" vertical="center"/>
      <protection/>
    </xf>
    <xf numFmtId="3" fontId="43" fillId="0" borderId="21" xfId="60" applyNumberFormat="1" applyFont="1" applyFill="1" applyBorder="1" applyAlignment="1">
      <alignment vertical="center" wrapText="1"/>
      <protection/>
    </xf>
    <xf numFmtId="3" fontId="43" fillId="0" borderId="22" xfId="60" applyNumberFormat="1" applyFont="1" applyFill="1" applyBorder="1" applyAlignment="1">
      <alignment vertical="center" wrapText="1"/>
      <protection/>
    </xf>
    <xf numFmtId="3" fontId="43" fillId="0" borderId="17" xfId="60" applyNumberFormat="1" applyFont="1" applyFill="1" applyBorder="1" applyAlignment="1">
      <alignment vertical="center" wrapText="1"/>
      <protection/>
    </xf>
    <xf numFmtId="3" fontId="42" fillId="0" borderId="17" xfId="60" applyNumberFormat="1" applyFont="1" applyFill="1" applyBorder="1" applyAlignment="1">
      <alignment vertical="center"/>
      <protection/>
    </xf>
    <xf numFmtId="3" fontId="42" fillId="0" borderId="22" xfId="60" applyNumberFormat="1" applyFont="1" applyFill="1" applyBorder="1" applyAlignment="1">
      <alignment vertical="center"/>
      <protection/>
    </xf>
    <xf numFmtId="3" fontId="43" fillId="34" borderId="17" xfId="60" applyNumberFormat="1" applyFont="1" applyFill="1" applyBorder="1" applyAlignment="1">
      <alignment horizontal="right" vertical="center" wrapText="1"/>
      <protection/>
    </xf>
    <xf numFmtId="0" fontId="21" fillId="0" borderId="15" xfId="60" applyFont="1" applyFill="1" applyBorder="1" applyAlignment="1">
      <alignment vertical="center" wrapText="1"/>
      <protection/>
    </xf>
    <xf numFmtId="3" fontId="43" fillId="0" borderId="23" xfId="60" applyNumberFormat="1" applyFont="1" applyFill="1" applyBorder="1" applyAlignment="1">
      <alignment vertical="center"/>
      <protection/>
    </xf>
    <xf numFmtId="3" fontId="43" fillId="0" borderId="17" xfId="60" applyNumberFormat="1" applyFont="1" applyFill="1" applyBorder="1" applyAlignment="1">
      <alignment horizontal="right" vertical="center" wrapText="1"/>
      <protection/>
    </xf>
    <xf numFmtId="3" fontId="43" fillId="0" borderId="23" xfId="60" applyNumberFormat="1" applyFont="1" applyFill="1" applyBorder="1" applyAlignment="1">
      <alignment horizontal="left" vertical="center" wrapText="1"/>
      <protection/>
    </xf>
    <xf numFmtId="3" fontId="43" fillId="0" borderId="21" xfId="60" applyNumberFormat="1" applyFont="1" applyFill="1" applyBorder="1" applyAlignment="1">
      <alignment vertical="center"/>
      <protection/>
    </xf>
    <xf numFmtId="3" fontId="43" fillId="0" borderId="22" xfId="60" applyNumberFormat="1" applyFont="1" applyFill="1" applyBorder="1" applyAlignment="1">
      <alignment vertical="center"/>
      <protection/>
    </xf>
    <xf numFmtId="3" fontId="43" fillId="0" borderId="17" xfId="60" applyNumberFormat="1" applyFont="1" applyFill="1" applyBorder="1" applyAlignment="1">
      <alignment vertical="center"/>
      <protection/>
    </xf>
    <xf numFmtId="3" fontId="43" fillId="34" borderId="40" xfId="60" applyNumberFormat="1" applyFont="1" applyFill="1" applyBorder="1" applyAlignment="1">
      <alignment vertical="center" wrapText="1"/>
      <protection/>
    </xf>
    <xf numFmtId="0" fontId="21" fillId="0" borderId="14" xfId="60" applyFont="1" applyFill="1" applyBorder="1" applyAlignment="1">
      <alignment horizontal="left" vertical="center" wrapText="1"/>
      <protection/>
    </xf>
    <xf numFmtId="3" fontId="59" fillId="0" borderId="22" xfId="60" applyNumberFormat="1" applyFont="1" applyFill="1" applyBorder="1" applyAlignment="1">
      <alignment vertical="center"/>
      <protection/>
    </xf>
    <xf numFmtId="3" fontId="48" fillId="0" borderId="17" xfId="60" applyNumberFormat="1" applyFont="1" applyFill="1" applyBorder="1" applyAlignment="1">
      <alignment vertical="center" wrapText="1"/>
      <protection/>
    </xf>
    <xf numFmtId="3" fontId="57" fillId="0" borderId="17" xfId="60" applyNumberFormat="1" applyFont="1" applyFill="1" applyBorder="1" applyAlignment="1">
      <alignment vertical="center"/>
      <protection/>
    </xf>
    <xf numFmtId="3" fontId="59" fillId="0" borderId="17" xfId="60" applyNumberFormat="1" applyFont="1" applyFill="1" applyBorder="1" applyAlignment="1">
      <alignment vertical="center"/>
      <protection/>
    </xf>
    <xf numFmtId="3" fontId="53" fillId="0" borderId="34" xfId="60" applyNumberFormat="1" applyFont="1" applyFill="1" applyBorder="1" applyAlignment="1">
      <alignment vertical="center"/>
      <protection/>
    </xf>
    <xf numFmtId="3" fontId="43" fillId="0" borderId="35" xfId="60" applyNumberFormat="1" applyFont="1" applyFill="1" applyBorder="1" applyAlignment="1">
      <alignment vertical="center" wrapText="1"/>
      <protection/>
    </xf>
    <xf numFmtId="3" fontId="43" fillId="0" borderId="36" xfId="60" applyNumberFormat="1" applyFont="1" applyFill="1" applyBorder="1" applyAlignment="1">
      <alignment vertical="center" wrapText="1"/>
      <protection/>
    </xf>
    <xf numFmtId="0" fontId="21" fillId="0" borderId="22" xfId="60" applyFont="1" applyFill="1" applyBorder="1" applyAlignment="1">
      <alignment vertical="center" wrapText="1"/>
      <protection/>
    </xf>
    <xf numFmtId="3" fontId="43" fillId="0" borderId="11" xfId="60" applyNumberFormat="1" applyFont="1" applyFill="1" applyBorder="1" applyAlignment="1">
      <alignment vertical="center" wrapText="1"/>
      <protection/>
    </xf>
    <xf numFmtId="3" fontId="24" fillId="0" borderId="41" xfId="60" applyNumberFormat="1" applyFont="1" applyFill="1" applyBorder="1" applyAlignment="1">
      <alignment vertical="center"/>
      <protection/>
    </xf>
    <xf numFmtId="3" fontId="24" fillId="0" borderId="42" xfId="60" applyNumberFormat="1" applyFont="1" applyFill="1" applyBorder="1" applyAlignment="1">
      <alignment vertical="center"/>
      <protection/>
    </xf>
    <xf numFmtId="3" fontId="43" fillId="0" borderId="43" xfId="60" applyNumberFormat="1" applyFont="1" applyFill="1" applyBorder="1" applyAlignment="1">
      <alignment vertical="center" wrapText="1"/>
      <protection/>
    </xf>
    <xf numFmtId="49" fontId="42" fillId="0" borderId="44" xfId="60" applyNumberFormat="1" applyFont="1" applyFill="1" applyBorder="1" applyAlignment="1">
      <alignment horizontal="center" vertical="center"/>
      <protection/>
    </xf>
    <xf numFmtId="0" fontId="21" fillId="0" borderId="45" xfId="60" applyFont="1" applyFill="1" applyBorder="1" applyAlignment="1">
      <alignment vertical="center" wrapText="1"/>
      <protection/>
    </xf>
    <xf numFmtId="3" fontId="43" fillId="0" borderId="44" xfId="60" applyNumberFormat="1" applyFont="1" applyFill="1" applyBorder="1" applyAlignment="1">
      <alignment vertical="center" wrapText="1"/>
      <protection/>
    </xf>
    <xf numFmtId="3" fontId="43" fillId="0" borderId="45" xfId="60" applyNumberFormat="1" applyFont="1" applyFill="1" applyBorder="1" applyAlignment="1">
      <alignment vertical="center" wrapText="1"/>
      <protection/>
    </xf>
    <xf numFmtId="3" fontId="24" fillId="0" borderId="46" xfId="60" applyNumberFormat="1" applyFont="1" applyFill="1" applyBorder="1" applyAlignment="1">
      <alignment horizontal="right" vertical="center"/>
      <protection/>
    </xf>
    <xf numFmtId="3" fontId="60" fillId="0" borderId="26" xfId="60" applyNumberFormat="1" applyFont="1" applyFill="1" applyBorder="1" applyAlignment="1">
      <alignment vertical="center"/>
      <protection/>
    </xf>
    <xf numFmtId="3" fontId="60" fillId="0" borderId="33" xfId="60" applyNumberFormat="1" applyFont="1" applyFill="1" applyBorder="1" applyAlignment="1">
      <alignment vertical="center"/>
      <protection/>
    </xf>
    <xf numFmtId="3" fontId="60" fillId="0" borderId="42" xfId="60" applyNumberFormat="1" applyFont="1" applyFill="1" applyBorder="1" applyAlignment="1">
      <alignment vertical="center"/>
      <protection/>
    </xf>
    <xf numFmtId="164" fontId="7" fillId="0" borderId="23" xfId="0" applyNumberFormat="1" applyFont="1" applyFill="1" applyBorder="1" applyAlignment="1">
      <alignment vertical="center"/>
    </xf>
    <xf numFmtId="164" fontId="8" fillId="0" borderId="23" xfId="0" applyNumberFormat="1" applyFont="1" applyFill="1" applyBorder="1" applyAlignment="1">
      <alignment vertical="center"/>
    </xf>
    <xf numFmtId="164" fontId="6" fillId="0" borderId="40" xfId="0" applyNumberFormat="1" applyFont="1" applyFill="1" applyBorder="1" applyAlignment="1">
      <alignment vertical="center"/>
    </xf>
    <xf numFmtId="164" fontId="8" fillId="0" borderId="23" xfId="0" applyNumberFormat="1" applyFont="1" applyFill="1" applyBorder="1" applyAlignment="1">
      <alignment vertical="center"/>
    </xf>
    <xf numFmtId="164" fontId="7" fillId="0" borderId="47" xfId="0" applyNumberFormat="1" applyFont="1" applyFill="1" applyBorder="1" applyAlignment="1">
      <alignment vertical="center"/>
    </xf>
    <xf numFmtId="164" fontId="8" fillId="0" borderId="40" xfId="0" applyNumberFormat="1" applyFont="1" applyFill="1" applyBorder="1" applyAlignment="1">
      <alignment horizontal="right" vertical="center"/>
    </xf>
    <xf numFmtId="164" fontId="7" fillId="0" borderId="48" xfId="0" applyNumberFormat="1" applyFont="1" applyFill="1" applyBorder="1" applyAlignment="1">
      <alignment vertical="center"/>
    </xf>
    <xf numFmtId="164" fontId="7" fillId="0" borderId="13" xfId="0" applyNumberFormat="1" applyFont="1" applyFill="1" applyBorder="1" applyAlignment="1">
      <alignment vertical="center"/>
    </xf>
    <xf numFmtId="164" fontId="6" fillId="0" borderId="49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vertical="center"/>
    </xf>
    <xf numFmtId="3" fontId="43" fillId="0" borderId="43" xfId="60" applyNumberFormat="1" applyFont="1" applyFill="1" applyBorder="1" applyAlignment="1">
      <alignment vertical="center"/>
      <protection/>
    </xf>
    <xf numFmtId="0" fontId="19" fillId="0" borderId="0" xfId="0" applyFont="1" applyBorder="1" applyAlignment="1">
      <alignment/>
    </xf>
    <xf numFmtId="0" fontId="19" fillId="0" borderId="50" xfId="0" applyFont="1" applyBorder="1" applyAlignment="1">
      <alignment/>
    </xf>
    <xf numFmtId="0" fontId="20" fillId="0" borderId="51" xfId="59" applyFont="1" applyBorder="1" applyAlignment="1">
      <alignment horizontal="center"/>
      <protection/>
    </xf>
    <xf numFmtId="0" fontId="20" fillId="0" borderId="52" xfId="60" applyFont="1" applyFill="1" applyBorder="1" applyAlignment="1">
      <alignment horizontal="center" vertical="center" wrapText="1"/>
      <protection/>
    </xf>
    <xf numFmtId="0" fontId="20" fillId="0" borderId="53" xfId="59" applyFont="1" applyBorder="1" applyAlignment="1">
      <alignment horizontal="center"/>
      <protection/>
    </xf>
    <xf numFmtId="0" fontId="20" fillId="0" borderId="33" xfId="60" applyFont="1" applyFill="1" applyBorder="1" applyAlignment="1">
      <alignment horizontal="center" vertical="center" wrapText="1"/>
      <protection/>
    </xf>
    <xf numFmtId="0" fontId="20" fillId="0" borderId="54" xfId="59" applyFont="1" applyBorder="1" applyAlignment="1">
      <alignment horizontal="center"/>
      <protection/>
    </xf>
    <xf numFmtId="0" fontId="20" fillId="0" borderId="55" xfId="60" applyFont="1" applyFill="1" applyBorder="1" applyAlignment="1">
      <alignment horizontal="center" vertical="center" wrapText="1"/>
      <protection/>
    </xf>
    <xf numFmtId="0" fontId="23" fillId="0" borderId="56" xfId="59" applyFont="1" applyBorder="1">
      <alignment/>
      <protection/>
    </xf>
    <xf numFmtId="0" fontId="23" fillId="0" borderId="0" xfId="59" applyFont="1" applyBorder="1">
      <alignment/>
      <protection/>
    </xf>
    <xf numFmtId="0" fontId="23" fillId="0" borderId="57" xfId="59" applyFont="1" applyBorder="1">
      <alignment/>
      <protection/>
    </xf>
    <xf numFmtId="0" fontId="23" fillId="0" borderId="58" xfId="59" applyFont="1" applyBorder="1">
      <alignment/>
      <protection/>
    </xf>
    <xf numFmtId="0" fontId="23" fillId="0" borderId="59" xfId="59" applyFont="1" applyBorder="1">
      <alignment/>
      <protection/>
    </xf>
    <xf numFmtId="3" fontId="23" fillId="0" borderId="0" xfId="59" applyNumberFormat="1" applyFont="1" applyBorder="1">
      <alignment/>
      <protection/>
    </xf>
    <xf numFmtId="3" fontId="23" fillId="0" borderId="60" xfId="59" applyNumberFormat="1" applyFont="1" applyBorder="1">
      <alignment/>
      <protection/>
    </xf>
    <xf numFmtId="0" fontId="23" fillId="0" borderId="61" xfId="59" applyFont="1" applyBorder="1" applyAlignment="1">
      <alignment horizontal="left"/>
      <protection/>
    </xf>
    <xf numFmtId="0" fontId="23" fillId="0" borderId="0" xfId="59" applyFont="1" applyBorder="1" applyAlignment="1">
      <alignment horizontal="left"/>
      <protection/>
    </xf>
    <xf numFmtId="3" fontId="16" fillId="0" borderId="62" xfId="59" applyNumberFormat="1" applyFont="1" applyBorder="1" applyAlignment="1">
      <alignment horizontal="right" vertical="center"/>
      <protection/>
    </xf>
    <xf numFmtId="3" fontId="16" fillId="0" borderId="32" xfId="59" applyNumberFormat="1" applyFont="1" applyBorder="1" applyAlignment="1">
      <alignment horizontal="right" vertical="center"/>
      <protection/>
    </xf>
    <xf numFmtId="3" fontId="16" fillId="0" borderId="0" xfId="59" applyNumberFormat="1" applyFont="1" applyBorder="1" applyAlignment="1">
      <alignment horizontal="right" vertical="center"/>
      <protection/>
    </xf>
    <xf numFmtId="0" fontId="16" fillId="0" borderId="62" xfId="60" applyFont="1" applyFill="1" applyBorder="1" applyAlignment="1">
      <alignment horizontal="center" vertical="center" wrapText="1"/>
      <protection/>
    </xf>
    <xf numFmtId="0" fontId="16" fillId="0" borderId="32" xfId="60" applyFont="1" applyFill="1" applyBorder="1" applyAlignment="1">
      <alignment horizontal="center" vertical="center" wrapText="1"/>
      <protection/>
    </xf>
    <xf numFmtId="0" fontId="16" fillId="0" borderId="63" xfId="60" applyFont="1" applyFill="1" applyBorder="1" applyAlignment="1">
      <alignment horizontal="center" vertical="center" wrapText="1"/>
      <protection/>
    </xf>
    <xf numFmtId="0" fontId="23" fillId="0" borderId="0" xfId="0" applyFont="1" applyBorder="1" applyAlignment="1">
      <alignment/>
    </xf>
    <xf numFmtId="3" fontId="16" fillId="0" borderId="56" xfId="59" applyNumberFormat="1" applyFont="1" applyBorder="1" applyAlignment="1">
      <alignment horizontal="right" vertical="center"/>
      <protection/>
    </xf>
    <xf numFmtId="3" fontId="23" fillId="0" borderId="64" xfId="59" applyNumberFormat="1" applyFont="1" applyBorder="1">
      <alignment/>
      <protection/>
    </xf>
    <xf numFmtId="0" fontId="23" fillId="0" borderId="32" xfId="59" applyFont="1" applyBorder="1">
      <alignment/>
      <protection/>
    </xf>
    <xf numFmtId="0" fontId="60" fillId="0" borderId="59" xfId="59" applyFont="1" applyBorder="1" applyAlignment="1">
      <alignment horizontal="right" vertical="center"/>
      <protection/>
    </xf>
    <xf numFmtId="0" fontId="24" fillId="0" borderId="56" xfId="59" applyFont="1" applyBorder="1" applyAlignment="1">
      <alignment horizontal="right"/>
      <protection/>
    </xf>
    <xf numFmtId="0" fontId="24" fillId="0" borderId="0" xfId="59" applyFont="1" applyBorder="1" applyAlignment="1">
      <alignment horizontal="right"/>
      <protection/>
    </xf>
    <xf numFmtId="0" fontId="24" fillId="0" borderId="58" xfId="59" applyFont="1" applyBorder="1" applyAlignment="1">
      <alignment horizontal="right"/>
      <protection/>
    </xf>
    <xf numFmtId="3" fontId="20" fillId="0" borderId="58" xfId="59" applyNumberFormat="1" applyFont="1" applyBorder="1" applyAlignment="1">
      <alignment horizontal="right"/>
      <protection/>
    </xf>
    <xf numFmtId="3" fontId="20" fillId="0" borderId="0" xfId="59" applyNumberFormat="1" applyFont="1" applyBorder="1">
      <alignment/>
      <protection/>
    </xf>
    <xf numFmtId="3" fontId="20" fillId="0" borderId="59" xfId="59" applyNumberFormat="1" applyFont="1" applyBorder="1">
      <alignment/>
      <protection/>
    </xf>
    <xf numFmtId="3" fontId="60" fillId="0" borderId="56" xfId="59" applyNumberFormat="1" applyFont="1" applyBorder="1" applyAlignment="1">
      <alignment horizontal="right" vertical="center"/>
      <protection/>
    </xf>
    <xf numFmtId="3" fontId="60" fillId="0" borderId="32" xfId="59" applyNumberFormat="1" applyFont="1" applyBorder="1" applyAlignment="1">
      <alignment horizontal="right" vertical="center"/>
      <protection/>
    </xf>
    <xf numFmtId="3" fontId="23" fillId="0" borderId="56" xfId="59" applyNumberFormat="1" applyFont="1" applyBorder="1">
      <alignment/>
      <protection/>
    </xf>
    <xf numFmtId="3" fontId="23" fillId="0" borderId="32" xfId="59" applyNumberFormat="1" applyFont="1" applyBorder="1">
      <alignment/>
      <protection/>
    </xf>
    <xf numFmtId="3" fontId="60" fillId="0" borderId="59" xfId="59" applyNumberFormat="1" applyFont="1" applyBorder="1" applyAlignment="1">
      <alignment horizontal="right" vertical="center"/>
      <protection/>
    </xf>
    <xf numFmtId="0" fontId="23" fillId="0" borderId="56" xfId="59" applyFont="1" applyBorder="1" applyAlignment="1">
      <alignment horizontal="right"/>
      <protection/>
    </xf>
    <xf numFmtId="0" fontId="23" fillId="0" borderId="0" xfId="59" applyFont="1" applyBorder="1" applyAlignment="1">
      <alignment horizontal="right"/>
      <protection/>
    </xf>
    <xf numFmtId="0" fontId="23" fillId="0" borderId="58" xfId="59" applyFont="1" applyBorder="1" applyAlignment="1">
      <alignment horizontal="right"/>
      <protection/>
    </xf>
    <xf numFmtId="3" fontId="23" fillId="0" borderId="49" xfId="59" applyNumberFormat="1" applyFont="1" applyFill="1" applyBorder="1">
      <alignment/>
      <protection/>
    </xf>
    <xf numFmtId="0" fontId="60" fillId="0" borderId="59" xfId="59" applyFont="1" applyBorder="1">
      <alignment/>
      <protection/>
    </xf>
    <xf numFmtId="3" fontId="23" fillId="0" borderId="49" xfId="59" applyNumberFormat="1" applyFont="1" applyBorder="1">
      <alignment/>
      <protection/>
    </xf>
    <xf numFmtId="3" fontId="60" fillId="0" borderId="56" xfId="59" applyNumberFormat="1" applyFont="1" applyBorder="1">
      <alignment/>
      <protection/>
    </xf>
    <xf numFmtId="3" fontId="60" fillId="0" borderId="32" xfId="59" applyNumberFormat="1" applyFont="1" applyBorder="1">
      <alignment/>
      <protection/>
    </xf>
    <xf numFmtId="3" fontId="60" fillId="0" borderId="64" xfId="59" applyNumberFormat="1" applyFont="1" applyBorder="1">
      <alignment/>
      <protection/>
    </xf>
    <xf numFmtId="3" fontId="60" fillId="0" borderId="59" xfId="59" applyNumberFormat="1" applyFont="1" applyBorder="1">
      <alignment/>
      <protection/>
    </xf>
    <xf numFmtId="0" fontId="19" fillId="0" borderId="56" xfId="59" applyFont="1" applyBorder="1" applyAlignment="1">
      <alignment horizontal="right"/>
      <protection/>
    </xf>
    <xf numFmtId="0" fontId="19" fillId="0" borderId="0" xfId="59" applyFont="1" applyBorder="1" applyAlignment="1">
      <alignment horizontal="right"/>
      <protection/>
    </xf>
    <xf numFmtId="0" fontId="19" fillId="0" borderId="58" xfId="59" applyFont="1" applyBorder="1" applyAlignment="1">
      <alignment horizontal="right"/>
      <protection/>
    </xf>
    <xf numFmtId="0" fontId="19" fillId="0" borderId="0" xfId="59" applyFont="1" applyBorder="1">
      <alignment/>
      <protection/>
    </xf>
    <xf numFmtId="0" fontId="19" fillId="0" borderId="59" xfId="59" applyFont="1" applyBorder="1">
      <alignment/>
      <protection/>
    </xf>
    <xf numFmtId="3" fontId="23" fillId="0" borderId="0" xfId="59" applyNumberFormat="1" applyFont="1" applyFill="1" applyBorder="1">
      <alignment/>
      <protection/>
    </xf>
    <xf numFmtId="3" fontId="61" fillId="0" borderId="0" xfId="59" applyNumberFormat="1" applyFont="1" applyBorder="1">
      <alignment/>
      <protection/>
    </xf>
    <xf numFmtId="0" fontId="61" fillId="0" borderId="56" xfId="59" applyFont="1" applyBorder="1" applyAlignment="1">
      <alignment horizontal="left"/>
      <protection/>
    </xf>
    <xf numFmtId="0" fontId="61" fillId="0" borderId="0" xfId="59" applyFont="1" applyBorder="1" applyAlignment="1">
      <alignment horizontal="left"/>
      <protection/>
    </xf>
    <xf numFmtId="0" fontId="61" fillId="0" borderId="60" xfId="59" applyFont="1" applyBorder="1">
      <alignment/>
      <protection/>
    </xf>
    <xf numFmtId="3" fontId="23" fillId="0" borderId="65" xfId="59" applyNumberFormat="1" applyFont="1" applyBorder="1">
      <alignment/>
      <protection/>
    </xf>
    <xf numFmtId="0" fontId="61" fillId="0" borderId="0" xfId="59" applyFont="1" applyBorder="1">
      <alignment/>
      <protection/>
    </xf>
    <xf numFmtId="0" fontId="19" fillId="0" borderId="50" xfId="59" applyFont="1" applyBorder="1" applyAlignment="1">
      <alignment horizontal="right"/>
      <protection/>
    </xf>
    <xf numFmtId="0" fontId="19" fillId="0" borderId="66" xfId="59" applyFont="1" applyBorder="1" applyAlignment="1">
      <alignment horizontal="right"/>
      <protection/>
    </xf>
    <xf numFmtId="0" fontId="19" fillId="0" borderId="50" xfId="59" applyFont="1" applyBorder="1">
      <alignment/>
      <protection/>
    </xf>
    <xf numFmtId="0" fontId="19" fillId="0" borderId="67" xfId="59" applyFont="1" applyBorder="1">
      <alignment/>
      <protection/>
    </xf>
    <xf numFmtId="0" fontId="23" fillId="0" borderId="50" xfId="59" applyFont="1" applyBorder="1" applyAlignment="1">
      <alignment horizontal="left"/>
      <protection/>
    </xf>
    <xf numFmtId="0" fontId="61" fillId="0" borderId="68" xfId="59" applyFont="1" applyBorder="1" applyAlignment="1">
      <alignment horizontal="left"/>
      <protection/>
    </xf>
    <xf numFmtId="0" fontId="61" fillId="0" borderId="50" xfId="59" applyFont="1" applyBorder="1" applyAlignment="1">
      <alignment horizontal="left"/>
      <protection/>
    </xf>
    <xf numFmtId="3" fontId="61" fillId="0" borderId="50" xfId="59" applyNumberFormat="1" applyFont="1" applyFill="1" applyBorder="1">
      <alignment/>
      <protection/>
    </xf>
    <xf numFmtId="3" fontId="16" fillId="0" borderId="68" xfId="59" applyNumberFormat="1" applyFont="1" applyBorder="1" applyAlignment="1">
      <alignment horizontal="right" vertical="center"/>
      <protection/>
    </xf>
    <xf numFmtId="3" fontId="60" fillId="0" borderId="69" xfId="59" applyNumberFormat="1" applyFont="1" applyBorder="1" applyAlignment="1">
      <alignment horizontal="right" vertical="center"/>
      <protection/>
    </xf>
    <xf numFmtId="3" fontId="60" fillId="0" borderId="70" xfId="59" applyNumberFormat="1" applyFont="1" applyBorder="1" applyAlignment="1">
      <alignment horizontal="right" vertical="center"/>
      <protection/>
    </xf>
    <xf numFmtId="3" fontId="23" fillId="0" borderId="71" xfId="59" applyNumberFormat="1" applyFont="1" applyBorder="1">
      <alignment/>
      <protection/>
    </xf>
    <xf numFmtId="3" fontId="23" fillId="0" borderId="69" xfId="59" applyNumberFormat="1" applyFont="1" applyBorder="1">
      <alignment/>
      <protection/>
    </xf>
    <xf numFmtId="3" fontId="23" fillId="0" borderId="70" xfId="59" applyNumberFormat="1" applyFont="1" applyBorder="1">
      <alignment/>
      <protection/>
    </xf>
    <xf numFmtId="3" fontId="60" fillId="0" borderId="67" xfId="59" applyNumberFormat="1" applyFont="1" applyBorder="1" applyAlignment="1">
      <alignment horizontal="right" vertical="center"/>
      <protection/>
    </xf>
    <xf numFmtId="3" fontId="20" fillId="0" borderId="72" xfId="59" applyNumberFormat="1" applyFont="1" applyBorder="1" applyAlignment="1">
      <alignment horizontal="right"/>
      <protection/>
    </xf>
    <xf numFmtId="3" fontId="20" fillId="0" borderId="73" xfId="59" applyNumberFormat="1" applyFont="1" applyBorder="1">
      <alignment/>
      <protection/>
    </xf>
    <xf numFmtId="3" fontId="20" fillId="0" borderId="74" xfId="59" applyNumberFormat="1" applyFont="1" applyBorder="1">
      <alignment/>
      <protection/>
    </xf>
    <xf numFmtId="3" fontId="61" fillId="0" borderId="73" xfId="59" applyNumberFormat="1" applyFont="1" applyBorder="1">
      <alignment/>
      <protection/>
    </xf>
    <xf numFmtId="3" fontId="24" fillId="0" borderId="73" xfId="59" applyNumberFormat="1" applyFont="1" applyFill="1" applyBorder="1">
      <alignment/>
      <protection/>
    </xf>
    <xf numFmtId="3" fontId="16" fillId="0" borderId="75" xfId="59" applyNumberFormat="1" applyFont="1" applyBorder="1">
      <alignment/>
      <protection/>
    </xf>
    <xf numFmtId="3" fontId="60" fillId="0" borderId="76" xfId="59" applyNumberFormat="1" applyFont="1" applyBorder="1">
      <alignment/>
      <protection/>
    </xf>
    <xf numFmtId="3" fontId="60" fillId="0" borderId="72" xfId="59" applyNumberFormat="1" applyFont="1" applyBorder="1">
      <alignment/>
      <protection/>
    </xf>
    <xf numFmtId="3" fontId="60" fillId="0" borderId="77" xfId="59" applyNumberFormat="1" applyFont="1" applyBorder="1">
      <alignment/>
      <protection/>
    </xf>
    <xf numFmtId="3" fontId="60" fillId="0" borderId="74" xfId="59" applyNumberFormat="1" applyFont="1" applyBorder="1" applyAlignment="1">
      <alignment horizontal="right" vertical="center"/>
      <protection/>
    </xf>
    <xf numFmtId="0" fontId="19" fillId="0" borderId="61" xfId="59" applyFont="1" applyBorder="1">
      <alignment/>
      <protection/>
    </xf>
    <xf numFmtId="0" fontId="19" fillId="0" borderId="58" xfId="59" applyFont="1" applyBorder="1">
      <alignment/>
      <protection/>
    </xf>
    <xf numFmtId="0" fontId="19" fillId="0" borderId="32" xfId="59" applyFont="1" applyBorder="1">
      <alignment/>
      <protection/>
    </xf>
    <xf numFmtId="3" fontId="61" fillId="0" borderId="49" xfId="59" applyNumberFormat="1" applyFont="1" applyBorder="1" applyAlignment="1">
      <alignment/>
      <protection/>
    </xf>
    <xf numFmtId="0" fontId="19" fillId="0" borderId="78" xfId="59" applyFont="1" applyBorder="1">
      <alignment/>
      <protection/>
    </xf>
    <xf numFmtId="0" fontId="19" fillId="0" borderId="70" xfId="59" applyFont="1" applyBorder="1">
      <alignment/>
      <protection/>
    </xf>
    <xf numFmtId="0" fontId="19" fillId="0" borderId="79" xfId="59" applyFont="1" applyBorder="1">
      <alignment/>
      <protection/>
    </xf>
    <xf numFmtId="3" fontId="20" fillId="0" borderId="32" xfId="59" applyNumberFormat="1" applyFont="1" applyBorder="1" applyAlignment="1">
      <alignment horizontal="right"/>
      <protection/>
    </xf>
    <xf numFmtId="0" fontId="23" fillId="0" borderId="56" xfId="59" applyFont="1" applyBorder="1" applyAlignment="1">
      <alignment horizontal="left"/>
      <protection/>
    </xf>
    <xf numFmtId="3" fontId="60" fillId="0" borderId="80" xfId="59" applyNumberFormat="1" applyFont="1" applyBorder="1" applyAlignment="1">
      <alignment horizontal="right"/>
      <protection/>
    </xf>
    <xf numFmtId="3" fontId="60" fillId="0" borderId="56" xfId="59" applyNumberFormat="1" applyFont="1" applyBorder="1" applyAlignment="1">
      <alignment horizontal="right"/>
      <protection/>
    </xf>
    <xf numFmtId="3" fontId="60" fillId="0" borderId="32" xfId="59" applyNumberFormat="1" applyFont="1" applyBorder="1" applyAlignment="1">
      <alignment horizontal="right"/>
      <protection/>
    </xf>
    <xf numFmtId="3" fontId="20" fillId="36" borderId="81" xfId="59" applyNumberFormat="1" applyFont="1" applyFill="1" applyBorder="1" applyAlignment="1">
      <alignment horizontal="right"/>
      <protection/>
    </xf>
    <xf numFmtId="0" fontId="19" fillId="36" borderId="82" xfId="59" applyFont="1" applyFill="1" applyBorder="1">
      <alignment/>
      <protection/>
    </xf>
    <xf numFmtId="3" fontId="60" fillId="36" borderId="83" xfId="59" applyNumberFormat="1" applyFont="1" applyFill="1" applyBorder="1" applyAlignment="1">
      <alignment horizontal="right"/>
      <protection/>
    </xf>
    <xf numFmtId="3" fontId="60" fillId="36" borderId="84" xfId="59" applyNumberFormat="1" applyFont="1" applyFill="1" applyBorder="1" applyAlignment="1">
      <alignment horizontal="right"/>
      <protection/>
    </xf>
    <xf numFmtId="3" fontId="60" fillId="36" borderId="85" xfId="59" applyNumberFormat="1" applyFont="1" applyFill="1" applyBorder="1">
      <alignment/>
      <protection/>
    </xf>
    <xf numFmtId="3" fontId="60" fillId="36" borderId="83" xfId="59" applyNumberFormat="1" applyFont="1" applyFill="1" applyBorder="1">
      <alignment/>
      <protection/>
    </xf>
    <xf numFmtId="3" fontId="60" fillId="36" borderId="84" xfId="59" applyNumberFormat="1" applyFont="1" applyFill="1" applyBorder="1">
      <alignment/>
      <protection/>
    </xf>
    <xf numFmtId="3" fontId="60" fillId="36" borderId="86" xfId="59" applyNumberFormat="1" applyFont="1" applyFill="1" applyBorder="1">
      <alignment/>
      <protection/>
    </xf>
    <xf numFmtId="0" fontId="20" fillId="0" borderId="34" xfId="60" applyFont="1" applyFill="1" applyBorder="1" applyAlignment="1">
      <alignment horizontal="center" vertical="center" wrapText="1"/>
      <protection/>
    </xf>
    <xf numFmtId="0" fontId="20" fillId="0" borderId="33" xfId="59" applyFont="1" applyBorder="1" applyAlignment="1">
      <alignment horizontal="center"/>
      <protection/>
    </xf>
    <xf numFmtId="0" fontId="19" fillId="0" borderId="87" xfId="0" applyFont="1" applyBorder="1" applyAlignment="1">
      <alignment/>
    </xf>
    <xf numFmtId="0" fontId="16" fillId="0" borderId="0" xfId="59" applyFont="1" applyBorder="1" applyAlignment="1">
      <alignment horizontal="right" vertical="center"/>
      <protection/>
    </xf>
    <xf numFmtId="0" fontId="16" fillId="0" borderId="88" xfId="59" applyFont="1" applyBorder="1" applyAlignment="1">
      <alignment horizontal="right" vertical="center"/>
      <protection/>
    </xf>
    <xf numFmtId="0" fontId="23" fillId="0" borderId="64" xfId="59" applyFont="1" applyBorder="1">
      <alignment/>
      <protection/>
    </xf>
    <xf numFmtId="0" fontId="19" fillId="0" borderId="56" xfId="59" applyFont="1" applyBorder="1">
      <alignment/>
      <protection/>
    </xf>
    <xf numFmtId="0" fontId="19" fillId="0" borderId="32" xfId="59" applyFont="1" applyBorder="1" applyAlignment="1">
      <alignment horizontal="right"/>
      <protection/>
    </xf>
    <xf numFmtId="3" fontId="60" fillId="0" borderId="0" xfId="59" applyNumberFormat="1" applyFont="1" applyBorder="1" applyAlignment="1">
      <alignment horizontal="right" vertical="center"/>
      <protection/>
    </xf>
    <xf numFmtId="3" fontId="19" fillId="0" borderId="32" xfId="59" applyNumberFormat="1" applyFont="1" applyBorder="1" applyAlignment="1">
      <alignment horizontal="right"/>
      <protection/>
    </xf>
    <xf numFmtId="3" fontId="19" fillId="0" borderId="0" xfId="59" applyNumberFormat="1" applyFont="1" applyBorder="1">
      <alignment/>
      <protection/>
    </xf>
    <xf numFmtId="3" fontId="19" fillId="0" borderId="59" xfId="59" applyNumberFormat="1" applyFont="1" applyBorder="1">
      <alignment/>
      <protection/>
    </xf>
    <xf numFmtId="0" fontId="23" fillId="0" borderId="0" xfId="0" applyFont="1" applyFill="1" applyBorder="1" applyAlignment="1">
      <alignment/>
    </xf>
    <xf numFmtId="3" fontId="60" fillId="0" borderId="89" xfId="59" applyNumberFormat="1" applyFont="1" applyBorder="1">
      <alignment/>
      <protection/>
    </xf>
    <xf numFmtId="0" fontId="19" fillId="0" borderId="76" xfId="59" applyFont="1" applyBorder="1">
      <alignment/>
      <protection/>
    </xf>
    <xf numFmtId="0" fontId="19" fillId="0" borderId="73" xfId="59" applyFont="1" applyBorder="1" applyAlignment="1">
      <alignment horizontal="right"/>
      <protection/>
    </xf>
    <xf numFmtId="0" fontId="19" fillId="0" borderId="72" xfId="59" applyFont="1" applyBorder="1" applyAlignment="1">
      <alignment horizontal="right"/>
      <protection/>
    </xf>
    <xf numFmtId="0" fontId="19" fillId="0" borderId="73" xfId="59" applyFont="1" applyBorder="1">
      <alignment/>
      <protection/>
    </xf>
    <xf numFmtId="0" fontId="19" fillId="0" borderId="74" xfId="59" applyFont="1" applyBorder="1">
      <alignment/>
      <protection/>
    </xf>
    <xf numFmtId="0" fontId="19" fillId="0" borderId="73" xfId="59" applyFont="1" applyBorder="1" applyAlignment="1">
      <alignment/>
      <protection/>
    </xf>
    <xf numFmtId="0" fontId="16" fillId="0" borderId="90" xfId="59" applyFont="1" applyBorder="1" applyAlignment="1">
      <alignment horizontal="right"/>
      <protection/>
    </xf>
    <xf numFmtId="0" fontId="19" fillId="0" borderId="75" xfId="59" applyFont="1" applyBorder="1">
      <alignment/>
      <protection/>
    </xf>
    <xf numFmtId="3" fontId="16" fillId="0" borderId="91" xfId="59" applyNumberFormat="1" applyFont="1" applyBorder="1" applyAlignment="1">
      <alignment horizontal="right"/>
      <protection/>
    </xf>
    <xf numFmtId="0" fontId="16" fillId="0" borderId="73" xfId="59" applyFont="1" applyBorder="1" applyAlignment="1">
      <alignment horizontal="right"/>
      <protection/>
    </xf>
    <xf numFmtId="0" fontId="16" fillId="0" borderId="72" xfId="59" applyFont="1" applyBorder="1" applyAlignment="1">
      <alignment horizontal="right"/>
      <protection/>
    </xf>
    <xf numFmtId="0" fontId="19" fillId="0" borderId="77" xfId="59" applyFont="1" applyBorder="1">
      <alignment/>
      <protection/>
    </xf>
    <xf numFmtId="0" fontId="19" fillId="0" borderId="72" xfId="59" applyFont="1" applyBorder="1">
      <alignment/>
      <protection/>
    </xf>
    <xf numFmtId="0" fontId="60" fillId="0" borderId="92" xfId="59" applyFont="1" applyBorder="1" applyAlignment="1">
      <alignment horizontal="right" vertical="center"/>
      <protection/>
    </xf>
    <xf numFmtId="0" fontId="19" fillId="0" borderId="0" xfId="59" applyFont="1">
      <alignment/>
      <protection/>
    </xf>
    <xf numFmtId="0" fontId="19" fillId="0" borderId="93" xfId="59" applyFont="1" applyBorder="1">
      <alignment/>
      <protection/>
    </xf>
    <xf numFmtId="0" fontId="19" fillId="0" borderId="94" xfId="59" applyFont="1" applyBorder="1">
      <alignment/>
      <protection/>
    </xf>
    <xf numFmtId="0" fontId="19" fillId="0" borderId="64" xfId="59" applyFont="1" applyBorder="1">
      <alignment/>
      <protection/>
    </xf>
    <xf numFmtId="3" fontId="23" fillId="0" borderId="0" xfId="59" applyNumberFormat="1" applyFont="1">
      <alignment/>
      <protection/>
    </xf>
    <xf numFmtId="0" fontId="19" fillId="0" borderId="0" xfId="0" applyFont="1" applyAlignment="1">
      <alignment horizontal="right"/>
    </xf>
    <xf numFmtId="0" fontId="23" fillId="0" borderId="49" xfId="59" applyFont="1" applyBorder="1">
      <alignment/>
      <protection/>
    </xf>
    <xf numFmtId="3" fontId="60" fillId="0" borderId="0" xfId="59" applyNumberFormat="1" applyFont="1" applyBorder="1">
      <alignment/>
      <protection/>
    </xf>
    <xf numFmtId="3" fontId="60" fillId="0" borderId="80" xfId="59" applyNumberFormat="1" applyFont="1" applyBorder="1">
      <alignment/>
      <protection/>
    </xf>
    <xf numFmtId="0" fontId="19" fillId="0" borderId="0" xfId="0" applyFont="1" applyBorder="1" applyAlignment="1">
      <alignment horizontal="right"/>
    </xf>
    <xf numFmtId="0" fontId="19" fillId="0" borderId="49" xfId="59" applyFont="1" applyBorder="1">
      <alignment/>
      <protection/>
    </xf>
    <xf numFmtId="3" fontId="23" fillId="0" borderId="0" xfId="59" applyNumberFormat="1" applyFont="1" applyBorder="1" applyAlignment="1">
      <alignment/>
      <protection/>
    </xf>
    <xf numFmtId="0" fontId="19" fillId="0" borderId="95" xfId="59" applyFont="1" applyBorder="1">
      <alignment/>
      <protection/>
    </xf>
    <xf numFmtId="0" fontId="19" fillId="0" borderId="33" xfId="59" applyFont="1" applyBorder="1">
      <alignment/>
      <protection/>
    </xf>
    <xf numFmtId="0" fontId="19" fillId="0" borderId="48" xfId="59" applyFont="1" applyBorder="1">
      <alignment/>
      <protection/>
    </xf>
    <xf numFmtId="0" fontId="61" fillId="0" borderId="49" xfId="59" applyFont="1" applyBorder="1">
      <alignment/>
      <protection/>
    </xf>
    <xf numFmtId="0" fontId="24" fillId="0" borderId="62" xfId="59" applyFont="1" applyBorder="1" applyAlignment="1">
      <alignment horizontal="right"/>
      <protection/>
    </xf>
    <xf numFmtId="0" fontId="19" fillId="0" borderId="60" xfId="0" applyFont="1" applyBorder="1" applyAlignment="1">
      <alignment horizontal="right"/>
    </xf>
    <xf numFmtId="3" fontId="20" fillId="0" borderId="88" xfId="59" applyNumberFormat="1" applyFont="1" applyBorder="1" applyAlignment="1">
      <alignment horizontal="right"/>
      <protection/>
    </xf>
    <xf numFmtId="3" fontId="20" fillId="0" borderId="60" xfId="59" applyNumberFormat="1" applyFont="1" applyBorder="1">
      <alignment/>
      <protection/>
    </xf>
    <xf numFmtId="3" fontId="20" fillId="0" borderId="63" xfId="59" applyNumberFormat="1" applyFont="1" applyBorder="1">
      <alignment/>
      <protection/>
    </xf>
    <xf numFmtId="3" fontId="23" fillId="0" borderId="65" xfId="59" applyNumberFormat="1" applyFont="1" applyBorder="1" applyAlignment="1">
      <alignment/>
      <protection/>
    </xf>
    <xf numFmtId="0" fontId="19" fillId="0" borderId="96" xfId="59" applyFont="1" applyBorder="1">
      <alignment/>
      <protection/>
    </xf>
    <xf numFmtId="0" fontId="19" fillId="0" borderId="60" xfId="59" applyFont="1" applyBorder="1">
      <alignment/>
      <protection/>
    </xf>
    <xf numFmtId="0" fontId="19" fillId="0" borderId="65" xfId="59" applyFont="1" applyBorder="1">
      <alignment/>
      <protection/>
    </xf>
    <xf numFmtId="3" fontId="16" fillId="0" borderId="94" xfId="59" applyNumberFormat="1" applyFont="1" applyBorder="1" applyAlignment="1">
      <alignment vertical="center"/>
      <protection/>
    </xf>
    <xf numFmtId="3" fontId="60" fillId="0" borderId="62" xfId="59" applyNumberFormat="1" applyFont="1" applyBorder="1" applyAlignment="1">
      <alignment horizontal="right" vertical="center"/>
      <protection/>
    </xf>
    <xf numFmtId="3" fontId="60" fillId="0" borderId="88" xfId="59" applyNumberFormat="1" applyFont="1" applyBorder="1" applyAlignment="1">
      <alignment horizontal="right" vertical="center"/>
      <protection/>
    </xf>
    <xf numFmtId="3" fontId="60" fillId="0" borderId="97" xfId="59" applyNumberFormat="1" applyFont="1" applyBorder="1">
      <alignment/>
      <protection/>
    </xf>
    <xf numFmtId="3" fontId="60" fillId="0" borderId="62" xfId="59" applyNumberFormat="1" applyFont="1" applyBorder="1">
      <alignment/>
      <protection/>
    </xf>
    <xf numFmtId="3" fontId="60" fillId="0" borderId="88" xfId="59" applyNumberFormat="1" applyFont="1" applyBorder="1">
      <alignment/>
      <protection/>
    </xf>
    <xf numFmtId="3" fontId="60" fillId="0" borderId="63" xfId="59" applyNumberFormat="1" applyFont="1" applyBorder="1" applyAlignment="1">
      <alignment horizontal="right" vertical="center"/>
      <protection/>
    </xf>
    <xf numFmtId="3" fontId="61" fillId="0" borderId="0" xfId="59" applyNumberFormat="1" applyFont="1" applyBorder="1" applyAlignment="1">
      <alignment/>
      <protection/>
    </xf>
    <xf numFmtId="3" fontId="61" fillId="0" borderId="0" xfId="59" applyNumberFormat="1" applyFont="1">
      <alignment/>
      <protection/>
    </xf>
    <xf numFmtId="3" fontId="16" fillId="0" borderId="52" xfId="59" applyNumberFormat="1" applyFont="1" applyBorder="1">
      <alignment/>
      <protection/>
    </xf>
    <xf numFmtId="0" fontId="62" fillId="0" borderId="53" xfId="59" applyFont="1" applyBorder="1">
      <alignment/>
      <protection/>
    </xf>
    <xf numFmtId="0" fontId="62" fillId="0" borderId="33" xfId="59" applyFont="1" applyBorder="1">
      <alignment/>
      <protection/>
    </xf>
    <xf numFmtId="0" fontId="62" fillId="0" borderId="48" xfId="59" applyFont="1" applyBorder="1">
      <alignment/>
      <protection/>
    </xf>
    <xf numFmtId="3" fontId="16" fillId="0" borderId="98" xfId="59" applyNumberFormat="1" applyFont="1" applyBorder="1" applyAlignment="1">
      <alignment vertical="center"/>
      <protection/>
    </xf>
    <xf numFmtId="3" fontId="60" fillId="0" borderId="53" xfId="59" applyNumberFormat="1" applyFont="1" applyBorder="1" applyAlignment="1">
      <alignment horizontal="right" vertical="center"/>
      <protection/>
    </xf>
    <xf numFmtId="3" fontId="60" fillId="0" borderId="51" xfId="59" applyNumberFormat="1" applyFont="1" applyBorder="1" applyAlignment="1">
      <alignment horizontal="right" vertical="center"/>
      <protection/>
    </xf>
    <xf numFmtId="3" fontId="60" fillId="0" borderId="53" xfId="59" applyNumberFormat="1" applyFont="1" applyBorder="1">
      <alignment/>
      <protection/>
    </xf>
    <xf numFmtId="3" fontId="60" fillId="0" borderId="51" xfId="59" applyNumberFormat="1" applyFont="1" applyBorder="1">
      <alignment/>
      <protection/>
    </xf>
    <xf numFmtId="3" fontId="60" fillId="0" borderId="52" xfId="59" applyNumberFormat="1" applyFont="1" applyBorder="1" applyAlignment="1">
      <alignment horizontal="right" vertical="center"/>
      <protection/>
    </xf>
    <xf numFmtId="0" fontId="19" fillId="36" borderId="99" xfId="59" applyFont="1" applyFill="1" applyBorder="1">
      <alignment/>
      <protection/>
    </xf>
    <xf numFmtId="3" fontId="46" fillId="0" borderId="100" xfId="59" applyNumberFormat="1" applyFont="1" applyBorder="1" applyAlignment="1">
      <alignment horizontal="center"/>
      <protection/>
    </xf>
    <xf numFmtId="3" fontId="46" fillId="0" borderId="101" xfId="59" applyNumberFormat="1" applyFont="1" applyBorder="1" applyAlignment="1">
      <alignment horizontal="center"/>
      <protection/>
    </xf>
    <xf numFmtId="3" fontId="46" fillId="0" borderId="102" xfId="59" applyNumberFormat="1" applyFont="1" applyBorder="1">
      <alignment/>
      <protection/>
    </xf>
    <xf numFmtId="0" fontId="23" fillId="0" borderId="103" xfId="59" applyFont="1" applyBorder="1" applyAlignment="1">
      <alignment horizontal="left"/>
      <protection/>
    </xf>
    <xf numFmtId="3" fontId="16" fillId="0" borderId="103" xfId="59" applyNumberFormat="1" applyFont="1" applyBorder="1" applyAlignment="1">
      <alignment horizontal="right" vertical="center"/>
      <protection/>
    </xf>
    <xf numFmtId="0" fontId="19" fillId="0" borderId="103" xfId="59" applyFont="1" applyBorder="1">
      <alignment/>
      <protection/>
    </xf>
    <xf numFmtId="3" fontId="16" fillId="0" borderId="104" xfId="59" applyNumberFormat="1" applyFont="1" applyBorder="1">
      <alignment/>
      <protection/>
    </xf>
    <xf numFmtId="0" fontId="19" fillId="0" borderId="87" xfId="59" applyFont="1" applyBorder="1">
      <alignment/>
      <protection/>
    </xf>
    <xf numFmtId="3" fontId="16" fillId="0" borderId="103" xfId="59" applyNumberFormat="1" applyFont="1" applyBorder="1">
      <alignment/>
      <protection/>
    </xf>
    <xf numFmtId="3" fontId="46" fillId="0" borderId="105" xfId="59" applyNumberFormat="1" applyFont="1" applyBorder="1">
      <alignment/>
      <protection/>
    </xf>
    <xf numFmtId="3" fontId="46" fillId="0" borderId="100" xfId="59" applyNumberFormat="1" applyFont="1" applyBorder="1">
      <alignment/>
      <protection/>
    </xf>
    <xf numFmtId="3" fontId="46" fillId="0" borderId="106" xfId="59" applyNumberFormat="1" applyFont="1" applyBorder="1">
      <alignment/>
      <protection/>
    </xf>
    <xf numFmtId="3" fontId="63" fillId="0" borderId="87" xfId="59" applyNumberFormat="1" applyFont="1" applyBorder="1">
      <alignment/>
      <protection/>
    </xf>
    <xf numFmtId="3" fontId="63" fillId="0" borderId="100" xfId="59" applyNumberFormat="1" applyFont="1" applyBorder="1">
      <alignment/>
      <protection/>
    </xf>
    <xf numFmtId="3" fontId="63" fillId="0" borderId="92" xfId="59" applyNumberFormat="1" applyFont="1" applyBorder="1">
      <alignment/>
      <protection/>
    </xf>
    <xf numFmtId="0" fontId="23" fillId="0" borderId="50" xfId="59" applyFont="1" applyBorder="1">
      <alignment/>
      <protection/>
    </xf>
    <xf numFmtId="0" fontId="20" fillId="0" borderId="0" xfId="59" applyFont="1" applyAlignment="1">
      <alignment horizontal="center"/>
      <protection/>
    </xf>
    <xf numFmtId="0" fontId="20" fillId="0" borderId="0" xfId="59" applyFont="1" applyAlignment="1">
      <alignment horizontal="right"/>
      <protection/>
    </xf>
    <xf numFmtId="0" fontId="15" fillId="0" borderId="0" xfId="59" applyFont="1">
      <alignment/>
      <protection/>
    </xf>
    <xf numFmtId="0" fontId="20" fillId="0" borderId="0" xfId="59" applyFont="1" applyAlignment="1">
      <alignment horizontal="left"/>
      <protection/>
    </xf>
    <xf numFmtId="3" fontId="19" fillId="0" borderId="0" xfId="59" applyNumberFormat="1" applyFont="1">
      <alignment/>
      <protection/>
    </xf>
    <xf numFmtId="0" fontId="23" fillId="0" borderId="0" xfId="59" applyFont="1" applyFill="1" applyBorder="1">
      <alignment/>
      <protection/>
    </xf>
    <xf numFmtId="0" fontId="42" fillId="0" borderId="27" xfId="59" applyFont="1" applyBorder="1">
      <alignment/>
      <protection/>
    </xf>
    <xf numFmtId="3" fontId="19" fillId="0" borderId="27" xfId="59" applyNumberFormat="1" applyFont="1" applyBorder="1">
      <alignment/>
      <protection/>
    </xf>
    <xf numFmtId="0" fontId="19" fillId="0" borderId="27" xfId="59" applyFont="1" applyBorder="1">
      <alignment/>
      <protection/>
    </xf>
    <xf numFmtId="0" fontId="19" fillId="0" borderId="0" xfId="59" applyFont="1" applyAlignment="1">
      <alignment horizontal="right"/>
      <protection/>
    </xf>
    <xf numFmtId="0" fontId="19" fillId="0" borderId="0" xfId="59" applyFont="1" applyAlignment="1">
      <alignment/>
      <protection/>
    </xf>
    <xf numFmtId="0" fontId="19" fillId="0" borderId="0" xfId="0" applyFont="1" applyAlignment="1">
      <alignment horizontal="left"/>
    </xf>
    <xf numFmtId="0" fontId="20" fillId="0" borderId="0" xfId="59" applyFont="1">
      <alignment/>
      <protection/>
    </xf>
    <xf numFmtId="3" fontId="20" fillId="0" borderId="0" xfId="59" applyNumberFormat="1" applyFont="1">
      <alignment/>
      <protection/>
    </xf>
    <xf numFmtId="0" fontId="20" fillId="0" borderId="18" xfId="59" applyFont="1" applyBorder="1" applyAlignment="1">
      <alignment horizontal="center"/>
      <protection/>
    </xf>
    <xf numFmtId="0" fontId="20" fillId="0" borderId="107" xfId="59" applyFont="1" applyBorder="1" applyAlignment="1">
      <alignment horizontal="center"/>
      <protection/>
    </xf>
    <xf numFmtId="0" fontId="20" fillId="0" borderId="51" xfId="59" applyFont="1" applyBorder="1" applyAlignment="1">
      <alignment horizontal="center" vertical="center"/>
      <protection/>
    </xf>
    <xf numFmtId="0" fontId="20" fillId="0" borderId="33" xfId="59" applyFont="1" applyBorder="1" applyAlignment="1">
      <alignment horizontal="center" vertical="center"/>
      <protection/>
    </xf>
    <xf numFmtId="0" fontId="20" fillId="0" borderId="95" xfId="59" applyFont="1" applyBorder="1" applyAlignment="1">
      <alignment horizontal="center" vertical="center"/>
      <protection/>
    </xf>
    <xf numFmtId="0" fontId="20" fillId="0" borderId="18" xfId="59" applyFont="1" applyBorder="1" applyAlignment="1">
      <alignment vertical="center"/>
      <protection/>
    </xf>
    <xf numFmtId="0" fontId="20" fillId="0" borderId="53" xfId="59" applyFont="1" applyBorder="1" applyAlignment="1">
      <alignment horizontal="center" vertical="center"/>
      <protection/>
    </xf>
    <xf numFmtId="0" fontId="20" fillId="0" borderId="107" xfId="59" applyFont="1" applyBorder="1" applyAlignment="1">
      <alignment vertical="center"/>
      <protection/>
    </xf>
    <xf numFmtId="0" fontId="20" fillId="0" borderId="108" xfId="59" applyFont="1" applyBorder="1" applyAlignment="1">
      <alignment horizontal="center" vertical="center"/>
      <protection/>
    </xf>
    <xf numFmtId="0" fontId="20" fillId="0" borderId="107" xfId="59" applyFont="1" applyBorder="1" applyAlignment="1">
      <alignment horizontal="center" vertical="center"/>
      <protection/>
    </xf>
    <xf numFmtId="49" fontId="27" fillId="0" borderId="21" xfId="0" applyNumberFormat="1" applyFont="1" applyBorder="1" applyAlignment="1">
      <alignment vertical="center" wrapText="1"/>
    </xf>
    <xf numFmtId="0" fontId="27" fillId="0" borderId="22" xfId="0" applyFont="1" applyBorder="1" applyAlignment="1">
      <alignment vertical="center"/>
    </xf>
    <xf numFmtId="0" fontId="22" fillId="7" borderId="22" xfId="0" applyFont="1" applyFill="1" applyBorder="1" applyAlignment="1">
      <alignment vertical="center"/>
    </xf>
    <xf numFmtId="164" fontId="6" fillId="0" borderId="23" xfId="0" applyNumberFormat="1" applyFont="1" applyFill="1" applyBorder="1" applyAlignment="1">
      <alignment vertical="center"/>
    </xf>
    <xf numFmtId="164" fontId="15" fillId="34" borderId="22" xfId="62" applyNumberFormat="1" applyFont="1" applyFill="1" applyBorder="1" applyAlignment="1">
      <alignment horizontal="right" vertical="center"/>
      <protection/>
    </xf>
    <xf numFmtId="164" fontId="15" fillId="34" borderId="22" xfId="62" applyNumberFormat="1" applyFont="1" applyFill="1" applyBorder="1" applyAlignment="1">
      <alignment horizontal="right" vertical="center" wrapText="1"/>
      <protection/>
    </xf>
    <xf numFmtId="164" fontId="16" fillId="34" borderId="23" xfId="62" applyNumberFormat="1" applyFont="1" applyFill="1" applyBorder="1" applyAlignment="1">
      <alignment horizontal="right" vertical="center" wrapText="1"/>
      <protection/>
    </xf>
    <xf numFmtId="164" fontId="15" fillId="0" borderId="22" xfId="62" applyNumberFormat="1" applyFont="1" applyFill="1" applyBorder="1" applyAlignment="1">
      <alignment horizontal="right" vertical="center"/>
      <protection/>
    </xf>
    <xf numFmtId="164" fontId="15" fillId="0" borderId="22" xfId="62" applyNumberFormat="1" applyFont="1" applyFill="1" applyBorder="1" applyAlignment="1">
      <alignment horizontal="right" vertical="center" wrapText="1"/>
      <protection/>
    </xf>
    <xf numFmtId="164" fontId="16" fillId="0" borderId="23" xfId="62" applyNumberFormat="1" applyFont="1" applyBorder="1" applyAlignment="1">
      <alignment horizontal="right" vertical="center" wrapText="1"/>
      <protection/>
    </xf>
    <xf numFmtId="164" fontId="15" fillId="0" borderId="18" xfId="62" applyNumberFormat="1" applyFont="1" applyFill="1" applyBorder="1" applyAlignment="1">
      <alignment horizontal="right" vertical="center"/>
      <protection/>
    </xf>
    <xf numFmtId="164" fontId="15" fillId="0" borderId="18" xfId="62" applyNumberFormat="1" applyFont="1" applyFill="1" applyBorder="1" applyAlignment="1">
      <alignment horizontal="right" vertical="center" wrapText="1"/>
      <protection/>
    </xf>
    <xf numFmtId="164" fontId="16" fillId="0" borderId="34" xfId="62" applyNumberFormat="1" applyFont="1" applyBorder="1" applyAlignment="1">
      <alignment horizontal="right" vertical="center" wrapText="1"/>
      <protection/>
    </xf>
    <xf numFmtId="0" fontId="19" fillId="0" borderId="0" xfId="0" applyFont="1" applyAlignment="1">
      <alignment vertical="center"/>
    </xf>
    <xf numFmtId="0" fontId="23" fillId="0" borderId="61" xfId="59" applyFont="1" applyBorder="1" applyAlignment="1">
      <alignment horizontal="left" wrapText="1"/>
      <protection/>
    </xf>
    <xf numFmtId="0" fontId="61" fillId="0" borderId="61" xfId="59" applyFont="1" applyBorder="1" applyAlignment="1">
      <alignment horizontal="left" wrapText="1"/>
      <protection/>
    </xf>
    <xf numFmtId="0" fontId="61" fillId="0" borderId="0" xfId="59" applyFont="1" applyBorder="1" applyAlignment="1">
      <alignment horizontal="left" wrapText="1"/>
      <protection/>
    </xf>
    <xf numFmtId="0" fontId="23" fillId="0" borderId="0" xfId="59" applyFont="1" applyAlignment="1">
      <alignment horizontal="left" wrapText="1"/>
      <protection/>
    </xf>
    <xf numFmtId="3" fontId="20" fillId="36" borderId="84" xfId="59" applyNumberFormat="1" applyFont="1" applyFill="1" applyBorder="1" applyAlignment="1">
      <alignment horizontal="right"/>
      <protection/>
    </xf>
    <xf numFmtId="3" fontId="20" fillId="36" borderId="99" xfId="59" applyNumberFormat="1" applyFont="1" applyFill="1" applyBorder="1">
      <alignment/>
      <protection/>
    </xf>
    <xf numFmtId="3" fontId="20" fillId="36" borderId="86" xfId="59" applyNumberFormat="1" applyFont="1" applyFill="1" applyBorder="1">
      <alignment/>
      <protection/>
    </xf>
    <xf numFmtId="3" fontId="23" fillId="0" borderId="65" xfId="0" applyNumberFormat="1" applyFont="1" applyBorder="1" applyAlignment="1">
      <alignment/>
    </xf>
    <xf numFmtId="3" fontId="23" fillId="0" borderId="49" xfId="0" applyNumberFormat="1" applyFont="1" applyBorder="1" applyAlignment="1">
      <alignment/>
    </xf>
    <xf numFmtId="0" fontId="23" fillId="36" borderId="83" xfId="59" applyFont="1" applyFill="1" applyBorder="1" applyAlignment="1">
      <alignment horizontal="left"/>
      <protection/>
    </xf>
    <xf numFmtId="3" fontId="16" fillId="36" borderId="81" xfId="59" applyNumberFormat="1" applyFont="1" applyFill="1" applyBorder="1" applyAlignment="1">
      <alignment horizontal="right"/>
      <protection/>
    </xf>
    <xf numFmtId="3" fontId="16" fillId="36" borderId="109" xfId="59" applyNumberFormat="1" applyFont="1" applyFill="1" applyBorder="1" applyAlignment="1">
      <alignment horizontal="right"/>
      <protection/>
    </xf>
    <xf numFmtId="3" fontId="60" fillId="36" borderId="99" xfId="59" applyNumberFormat="1" applyFont="1" applyFill="1" applyBorder="1" applyAlignment="1">
      <alignment horizontal="right"/>
      <protection/>
    </xf>
    <xf numFmtId="3" fontId="60" fillId="36" borderId="86" xfId="59" applyNumberFormat="1" applyFont="1" applyFill="1" applyBorder="1" applyAlignment="1">
      <alignment horizontal="right" vertical="center"/>
      <protection/>
    </xf>
    <xf numFmtId="0" fontId="19" fillId="0" borderId="57" xfId="0" applyFont="1" applyBorder="1" applyAlignment="1">
      <alignment horizontal="right"/>
    </xf>
    <xf numFmtId="3" fontId="20" fillId="36" borderId="84" xfId="59" applyNumberFormat="1" applyFont="1" applyFill="1" applyBorder="1" applyAlignment="1">
      <alignment vertical="center"/>
      <protection/>
    </xf>
    <xf numFmtId="3" fontId="20" fillId="36" borderId="110" xfId="59" applyNumberFormat="1" applyFont="1" applyFill="1" applyBorder="1" applyAlignment="1">
      <alignment vertical="center"/>
      <protection/>
    </xf>
    <xf numFmtId="3" fontId="20" fillId="36" borderId="111" xfId="59" applyNumberFormat="1" applyFont="1" applyFill="1" applyBorder="1" applyAlignment="1">
      <alignment vertical="center"/>
      <protection/>
    </xf>
    <xf numFmtId="0" fontId="23" fillId="36" borderId="0" xfId="59" applyFont="1" applyFill="1" applyBorder="1" applyAlignment="1">
      <alignment horizontal="left" vertical="center" wrapText="1"/>
      <protection/>
    </xf>
    <xf numFmtId="3" fontId="16" fillId="36" borderId="93" xfId="59" applyNumberFormat="1" applyFont="1" applyFill="1" applyBorder="1" applyAlignment="1">
      <alignment vertical="center"/>
      <protection/>
    </xf>
    <xf numFmtId="0" fontId="19" fillId="36" borderId="82" xfId="59" applyFont="1" applyFill="1" applyBorder="1" applyAlignment="1">
      <alignment vertical="center"/>
      <protection/>
    </xf>
    <xf numFmtId="3" fontId="16" fillId="36" borderId="81" xfId="59" applyNumberFormat="1" applyFont="1" applyFill="1" applyBorder="1" applyAlignment="1">
      <alignment vertical="center"/>
      <protection/>
    </xf>
    <xf numFmtId="0" fontId="19" fillId="36" borderId="99" xfId="59" applyFont="1" applyFill="1" applyBorder="1" applyAlignment="1">
      <alignment vertical="center"/>
      <protection/>
    </xf>
    <xf numFmtId="3" fontId="16" fillId="36" borderId="75" xfId="59" applyNumberFormat="1" applyFont="1" applyFill="1" applyBorder="1" applyAlignment="1">
      <alignment vertical="center"/>
      <protection/>
    </xf>
    <xf numFmtId="3" fontId="60" fillId="36" borderId="112" xfId="59" applyNumberFormat="1" applyFont="1" applyFill="1" applyBorder="1" applyAlignment="1">
      <alignment vertical="center"/>
      <protection/>
    </xf>
    <xf numFmtId="3" fontId="60" fillId="36" borderId="100" xfId="59" applyNumberFormat="1" applyFont="1" applyFill="1" applyBorder="1" applyAlignment="1">
      <alignment vertical="center"/>
      <protection/>
    </xf>
    <xf numFmtId="3" fontId="60" fillId="36" borderId="92" xfId="59" applyNumberFormat="1" applyFont="1" applyFill="1" applyBorder="1" applyAlignment="1">
      <alignment vertical="center"/>
      <protection/>
    </xf>
    <xf numFmtId="3" fontId="60" fillId="36" borderId="113" xfId="59" applyNumberFormat="1" applyFont="1" applyFill="1" applyBorder="1" applyAlignment="1">
      <alignment vertical="center"/>
      <protection/>
    </xf>
    <xf numFmtId="0" fontId="19" fillId="0" borderId="0" xfId="0" applyFont="1" applyBorder="1" applyAlignment="1">
      <alignment vertical="center"/>
    </xf>
    <xf numFmtId="0" fontId="23" fillId="0" borderId="61" xfId="59" applyFont="1" applyBorder="1" applyAlignment="1">
      <alignment wrapText="1"/>
      <protection/>
    </xf>
    <xf numFmtId="0" fontId="23" fillId="0" borderId="0" xfId="59" applyFont="1" applyBorder="1" applyAlignment="1">
      <alignment wrapText="1"/>
      <protection/>
    </xf>
    <xf numFmtId="3" fontId="23" fillId="0" borderId="0" xfId="59" applyNumberFormat="1" applyFont="1" applyBorder="1" applyAlignment="1">
      <alignment horizontal="right" vertical="center"/>
      <protection/>
    </xf>
    <xf numFmtId="3" fontId="23" fillId="0" borderId="49" xfId="59" applyNumberFormat="1" applyFont="1" applyBorder="1" applyAlignment="1">
      <alignment/>
      <protection/>
    </xf>
    <xf numFmtId="3" fontId="23" fillId="0" borderId="49" xfId="59" applyNumberFormat="1" applyFont="1" applyBorder="1" applyAlignment="1">
      <alignment vertical="center"/>
      <protection/>
    </xf>
    <xf numFmtId="3" fontId="23" fillId="0" borderId="114" xfId="59" applyNumberFormat="1" applyFont="1" applyBorder="1">
      <alignment/>
      <protection/>
    </xf>
    <xf numFmtId="3" fontId="23" fillId="0" borderId="115" xfId="59" applyNumberFormat="1" applyFont="1" applyBorder="1">
      <alignment/>
      <protection/>
    </xf>
    <xf numFmtId="3" fontId="23" fillId="0" borderId="48" xfId="59" applyNumberFormat="1" applyFont="1" applyFill="1" applyBorder="1" applyAlignment="1">
      <alignment vertical="center"/>
      <protection/>
    </xf>
    <xf numFmtId="3" fontId="23" fillId="0" borderId="65" xfId="59" applyNumberFormat="1" applyFont="1" applyBorder="1" applyAlignment="1">
      <alignment vertical="center"/>
      <protection/>
    </xf>
    <xf numFmtId="3" fontId="23" fillId="0" borderId="49" xfId="59" applyNumberFormat="1" applyFont="1" applyFill="1" applyBorder="1" applyAlignment="1">
      <alignment vertical="center"/>
      <protection/>
    </xf>
    <xf numFmtId="3" fontId="23" fillId="0" borderId="0" xfId="59" applyNumberFormat="1" applyFont="1" applyBorder="1" applyAlignment="1">
      <alignment vertical="center"/>
      <protection/>
    </xf>
    <xf numFmtId="3" fontId="23" fillId="0" borderId="65" xfId="59" applyNumberFormat="1" applyFont="1" applyFill="1" applyBorder="1" applyAlignment="1">
      <alignment vertical="center"/>
      <protection/>
    </xf>
    <xf numFmtId="0" fontId="45" fillId="0" borderId="0" xfId="60" applyFont="1" applyFill="1" applyAlignment="1">
      <alignment vertical="center" wrapText="1"/>
      <protection/>
    </xf>
    <xf numFmtId="0" fontId="45" fillId="0" borderId="73" xfId="60" applyFont="1" applyFill="1" applyBorder="1" applyAlignment="1">
      <alignment vertical="center" wrapText="1"/>
      <protection/>
    </xf>
    <xf numFmtId="0" fontId="19" fillId="0" borderId="76" xfId="59" applyFont="1" applyBorder="1" applyAlignment="1">
      <alignment horizontal="right"/>
      <protection/>
    </xf>
    <xf numFmtId="0" fontId="19" fillId="0" borderId="69" xfId="59" applyFont="1" applyBorder="1" applyAlignment="1">
      <alignment horizontal="right"/>
      <protection/>
    </xf>
    <xf numFmtId="0" fontId="24" fillId="0" borderId="76" xfId="59" applyFont="1" applyBorder="1" applyAlignment="1">
      <alignment horizontal="right"/>
      <protection/>
    </xf>
    <xf numFmtId="3" fontId="23" fillId="0" borderId="114" xfId="0" applyNumberFormat="1" applyFont="1" applyBorder="1" applyAlignment="1">
      <alignment/>
    </xf>
    <xf numFmtId="3" fontId="24" fillId="0" borderId="116" xfId="60" applyNumberFormat="1" applyFont="1" applyFill="1" applyBorder="1" applyAlignment="1">
      <alignment horizontal="right" vertical="center"/>
      <protection/>
    </xf>
    <xf numFmtId="3" fontId="24" fillId="0" borderId="107" xfId="60" applyNumberFormat="1" applyFont="1" applyFill="1" applyBorder="1" applyAlignment="1">
      <alignment horizontal="right" vertical="center"/>
      <protection/>
    </xf>
    <xf numFmtId="3" fontId="60" fillId="0" borderId="41" xfId="60" applyNumberFormat="1" applyFont="1" applyFill="1" applyBorder="1" applyAlignment="1">
      <alignment vertical="center"/>
      <protection/>
    </xf>
    <xf numFmtId="3" fontId="23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0" fontId="42" fillId="0" borderId="0" xfId="0" applyFont="1" applyFill="1" applyAlignment="1">
      <alignment vertical="center"/>
    </xf>
    <xf numFmtId="49" fontId="42" fillId="0" borderId="0" xfId="0" applyNumberFormat="1" applyFont="1" applyFill="1" applyAlignment="1">
      <alignment vertical="center"/>
    </xf>
    <xf numFmtId="49" fontId="42" fillId="0" borderId="0" xfId="0" applyNumberFormat="1" applyFont="1" applyFill="1" applyAlignment="1">
      <alignment horizontal="center" vertical="center"/>
    </xf>
    <xf numFmtId="0" fontId="58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/>
    </xf>
    <xf numFmtId="0" fontId="43" fillId="0" borderId="33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49" fontId="21" fillId="0" borderId="0" xfId="0" applyNumberFormat="1" applyFont="1" applyFill="1" applyAlignment="1">
      <alignment horizontal="center" vertical="center" wrapText="1"/>
    </xf>
    <xf numFmtId="0" fontId="47" fillId="0" borderId="45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25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 wrapText="1"/>
    </xf>
    <xf numFmtId="0" fontId="42" fillId="0" borderId="27" xfId="0" applyFont="1" applyFill="1" applyBorder="1" applyAlignment="1">
      <alignment horizontal="center" vertical="center" wrapText="1"/>
    </xf>
    <xf numFmtId="49" fontId="42" fillId="0" borderId="27" xfId="0" applyNumberFormat="1" applyFont="1" applyFill="1" applyBorder="1" applyAlignment="1">
      <alignment horizontal="center" vertical="center" wrapText="1"/>
    </xf>
    <xf numFmtId="0" fontId="42" fillId="0" borderId="38" xfId="0" applyFont="1" applyFill="1" applyBorder="1" applyAlignment="1">
      <alignment horizontal="center" vertical="center"/>
    </xf>
    <xf numFmtId="0" fontId="58" fillId="0" borderId="24" xfId="0" applyFont="1" applyFill="1" applyBorder="1" applyAlignment="1">
      <alignment horizontal="center" vertical="center" wrapText="1"/>
    </xf>
    <xf numFmtId="0" fontId="43" fillId="0" borderId="39" xfId="0" applyFont="1" applyFill="1" applyBorder="1" applyAlignment="1">
      <alignment horizontal="center" vertical="center" wrapText="1"/>
    </xf>
    <xf numFmtId="0" fontId="43" fillId="0" borderId="38" xfId="0" applyFont="1" applyFill="1" applyBorder="1" applyAlignment="1">
      <alignment horizontal="center" vertical="center" wrapText="1"/>
    </xf>
    <xf numFmtId="3" fontId="43" fillId="0" borderId="38" xfId="0" applyNumberFormat="1" applyFont="1" applyFill="1" applyBorder="1" applyAlignment="1">
      <alignment horizontal="center" vertical="center"/>
    </xf>
    <xf numFmtId="0" fontId="43" fillId="0" borderId="117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49" fontId="42" fillId="0" borderId="37" xfId="0" applyNumberFormat="1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vertical="center" wrapText="1"/>
    </xf>
    <xf numFmtId="3" fontId="58" fillId="0" borderId="24" xfId="0" applyNumberFormat="1" applyFont="1" applyFill="1" applyBorder="1" applyAlignment="1">
      <alignment vertical="center"/>
    </xf>
    <xf numFmtId="3" fontId="43" fillId="0" borderId="39" xfId="0" applyNumberFormat="1" applyFont="1" applyFill="1" applyBorder="1" applyAlignment="1">
      <alignment vertical="center"/>
    </xf>
    <xf numFmtId="3" fontId="43" fillId="0" borderId="38" xfId="0" applyNumberFormat="1" applyFont="1" applyFill="1" applyBorder="1" applyAlignment="1">
      <alignment vertical="center"/>
    </xf>
    <xf numFmtId="3" fontId="43" fillId="0" borderId="22" xfId="0" applyNumberFormat="1" applyFont="1" applyFill="1" applyBorder="1" applyAlignment="1">
      <alignment vertical="center"/>
    </xf>
    <xf numFmtId="3" fontId="21" fillId="0" borderId="23" xfId="0" applyNumberFormat="1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49" fontId="42" fillId="0" borderId="21" xfId="0" applyNumberFormat="1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vertical="center" wrapText="1"/>
    </xf>
    <xf numFmtId="3" fontId="58" fillId="0" borderId="11" xfId="0" applyNumberFormat="1" applyFont="1" applyFill="1" applyBorder="1" applyAlignment="1">
      <alignment vertical="center"/>
    </xf>
    <xf numFmtId="3" fontId="43" fillId="0" borderId="17" xfId="0" applyNumberFormat="1" applyFont="1" applyFill="1" applyBorder="1" applyAlignment="1">
      <alignment vertical="center"/>
    </xf>
    <xf numFmtId="3" fontId="58" fillId="0" borderId="16" xfId="0" applyNumberFormat="1" applyFont="1" applyFill="1" applyBorder="1" applyAlignment="1">
      <alignment vertical="center"/>
    </xf>
    <xf numFmtId="3" fontId="42" fillId="0" borderId="0" xfId="0" applyNumberFormat="1" applyFont="1" applyFill="1" applyAlignment="1">
      <alignment vertical="center"/>
    </xf>
    <xf numFmtId="3" fontId="58" fillId="0" borderId="22" xfId="0" applyNumberFormat="1" applyFont="1" applyFill="1" applyBorder="1" applyAlignment="1">
      <alignment vertical="center"/>
    </xf>
    <xf numFmtId="3" fontId="58" fillId="0" borderId="22" xfId="0" applyNumberFormat="1" applyFont="1" applyFill="1" applyBorder="1" applyAlignment="1">
      <alignment horizontal="right" vertical="center" wrapText="1"/>
    </xf>
    <xf numFmtId="0" fontId="21" fillId="0" borderId="22" xfId="0" applyFont="1" applyFill="1" applyBorder="1" applyAlignment="1">
      <alignment horizontal="left" vertical="center" wrapText="1"/>
    </xf>
    <xf numFmtId="3" fontId="43" fillId="0" borderId="22" xfId="0" applyNumberFormat="1" applyFont="1" applyFill="1" applyBorder="1" applyAlignment="1">
      <alignment horizontal="right" vertical="center"/>
    </xf>
    <xf numFmtId="49" fontId="42" fillId="0" borderId="44" xfId="0" applyNumberFormat="1" applyFont="1" applyFill="1" applyBorder="1" applyAlignment="1">
      <alignment horizontal="center" vertical="center"/>
    </xf>
    <xf numFmtId="3" fontId="43" fillId="0" borderId="45" xfId="0" applyNumberFormat="1" applyFont="1" applyFill="1" applyBorder="1" applyAlignment="1">
      <alignment vertical="center"/>
    </xf>
    <xf numFmtId="3" fontId="58" fillId="0" borderId="15" xfId="0" applyNumberFormat="1" applyFont="1" applyFill="1" applyBorder="1" applyAlignment="1">
      <alignment vertical="center"/>
    </xf>
    <xf numFmtId="3" fontId="43" fillId="0" borderId="25" xfId="0" applyNumberFormat="1" applyFont="1" applyFill="1" applyBorder="1" applyAlignment="1">
      <alignment vertical="center"/>
    </xf>
    <xf numFmtId="49" fontId="20" fillId="0" borderId="0" xfId="0" applyNumberFormat="1" applyFont="1" applyFill="1" applyAlignment="1">
      <alignment vertical="center"/>
    </xf>
    <xf numFmtId="0" fontId="21" fillId="0" borderId="45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49" fontId="20" fillId="0" borderId="29" xfId="0" applyNumberFormat="1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vertical="center"/>
    </xf>
    <xf numFmtId="3" fontId="66" fillId="0" borderId="34" xfId="0" applyNumberFormat="1" applyFont="1" applyFill="1" applyBorder="1" applyAlignment="1">
      <alignment vertical="center"/>
    </xf>
    <xf numFmtId="3" fontId="20" fillId="0" borderId="20" xfId="0" applyNumberFormat="1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6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3" fontId="58" fillId="0" borderId="0" xfId="0" applyNumberFormat="1" applyFont="1" applyFill="1" applyAlignment="1">
      <alignment vertical="center"/>
    </xf>
    <xf numFmtId="0" fontId="19" fillId="0" borderId="0" xfId="61" applyFont="1" applyAlignment="1">
      <alignment/>
      <protection/>
    </xf>
    <xf numFmtId="0" fontId="17" fillId="0" borderId="0" xfId="61" applyFont="1" applyAlignment="1">
      <alignment/>
      <protection/>
    </xf>
    <xf numFmtId="0" fontId="12" fillId="0" borderId="37" xfId="0" applyFont="1" applyFill="1" applyBorder="1" applyAlignment="1">
      <alignment horizontal="center" vertical="center"/>
    </xf>
    <xf numFmtId="4" fontId="22" fillId="0" borderId="21" xfId="61" applyNumberFormat="1" applyFont="1" applyBorder="1" applyAlignment="1">
      <alignment vertical="center"/>
      <protection/>
    </xf>
    <xf numFmtId="3" fontId="22" fillId="0" borderId="22" xfId="61" applyNumberFormat="1" applyFont="1" applyBorder="1" applyAlignment="1">
      <alignment vertical="center"/>
      <protection/>
    </xf>
    <xf numFmtId="3" fontId="22" fillId="0" borderId="23" xfId="61" applyNumberFormat="1" applyFont="1" applyBorder="1" applyAlignment="1">
      <alignment vertical="center"/>
      <protection/>
    </xf>
    <xf numFmtId="3" fontId="22" fillId="0" borderId="21" xfId="61" applyNumberFormat="1" applyFont="1" applyBorder="1" applyAlignment="1">
      <alignment vertical="center"/>
      <protection/>
    </xf>
    <xf numFmtId="3" fontId="22" fillId="0" borderId="17" xfId="61" applyNumberFormat="1" applyFont="1" applyBorder="1" applyAlignment="1">
      <alignment vertical="center"/>
      <protection/>
    </xf>
    <xf numFmtId="3" fontId="22" fillId="0" borderId="31" xfId="61" applyNumberFormat="1" applyFont="1" applyBorder="1" applyAlignment="1">
      <alignment vertical="center"/>
      <protection/>
    </xf>
    <xf numFmtId="3" fontId="14" fillId="0" borderId="21" xfId="61" applyNumberFormat="1" applyBorder="1" applyAlignment="1">
      <alignment vertical="center"/>
      <protection/>
    </xf>
    <xf numFmtId="3" fontId="14" fillId="0" borderId="22" xfId="61" applyNumberFormat="1" applyBorder="1" applyAlignment="1">
      <alignment vertical="center"/>
      <protection/>
    </xf>
    <xf numFmtId="3" fontId="14" fillId="0" borderId="23" xfId="61" applyNumberFormat="1" applyBorder="1" applyAlignment="1">
      <alignment vertical="center"/>
      <protection/>
    </xf>
    <xf numFmtId="3" fontId="14" fillId="0" borderId="17" xfId="61" applyNumberFormat="1" applyBorder="1" applyAlignment="1">
      <alignment vertical="center"/>
      <protection/>
    </xf>
    <xf numFmtId="3" fontId="14" fillId="0" borderId="31" xfId="61" applyNumberFormat="1" applyBorder="1" applyAlignment="1">
      <alignment vertical="center"/>
      <protection/>
    </xf>
    <xf numFmtId="3" fontId="14" fillId="33" borderId="21" xfId="61" applyNumberFormat="1" applyFill="1" applyBorder="1" applyAlignment="1">
      <alignment vertical="center"/>
      <protection/>
    </xf>
    <xf numFmtId="3" fontId="14" fillId="33" borderId="22" xfId="61" applyNumberFormat="1" applyFill="1" applyBorder="1" applyAlignment="1">
      <alignment vertical="center"/>
      <protection/>
    </xf>
    <xf numFmtId="3" fontId="14" fillId="33" borderId="17" xfId="61" applyNumberFormat="1" applyFill="1" applyBorder="1" applyAlignment="1">
      <alignment vertical="center"/>
      <protection/>
    </xf>
    <xf numFmtId="169" fontId="14" fillId="0" borderId="21" xfId="61" applyNumberFormat="1" applyBorder="1" applyAlignment="1">
      <alignment vertical="center"/>
      <protection/>
    </xf>
    <xf numFmtId="169" fontId="14" fillId="0" borderId="17" xfId="61" applyNumberFormat="1" applyBorder="1" applyAlignment="1">
      <alignment vertical="center"/>
      <protection/>
    </xf>
    <xf numFmtId="3" fontId="22" fillId="0" borderId="21" xfId="61" applyNumberFormat="1" applyFont="1" applyFill="1" applyBorder="1" applyAlignment="1">
      <alignment vertical="center"/>
      <protection/>
    </xf>
    <xf numFmtId="3" fontId="22" fillId="0" borderId="22" xfId="61" applyNumberFormat="1" applyFont="1" applyFill="1" applyBorder="1" applyAlignment="1">
      <alignment vertical="center"/>
      <protection/>
    </xf>
    <xf numFmtId="169" fontId="22" fillId="0" borderId="21" xfId="61" applyNumberFormat="1" applyFont="1" applyBorder="1" applyAlignment="1">
      <alignment vertical="center"/>
      <protection/>
    </xf>
    <xf numFmtId="169" fontId="22" fillId="0" borderId="17" xfId="61" applyNumberFormat="1" applyFont="1" applyBorder="1" applyAlignment="1">
      <alignment vertical="center"/>
      <protection/>
    </xf>
    <xf numFmtId="3" fontId="22" fillId="0" borderId="21" xfId="61" applyNumberFormat="1" applyFont="1" applyFill="1" applyBorder="1" applyAlignment="1">
      <alignment horizontal="center" vertical="center"/>
      <protection/>
    </xf>
    <xf numFmtId="3" fontId="22" fillId="0" borderId="22" xfId="61" applyNumberFormat="1" applyFont="1" applyFill="1" applyBorder="1" applyAlignment="1">
      <alignment horizontal="center" vertical="center"/>
      <protection/>
    </xf>
    <xf numFmtId="4" fontId="22" fillId="33" borderId="21" xfId="61" applyNumberFormat="1" applyFont="1" applyFill="1" applyBorder="1" applyAlignment="1">
      <alignment vertical="center"/>
      <protection/>
    </xf>
    <xf numFmtId="4" fontId="22" fillId="33" borderId="17" xfId="61" applyNumberFormat="1" applyFont="1" applyFill="1" applyBorder="1" applyAlignment="1">
      <alignment vertical="center"/>
      <protection/>
    </xf>
    <xf numFmtId="2" fontId="14" fillId="0" borderId="21" xfId="61" applyNumberFormat="1" applyBorder="1" applyAlignment="1">
      <alignment vertical="center"/>
      <protection/>
    </xf>
    <xf numFmtId="2" fontId="14" fillId="0" borderId="17" xfId="61" applyNumberFormat="1" applyBorder="1" applyAlignment="1">
      <alignment vertical="center"/>
      <protection/>
    </xf>
    <xf numFmtId="4" fontId="14" fillId="0" borderId="21" xfId="61" applyNumberFormat="1" applyBorder="1" applyAlignment="1">
      <alignment vertical="center"/>
      <protection/>
    </xf>
    <xf numFmtId="3" fontId="14" fillId="0" borderId="22" xfId="61" applyNumberFormat="1" applyFill="1" applyBorder="1" applyAlignment="1">
      <alignment vertical="center"/>
      <protection/>
    </xf>
    <xf numFmtId="3" fontId="14" fillId="0" borderId="31" xfId="61" applyNumberFormat="1" applyFont="1" applyBorder="1" applyAlignment="1">
      <alignment vertical="center"/>
      <protection/>
    </xf>
    <xf numFmtId="4" fontId="14" fillId="0" borderId="21" xfId="61" applyNumberFormat="1" applyFill="1" applyBorder="1" applyAlignment="1">
      <alignment vertical="center"/>
      <protection/>
    </xf>
    <xf numFmtId="3" fontId="14" fillId="0" borderId="17" xfId="61" applyNumberFormat="1" applyFill="1" applyBorder="1" applyAlignment="1">
      <alignment vertical="center"/>
      <protection/>
    </xf>
    <xf numFmtId="3" fontId="2" fillId="33" borderId="21" xfId="61" applyNumberFormat="1" applyFont="1" applyFill="1" applyBorder="1" applyAlignment="1">
      <alignment horizontal="center" vertical="center"/>
      <protection/>
    </xf>
    <xf numFmtId="3" fontId="2" fillId="33" borderId="22" xfId="61" applyNumberFormat="1" applyFont="1" applyFill="1" applyBorder="1" applyAlignment="1">
      <alignment horizontal="center" vertical="center"/>
      <protection/>
    </xf>
    <xf numFmtId="3" fontId="1" fillId="33" borderId="23" xfId="61" applyNumberFormat="1" applyFont="1" applyFill="1" applyBorder="1" applyAlignment="1">
      <alignment vertical="center"/>
      <protection/>
    </xf>
    <xf numFmtId="3" fontId="2" fillId="33" borderId="17" xfId="61" applyNumberFormat="1" applyFont="1" applyFill="1" applyBorder="1" applyAlignment="1">
      <alignment horizontal="center" vertical="center"/>
      <protection/>
    </xf>
    <xf numFmtId="3" fontId="22" fillId="33" borderId="31" xfId="61" applyNumberFormat="1" applyFont="1" applyFill="1" applyBorder="1" applyAlignment="1">
      <alignment vertical="center"/>
      <protection/>
    </xf>
    <xf numFmtId="0" fontId="14" fillId="0" borderId="0" xfId="61" applyAlignment="1">
      <alignment vertical="center"/>
      <protection/>
    </xf>
    <xf numFmtId="3" fontId="40" fillId="33" borderId="21" xfId="61" applyNumberFormat="1" applyFont="1" applyFill="1" applyBorder="1" applyAlignment="1">
      <alignment horizontal="center" vertical="center"/>
      <protection/>
    </xf>
    <xf numFmtId="3" fontId="40" fillId="33" borderId="22" xfId="61" applyNumberFormat="1" applyFont="1" applyFill="1" applyBorder="1" applyAlignment="1">
      <alignment horizontal="center" vertical="center"/>
      <protection/>
    </xf>
    <xf numFmtId="3" fontId="40" fillId="33" borderId="23" xfId="61" applyNumberFormat="1" applyFont="1" applyFill="1" applyBorder="1" applyAlignment="1">
      <alignment vertical="center"/>
      <protection/>
    </xf>
    <xf numFmtId="3" fontId="40" fillId="33" borderId="17" xfId="61" applyNumberFormat="1" applyFont="1" applyFill="1" applyBorder="1" applyAlignment="1">
      <alignment horizontal="center" vertical="center"/>
      <protection/>
    </xf>
    <xf numFmtId="0" fontId="47" fillId="0" borderId="19" xfId="0" applyFont="1" applyFill="1" applyBorder="1" applyAlignment="1">
      <alignment horizontal="center" vertical="center" wrapText="1"/>
    </xf>
    <xf numFmtId="0" fontId="23" fillId="0" borderId="61" xfId="59" applyFont="1" applyBorder="1" applyAlignment="1">
      <alignment horizontal="left" vertical="center"/>
      <protection/>
    </xf>
    <xf numFmtId="0" fontId="23" fillId="0" borderId="0" xfId="59" applyFont="1" applyBorder="1" applyAlignment="1">
      <alignment horizontal="left" vertical="center"/>
      <protection/>
    </xf>
    <xf numFmtId="0" fontId="24" fillId="0" borderId="61" xfId="59" applyFont="1" applyBorder="1" applyAlignment="1">
      <alignment horizontal="right"/>
      <protection/>
    </xf>
    <xf numFmtId="0" fontId="23" fillId="0" borderId="62" xfId="59" applyFont="1" applyBorder="1" applyAlignment="1">
      <alignment horizontal="left"/>
      <protection/>
    </xf>
    <xf numFmtId="0" fontId="23" fillId="0" borderId="60" xfId="59" applyFont="1" applyBorder="1" applyAlignment="1">
      <alignment horizontal="left"/>
      <protection/>
    </xf>
    <xf numFmtId="3" fontId="16" fillId="0" borderId="61" xfId="59" applyNumberFormat="1" applyFont="1" applyBorder="1" applyAlignment="1">
      <alignment horizontal="right" vertical="center"/>
      <protection/>
    </xf>
    <xf numFmtId="0" fontId="23" fillId="0" borderId="0" xfId="59" applyFont="1" applyBorder="1" applyAlignment="1">
      <alignment horizontal="left" wrapText="1"/>
      <protection/>
    </xf>
    <xf numFmtId="3" fontId="16" fillId="0" borderId="98" xfId="59" applyNumberFormat="1" applyFont="1" applyBorder="1" applyAlignment="1">
      <alignment horizontal="right" vertical="center"/>
      <protection/>
    </xf>
    <xf numFmtId="3" fontId="21" fillId="0" borderId="22" xfId="0" applyNumberFormat="1" applyFont="1" applyFill="1" applyBorder="1" applyAlignment="1">
      <alignment vertical="center"/>
    </xf>
    <xf numFmtId="3" fontId="43" fillId="0" borderId="44" xfId="60" applyNumberFormat="1" applyFont="1" applyFill="1" applyBorder="1" applyAlignment="1">
      <alignment vertical="center"/>
      <protection/>
    </xf>
    <xf numFmtId="3" fontId="43" fillId="0" borderId="45" xfId="60" applyNumberFormat="1" applyFont="1" applyFill="1" applyBorder="1" applyAlignment="1">
      <alignment vertical="center"/>
      <protection/>
    </xf>
    <xf numFmtId="3" fontId="43" fillId="0" borderId="25" xfId="60" applyNumberFormat="1" applyFont="1" applyFill="1" applyBorder="1" applyAlignment="1">
      <alignment vertical="center"/>
      <protection/>
    </xf>
    <xf numFmtId="3" fontId="59" fillId="0" borderId="45" xfId="60" applyNumberFormat="1" applyFont="1" applyFill="1" applyBorder="1" applyAlignment="1">
      <alignment vertical="center"/>
      <protection/>
    </xf>
    <xf numFmtId="3" fontId="42" fillId="0" borderId="25" xfId="60" applyNumberFormat="1" applyFont="1" applyFill="1" applyBorder="1" applyAlignment="1">
      <alignment vertical="center"/>
      <protection/>
    </xf>
    <xf numFmtId="3" fontId="21" fillId="0" borderId="118" xfId="60" applyNumberFormat="1" applyFont="1" applyFill="1" applyBorder="1" applyAlignment="1">
      <alignment vertical="center"/>
      <protection/>
    </xf>
    <xf numFmtId="3" fontId="24" fillId="0" borderId="119" xfId="60" applyNumberFormat="1" applyFont="1" applyFill="1" applyBorder="1" applyAlignment="1">
      <alignment vertical="center"/>
      <protection/>
    </xf>
    <xf numFmtId="3" fontId="24" fillId="0" borderId="120" xfId="60" applyNumberFormat="1" applyFont="1" applyFill="1" applyBorder="1" applyAlignment="1">
      <alignment vertical="center"/>
      <protection/>
    </xf>
    <xf numFmtId="3" fontId="21" fillId="0" borderId="18" xfId="0" applyNumberFormat="1" applyFont="1" applyFill="1" applyBorder="1" applyAlignment="1">
      <alignment vertical="center"/>
    </xf>
    <xf numFmtId="3" fontId="21" fillId="0" borderId="34" xfId="0" applyNumberFormat="1" applyFont="1" applyFill="1" applyBorder="1" applyAlignment="1">
      <alignment vertical="center"/>
    </xf>
    <xf numFmtId="3" fontId="19" fillId="0" borderId="22" xfId="58" applyNumberFormat="1" applyFont="1" applyBorder="1">
      <alignment/>
      <protection/>
    </xf>
    <xf numFmtId="3" fontId="61" fillId="0" borderId="48" xfId="59" applyNumberFormat="1" applyFont="1" applyBorder="1">
      <alignment/>
      <protection/>
    </xf>
    <xf numFmtId="3" fontId="23" fillId="0" borderId="48" xfId="59" applyNumberFormat="1" applyFont="1" applyBorder="1" applyAlignment="1">
      <alignment vertical="center"/>
      <protection/>
    </xf>
    <xf numFmtId="3" fontId="23" fillId="0" borderId="48" xfId="59" applyNumberFormat="1" applyFont="1" applyFill="1" applyBorder="1" applyAlignment="1">
      <alignment horizontal="right" vertical="center"/>
      <protection/>
    </xf>
    <xf numFmtId="0" fontId="6" fillId="0" borderId="17" xfId="0" applyFont="1" applyFill="1" applyBorder="1" applyAlignment="1">
      <alignment vertical="center" wrapText="1"/>
    </xf>
    <xf numFmtId="0" fontId="12" fillId="0" borderId="44" xfId="0" applyFont="1" applyFill="1" applyBorder="1" applyAlignment="1">
      <alignment horizontal="center" vertical="center"/>
    </xf>
    <xf numFmtId="164" fontId="6" fillId="0" borderId="49" xfId="0" applyNumberFormat="1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164" fontId="108" fillId="0" borderId="22" xfId="0" applyNumberFormat="1" applyFont="1" applyBorder="1" applyAlignment="1">
      <alignment vertical="center"/>
    </xf>
    <xf numFmtId="0" fontId="21" fillId="0" borderId="22" xfId="0" applyFont="1" applyBorder="1" applyAlignment="1">
      <alignment vertical="center"/>
    </xf>
    <xf numFmtId="164" fontId="21" fillId="0" borderId="22" xfId="0" applyNumberFormat="1" applyFont="1" applyBorder="1" applyAlignment="1">
      <alignment vertical="center"/>
    </xf>
    <xf numFmtId="49" fontId="14" fillId="0" borderId="22" xfId="61" applyNumberFormat="1" applyBorder="1">
      <alignment/>
      <protection/>
    </xf>
    <xf numFmtId="0" fontId="14" fillId="0" borderId="22" xfId="61" applyBorder="1">
      <alignment/>
      <protection/>
    </xf>
    <xf numFmtId="0" fontId="14" fillId="0" borderId="22" xfId="61" applyBorder="1" applyAlignment="1">
      <alignment vertical="center"/>
      <protection/>
    </xf>
    <xf numFmtId="0" fontId="14" fillId="0" borderId="14" xfId="61" applyBorder="1">
      <alignment/>
      <protection/>
    </xf>
    <xf numFmtId="0" fontId="14" fillId="0" borderId="17" xfId="61" applyBorder="1" applyAlignment="1">
      <alignment vertical="center"/>
      <protection/>
    </xf>
    <xf numFmtId="0" fontId="14" fillId="0" borderId="21" xfId="61" applyBorder="1" applyAlignment="1">
      <alignment vertical="center"/>
      <protection/>
    </xf>
    <xf numFmtId="0" fontId="14" fillId="0" borderId="14" xfId="61" applyBorder="1" applyAlignment="1">
      <alignment vertical="center"/>
      <protection/>
    </xf>
    <xf numFmtId="3" fontId="2" fillId="33" borderId="14" xfId="61" applyNumberFormat="1" applyFont="1" applyFill="1" applyBorder="1" applyAlignment="1">
      <alignment horizontal="center" vertical="center"/>
      <protection/>
    </xf>
    <xf numFmtId="3" fontId="1" fillId="33" borderId="31" xfId="61" applyNumberFormat="1" applyFont="1" applyFill="1" applyBorder="1" applyAlignment="1">
      <alignment vertical="center"/>
      <protection/>
    </xf>
    <xf numFmtId="0" fontId="19" fillId="0" borderId="0" xfId="0" applyFont="1" applyAlignment="1">
      <alignment horizontal="center"/>
    </xf>
    <xf numFmtId="0" fontId="20" fillId="0" borderId="93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20" fillId="0" borderId="121" xfId="0" applyFont="1" applyBorder="1" applyAlignment="1">
      <alignment horizontal="center" vertical="center"/>
    </xf>
    <xf numFmtId="0" fontId="20" fillId="0" borderId="122" xfId="0" applyFont="1" applyBorder="1" applyAlignment="1">
      <alignment horizontal="center" vertical="center"/>
    </xf>
    <xf numFmtId="0" fontId="20" fillId="0" borderId="123" xfId="0" applyFont="1" applyBorder="1" applyAlignment="1">
      <alignment horizontal="center" vertical="center"/>
    </xf>
    <xf numFmtId="0" fontId="21" fillId="0" borderId="124" xfId="0" applyFont="1" applyBorder="1" applyAlignment="1">
      <alignment horizontal="center" vertical="center" wrapText="1"/>
    </xf>
    <xf numFmtId="0" fontId="20" fillId="0" borderId="125" xfId="0" applyFont="1" applyBorder="1" applyAlignment="1">
      <alignment horizontal="center" vertical="center" wrapText="1"/>
    </xf>
    <xf numFmtId="0" fontId="19" fillId="0" borderId="104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0" fillId="0" borderId="49" xfId="0" applyBorder="1" applyAlignment="1">
      <alignment/>
    </xf>
    <xf numFmtId="0" fontId="19" fillId="0" borderId="31" xfId="0" applyFont="1" applyBorder="1" applyAlignment="1">
      <alignment horizontal="center"/>
    </xf>
    <xf numFmtId="0" fontId="0" fillId="0" borderId="126" xfId="0" applyBorder="1" applyAlignment="1">
      <alignment/>
    </xf>
    <xf numFmtId="3" fontId="0" fillId="0" borderId="36" xfId="0" applyNumberFormat="1" applyBorder="1" applyAlignment="1">
      <alignment/>
    </xf>
    <xf numFmtId="3" fontId="0" fillId="6" borderId="127" xfId="0" applyNumberFormat="1" applyFill="1" applyBorder="1" applyAlignment="1">
      <alignment/>
    </xf>
    <xf numFmtId="0" fontId="0" fillId="0" borderId="128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6" borderId="31" xfId="0" applyNumberFormat="1" applyFill="1" applyBorder="1" applyAlignment="1">
      <alignment/>
    </xf>
    <xf numFmtId="0" fontId="22" fillId="0" borderId="42" xfId="0" applyFont="1" applyBorder="1" applyAlignment="1">
      <alignment/>
    </xf>
    <xf numFmtId="3" fontId="22" fillId="37" borderId="107" xfId="0" applyNumberFormat="1" applyFont="1" applyFill="1" applyBorder="1" applyAlignment="1">
      <alignment/>
    </xf>
    <xf numFmtId="3" fontId="22" fillId="6" borderId="41" xfId="0" applyNumberFormat="1" applyFont="1" applyFill="1" applyBorder="1" applyAlignment="1">
      <alignment/>
    </xf>
    <xf numFmtId="3" fontId="22" fillId="6" borderId="42" xfId="0" applyNumberFormat="1" applyFont="1" applyFill="1" applyBorder="1" applyAlignment="1">
      <alignment/>
    </xf>
    <xf numFmtId="0" fontId="19" fillId="0" borderId="118" xfId="0" applyFont="1" applyBorder="1" applyAlignment="1">
      <alignment horizontal="center"/>
    </xf>
    <xf numFmtId="0" fontId="0" fillId="0" borderId="37" xfId="0" applyBorder="1" applyAlignment="1">
      <alignment horizontal="left"/>
    </xf>
    <xf numFmtId="3" fontId="0" fillId="6" borderId="35" xfId="0" applyNumberFormat="1" applyFill="1" applyBorder="1" applyAlignment="1">
      <alignment/>
    </xf>
    <xf numFmtId="3" fontId="0" fillId="6" borderId="21" xfId="0" applyNumberFormat="1" applyFill="1" applyBorder="1" applyAlignment="1">
      <alignment/>
    </xf>
    <xf numFmtId="0" fontId="0" fillId="0" borderId="44" xfId="0" applyBorder="1" applyAlignment="1">
      <alignment horizontal="left"/>
    </xf>
    <xf numFmtId="0" fontId="19" fillId="0" borderId="124" xfId="0" applyFont="1" applyBorder="1" applyAlignment="1">
      <alignment horizontal="center" vertical="center"/>
    </xf>
    <xf numFmtId="0" fontId="22" fillId="0" borderId="82" xfId="0" applyFont="1" applyBorder="1" applyAlignment="1">
      <alignment/>
    </xf>
    <xf numFmtId="3" fontId="22" fillId="6" borderId="82" xfId="0" applyNumberFormat="1" applyFont="1" applyFill="1" applyBorder="1" applyAlignment="1">
      <alignment/>
    </xf>
    <xf numFmtId="3" fontId="22" fillId="6" borderId="129" xfId="0" applyNumberFormat="1" applyFont="1" applyFill="1" applyBorder="1" applyAlignment="1">
      <alignment/>
    </xf>
    <xf numFmtId="3" fontId="22" fillId="6" borderId="81" xfId="0" applyNumberFormat="1" applyFont="1" applyFill="1" applyBorder="1" applyAlignment="1">
      <alignment/>
    </xf>
    <xf numFmtId="14" fontId="22" fillId="0" borderId="17" xfId="0" applyNumberFormat="1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30" fillId="0" borderId="22" xfId="57" applyFont="1" applyBorder="1" applyAlignment="1">
      <alignment horizontal="left" vertical="center"/>
      <protection/>
    </xf>
    <xf numFmtId="3" fontId="30" fillId="0" borderId="22" xfId="48" applyNumberFormat="1" applyFont="1" applyBorder="1" applyAlignment="1">
      <alignment horizontal="right" vertical="center"/>
    </xf>
    <xf numFmtId="0" fontId="42" fillId="0" borderId="22" xfId="0" applyFont="1" applyBorder="1" applyAlignment="1">
      <alignment horizontal="left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22" xfId="0" applyFont="1" applyBorder="1" applyAlignment="1">
      <alignment horizontal="left"/>
    </xf>
    <xf numFmtId="0" fontId="49" fillId="0" borderId="22" xfId="0" applyFont="1" applyBorder="1" applyAlignment="1">
      <alignment horizontal="left"/>
    </xf>
    <xf numFmtId="0" fontId="42" fillId="0" borderId="22" xfId="0" applyFont="1" applyBorder="1" applyAlignment="1">
      <alignment horizontal="left" wrapText="1"/>
    </xf>
    <xf numFmtId="0" fontId="43" fillId="0" borderId="14" xfId="0" applyFont="1" applyBorder="1" applyAlignment="1">
      <alignment horizontal="left"/>
    </xf>
    <xf numFmtId="0" fontId="43" fillId="0" borderId="17" xfId="0" applyFont="1" applyBorder="1" applyAlignment="1">
      <alignment horizontal="left"/>
    </xf>
    <xf numFmtId="0" fontId="46" fillId="0" borderId="14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42" fillId="0" borderId="14" xfId="58" applyFont="1" applyBorder="1" applyAlignment="1">
      <alignment horizontal="left"/>
      <protection/>
    </xf>
    <xf numFmtId="0" fontId="42" fillId="0" borderId="17" xfId="58" applyFont="1" applyBorder="1" applyAlignment="1">
      <alignment horizontal="left"/>
      <protection/>
    </xf>
    <xf numFmtId="0" fontId="42" fillId="0" borderId="16" xfId="58" applyFont="1" applyBorder="1" applyAlignment="1">
      <alignment horizontal="left"/>
      <protection/>
    </xf>
    <xf numFmtId="0" fontId="42" fillId="0" borderId="22" xfId="58" applyFont="1" applyBorder="1" applyAlignment="1">
      <alignment horizontal="left"/>
      <protection/>
    </xf>
    <xf numFmtId="0" fontId="19" fillId="0" borderId="0" xfId="58" applyFont="1" applyAlignment="1">
      <alignment horizontal="right" vertical="center"/>
      <protection/>
    </xf>
    <xf numFmtId="0" fontId="45" fillId="0" borderId="0" xfId="58" applyFont="1" applyFill="1" applyAlignment="1">
      <alignment horizontal="center" vertical="center"/>
      <protection/>
    </xf>
    <xf numFmtId="0" fontId="46" fillId="0" borderId="14" xfId="58" applyFont="1" applyFill="1" applyBorder="1" applyAlignment="1">
      <alignment horizontal="center" vertical="center" wrapText="1"/>
      <protection/>
    </xf>
    <xf numFmtId="0" fontId="20" fillId="0" borderId="16" xfId="58" applyFont="1" applyFill="1" applyBorder="1" applyAlignment="1">
      <alignment horizontal="center" vertical="center" wrapText="1"/>
      <protection/>
    </xf>
    <xf numFmtId="0" fontId="20" fillId="0" borderId="17" xfId="58" applyFont="1" applyFill="1" applyBorder="1" applyAlignment="1">
      <alignment horizontal="center" vertical="center" wrapText="1"/>
      <protection/>
    </xf>
    <xf numFmtId="0" fontId="17" fillId="0" borderId="14" xfId="58" applyFont="1" applyFill="1" applyBorder="1" applyAlignment="1">
      <alignment horizontal="center" vertical="center" wrapText="1"/>
      <protection/>
    </xf>
    <xf numFmtId="0" fontId="17" fillId="0" borderId="16" xfId="58" applyFont="1" applyBorder="1" applyAlignment="1">
      <alignment horizontal="center" vertical="center" wrapText="1"/>
      <protection/>
    </xf>
    <xf numFmtId="0" fontId="17" fillId="0" borderId="17" xfId="58" applyFont="1" applyBorder="1" applyAlignment="1">
      <alignment horizontal="center" vertical="center" wrapText="1"/>
      <protection/>
    </xf>
    <xf numFmtId="0" fontId="20" fillId="0" borderId="22" xfId="58" applyFont="1" applyBorder="1" applyAlignment="1">
      <alignment horizontal="left"/>
      <protection/>
    </xf>
    <xf numFmtId="0" fontId="20" fillId="0" borderId="14" xfId="58" applyFont="1" applyBorder="1" applyAlignment="1">
      <alignment horizontal="left"/>
      <protection/>
    </xf>
    <xf numFmtId="0" fontId="20" fillId="0" borderId="16" xfId="58" applyFont="1" applyBorder="1" applyAlignment="1">
      <alignment horizontal="left"/>
      <protection/>
    </xf>
    <xf numFmtId="0" fontId="20" fillId="0" borderId="17" xfId="58" applyFont="1" applyBorder="1" applyAlignment="1">
      <alignment horizontal="left"/>
      <protection/>
    </xf>
    <xf numFmtId="0" fontId="43" fillId="0" borderId="14" xfId="58" applyFont="1" applyBorder="1" applyAlignment="1">
      <alignment horizontal="left" wrapText="1"/>
      <protection/>
    </xf>
    <xf numFmtId="0" fontId="43" fillId="0" borderId="17" xfId="58" applyFont="1" applyBorder="1" applyAlignment="1">
      <alignment horizontal="left" wrapText="1"/>
      <protection/>
    </xf>
    <xf numFmtId="0" fontId="42" fillId="0" borderId="14" xfId="58" applyFont="1" applyBorder="1" applyAlignment="1">
      <alignment horizontal="left" wrapText="1"/>
      <protection/>
    </xf>
    <xf numFmtId="0" fontId="42" fillId="0" borderId="17" xfId="58" applyFont="1" applyBorder="1" applyAlignment="1">
      <alignment horizontal="left" wrapText="1"/>
      <protection/>
    </xf>
    <xf numFmtId="0" fontId="42" fillId="0" borderId="14" xfId="58" applyFont="1" applyBorder="1" applyAlignment="1">
      <alignment horizontal="left" vertical="center" wrapText="1"/>
      <protection/>
    </xf>
    <xf numFmtId="0" fontId="42" fillId="0" borderId="17" xfId="58" applyFont="1" applyBorder="1" applyAlignment="1">
      <alignment horizontal="left" vertical="center" wrapText="1"/>
      <protection/>
    </xf>
    <xf numFmtId="0" fontId="16" fillId="0" borderId="14" xfId="58" applyFont="1" applyBorder="1" applyAlignment="1">
      <alignment horizontal="left"/>
      <protection/>
    </xf>
    <xf numFmtId="0" fontId="16" fillId="0" borderId="16" xfId="58" applyFont="1" applyBorder="1" applyAlignment="1">
      <alignment horizontal="left"/>
      <protection/>
    </xf>
    <xf numFmtId="0" fontId="16" fillId="0" borderId="17" xfId="58" applyFont="1" applyBorder="1" applyAlignment="1">
      <alignment horizontal="left"/>
      <protection/>
    </xf>
    <xf numFmtId="0" fontId="21" fillId="0" borderId="14" xfId="57" applyFont="1" applyBorder="1" applyAlignment="1">
      <alignment horizontal="center" vertical="center" wrapText="1"/>
      <protection/>
    </xf>
    <xf numFmtId="0" fontId="21" fillId="0" borderId="16" xfId="57" applyFont="1" applyBorder="1" applyAlignment="1">
      <alignment horizontal="center" vertical="center" wrapText="1"/>
      <protection/>
    </xf>
    <xf numFmtId="0" fontId="21" fillId="0" borderId="17" xfId="57" applyFont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right" vertical="center"/>
    </xf>
    <xf numFmtId="0" fontId="41" fillId="0" borderId="0" xfId="0" applyFont="1" applyAlignment="1">
      <alignment horizontal="right"/>
    </xf>
    <xf numFmtId="0" fontId="16" fillId="0" borderId="0" xfId="57" applyFont="1" applyAlignment="1">
      <alignment horizontal="center"/>
      <protection/>
    </xf>
    <xf numFmtId="0" fontId="16" fillId="0" borderId="22" xfId="57" applyFont="1" applyBorder="1" applyAlignment="1">
      <alignment horizontal="center" vertical="center"/>
      <protection/>
    </xf>
    <xf numFmtId="0" fontId="21" fillId="0" borderId="22" xfId="57" applyFont="1" applyBorder="1" applyAlignment="1">
      <alignment horizontal="center" vertical="center"/>
      <protection/>
    </xf>
    <xf numFmtId="0" fontId="21" fillId="0" borderId="14" xfId="57" applyFont="1" applyBorder="1" applyAlignment="1">
      <alignment horizontal="center"/>
      <protection/>
    </xf>
    <xf numFmtId="0" fontId="21" fillId="0" borderId="16" xfId="57" applyFont="1" applyBorder="1" applyAlignment="1">
      <alignment horizontal="center"/>
      <protection/>
    </xf>
    <xf numFmtId="0" fontId="21" fillId="0" borderId="17" xfId="57" applyFont="1" applyBorder="1" applyAlignment="1">
      <alignment horizontal="center"/>
      <protection/>
    </xf>
    <xf numFmtId="0" fontId="18" fillId="0" borderId="14" xfId="57" applyFont="1" applyBorder="1" applyAlignment="1">
      <alignment horizontal="right" vertical="center"/>
      <protection/>
    </xf>
    <xf numFmtId="0" fontId="18" fillId="0" borderId="16" xfId="57" applyFont="1" applyBorder="1" applyAlignment="1">
      <alignment horizontal="right" vertical="center"/>
      <protection/>
    </xf>
    <xf numFmtId="0" fontId="47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 vertical="center"/>
    </xf>
    <xf numFmtId="0" fontId="17" fillId="0" borderId="0" xfId="0" applyFont="1" applyAlignment="1">
      <alignment horizontal="right"/>
    </xf>
    <xf numFmtId="0" fontId="20" fillId="0" borderId="0" xfId="0" applyFont="1" applyFill="1" applyAlignment="1">
      <alignment horizontal="center" vertical="center"/>
    </xf>
    <xf numFmtId="49" fontId="21" fillId="0" borderId="130" xfId="0" applyNumberFormat="1" applyFont="1" applyFill="1" applyBorder="1" applyAlignment="1">
      <alignment horizontal="center" vertical="center"/>
    </xf>
    <xf numFmtId="49" fontId="21" fillId="0" borderId="131" xfId="0" applyNumberFormat="1" applyFont="1" applyFill="1" applyBorder="1" applyAlignment="1">
      <alignment horizontal="center" vertical="center"/>
    </xf>
    <xf numFmtId="49" fontId="21" fillId="0" borderId="37" xfId="0" applyNumberFormat="1" applyFont="1" applyFill="1" applyBorder="1" applyAlignment="1">
      <alignment horizontal="center" vertical="center"/>
    </xf>
    <xf numFmtId="0" fontId="21" fillId="0" borderId="88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65" fillId="0" borderId="132" xfId="0" applyFont="1" applyFill="1" applyBorder="1" applyAlignment="1">
      <alignment horizontal="center" vertical="center" wrapText="1"/>
    </xf>
    <xf numFmtId="0" fontId="65" fillId="0" borderId="133" xfId="0" applyFont="1" applyFill="1" applyBorder="1" applyAlignment="1">
      <alignment horizontal="center" vertical="center" wrapText="1"/>
    </xf>
    <xf numFmtId="0" fontId="65" fillId="0" borderId="117" xfId="0" applyFont="1" applyFill="1" applyBorder="1" applyAlignment="1">
      <alignment horizontal="center" vertical="center" wrapText="1"/>
    </xf>
    <xf numFmtId="0" fontId="21" fillId="0" borderId="134" xfId="0" applyFont="1" applyFill="1" applyBorder="1" applyAlignment="1">
      <alignment horizontal="center" vertical="center"/>
    </xf>
    <xf numFmtId="0" fontId="21" fillId="0" borderId="135" xfId="0" applyFont="1" applyFill="1" applyBorder="1" applyAlignment="1">
      <alignment horizontal="center" vertical="center"/>
    </xf>
    <xf numFmtId="0" fontId="21" fillId="0" borderId="136" xfId="0" applyFont="1" applyFill="1" applyBorder="1" applyAlignment="1">
      <alignment horizontal="center" vertical="center"/>
    </xf>
    <xf numFmtId="0" fontId="21" fillId="0" borderId="137" xfId="0" applyFont="1" applyFill="1" applyBorder="1" applyAlignment="1">
      <alignment horizontal="center" vertical="center" wrapText="1"/>
    </xf>
    <xf numFmtId="0" fontId="21" fillId="0" borderId="138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49" fontId="43" fillId="0" borderId="21" xfId="0" applyNumberFormat="1" applyFont="1" applyFill="1" applyBorder="1" applyAlignment="1">
      <alignment horizontal="center" textRotation="90"/>
    </xf>
    <xf numFmtId="49" fontId="42" fillId="0" borderId="44" xfId="0" applyNumberFormat="1" applyFont="1" applyFill="1" applyBorder="1" applyAlignment="1">
      <alignment horizontal="center" vertical="center" textRotation="90"/>
    </xf>
    <xf numFmtId="49" fontId="42" fillId="0" borderId="131" xfId="0" applyNumberFormat="1" applyFont="1" applyFill="1" applyBorder="1" applyAlignment="1">
      <alignment horizontal="center" vertical="center" textRotation="90"/>
    </xf>
    <xf numFmtId="49" fontId="42" fillId="0" borderId="37" xfId="0" applyNumberFormat="1" applyFont="1" applyFill="1" applyBorder="1" applyAlignment="1">
      <alignment horizontal="center" vertical="center" textRotation="90"/>
    </xf>
    <xf numFmtId="0" fontId="47" fillId="0" borderId="16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49" fontId="43" fillId="0" borderId="44" xfId="0" applyNumberFormat="1" applyFont="1" applyFill="1" applyBorder="1" applyAlignment="1">
      <alignment horizontal="center" vertical="center" textRotation="90"/>
    </xf>
    <xf numFmtId="49" fontId="43" fillId="0" borderId="131" xfId="0" applyNumberFormat="1" applyFont="1" applyFill="1" applyBorder="1" applyAlignment="1">
      <alignment horizontal="center" vertical="center" textRotation="90"/>
    </xf>
    <xf numFmtId="49" fontId="43" fillId="0" borderId="37" xfId="0" applyNumberFormat="1" applyFont="1" applyFill="1" applyBorder="1" applyAlignment="1">
      <alignment horizontal="center" vertical="center" textRotation="90"/>
    </xf>
    <xf numFmtId="0" fontId="60" fillId="0" borderId="139" xfId="60" applyFont="1" applyFill="1" applyBorder="1" applyAlignment="1">
      <alignment horizontal="left" vertical="center"/>
      <protection/>
    </xf>
    <xf numFmtId="0" fontId="60" fillId="0" borderId="28" xfId="60" applyFont="1" applyFill="1" applyBorder="1" applyAlignment="1">
      <alignment horizontal="left" vertical="center"/>
      <protection/>
    </xf>
    <xf numFmtId="0" fontId="60" fillId="0" borderId="13" xfId="60" applyFont="1" applyFill="1" applyBorder="1" applyAlignment="1">
      <alignment horizontal="left" vertical="center"/>
      <protection/>
    </xf>
    <xf numFmtId="0" fontId="24" fillId="0" borderId="46" xfId="60" applyFont="1" applyFill="1" applyBorder="1" applyAlignment="1">
      <alignment horizontal="left" vertical="center"/>
      <protection/>
    </xf>
    <xf numFmtId="0" fontId="24" fillId="0" borderId="116" xfId="60" applyFont="1" applyFill="1" applyBorder="1" applyAlignment="1">
      <alignment horizontal="left" vertical="center"/>
      <protection/>
    </xf>
    <xf numFmtId="0" fontId="24" fillId="0" borderId="140" xfId="60" applyFont="1" applyFill="1" applyBorder="1" applyAlignment="1">
      <alignment horizontal="left" vertical="center"/>
      <protection/>
    </xf>
    <xf numFmtId="0" fontId="21" fillId="0" borderId="39" xfId="60" applyFont="1" applyFill="1" applyBorder="1" applyAlignment="1">
      <alignment horizontal="center" vertical="center" wrapText="1"/>
      <protection/>
    </xf>
    <xf numFmtId="0" fontId="21" fillId="0" borderId="38" xfId="60" applyFont="1" applyFill="1" applyBorder="1" applyAlignment="1">
      <alignment horizontal="center" vertical="center" wrapText="1"/>
      <protection/>
    </xf>
    <xf numFmtId="0" fontId="21" fillId="0" borderId="40" xfId="60" applyFont="1" applyFill="1" applyBorder="1" applyAlignment="1">
      <alignment horizontal="center" vertical="center" wrapText="1"/>
      <protection/>
    </xf>
    <xf numFmtId="0" fontId="21" fillId="0" borderId="17" xfId="60" applyFont="1" applyFill="1" applyBorder="1" applyAlignment="1">
      <alignment horizontal="center" vertical="center" wrapText="1"/>
      <protection/>
    </xf>
    <xf numFmtId="0" fontId="21" fillId="0" borderId="22" xfId="60" applyFont="1" applyFill="1" applyBorder="1" applyAlignment="1">
      <alignment horizontal="center" vertical="center" wrapText="1"/>
      <protection/>
    </xf>
    <xf numFmtId="0" fontId="21" fillId="0" borderId="23" xfId="60" applyFont="1" applyFill="1" applyBorder="1" applyAlignment="1">
      <alignment horizontal="center" vertical="center" wrapText="1"/>
      <protection/>
    </xf>
    <xf numFmtId="0" fontId="24" fillId="0" borderId="46" xfId="60" applyFont="1" applyFill="1" applyBorder="1" applyAlignment="1">
      <alignment horizontal="left" vertical="center" wrapText="1"/>
      <protection/>
    </xf>
    <xf numFmtId="0" fontId="24" fillId="0" borderId="116" xfId="60" applyFont="1" applyFill="1" applyBorder="1" applyAlignment="1">
      <alignment horizontal="left" vertical="center" wrapText="1"/>
      <protection/>
    </xf>
    <xf numFmtId="0" fontId="24" fillId="0" borderId="140" xfId="60" applyFont="1" applyFill="1" applyBorder="1" applyAlignment="1">
      <alignment horizontal="left" vertical="center" wrapText="1"/>
      <protection/>
    </xf>
    <xf numFmtId="0" fontId="21" fillId="0" borderId="88" xfId="60" applyFont="1" applyFill="1" applyBorder="1" applyAlignment="1">
      <alignment horizontal="center" vertical="center"/>
      <protection/>
    </xf>
    <xf numFmtId="0" fontId="21" fillId="0" borderId="32" xfId="60" applyFont="1" applyFill="1" applyBorder="1" applyAlignment="1">
      <alignment horizontal="center" vertical="center"/>
      <protection/>
    </xf>
    <xf numFmtId="0" fontId="21" fillId="0" borderId="51" xfId="60" applyFont="1" applyFill="1" applyBorder="1" applyAlignment="1">
      <alignment horizontal="center" vertical="center"/>
      <protection/>
    </xf>
    <xf numFmtId="49" fontId="21" fillId="0" borderId="130" xfId="60" applyNumberFormat="1" applyFont="1" applyFill="1" applyBorder="1" applyAlignment="1">
      <alignment horizontal="center" vertical="center"/>
      <protection/>
    </xf>
    <xf numFmtId="49" fontId="21" fillId="0" borderId="131" xfId="60" applyNumberFormat="1" applyFont="1" applyFill="1" applyBorder="1" applyAlignment="1">
      <alignment horizontal="center" vertical="center"/>
      <protection/>
    </xf>
    <xf numFmtId="49" fontId="21" fillId="0" borderId="141" xfId="60" applyNumberFormat="1" applyFont="1" applyFill="1" applyBorder="1" applyAlignment="1">
      <alignment horizontal="center" vertical="center"/>
      <protection/>
    </xf>
    <xf numFmtId="0" fontId="16" fillId="0" borderId="116" xfId="60" applyFont="1" applyFill="1" applyBorder="1" applyAlignment="1">
      <alignment horizontal="center" vertical="center"/>
      <protection/>
    </xf>
    <xf numFmtId="0" fontId="16" fillId="0" borderId="140" xfId="60" applyFont="1" applyFill="1" applyBorder="1" applyAlignment="1">
      <alignment horizontal="center" vertical="center"/>
      <protection/>
    </xf>
    <xf numFmtId="0" fontId="19" fillId="0" borderId="0" xfId="60" applyFont="1" applyFill="1" applyAlignment="1">
      <alignment horizontal="right" vertical="center"/>
      <protection/>
    </xf>
    <xf numFmtId="0" fontId="19" fillId="0" borderId="0" xfId="60" applyFont="1" applyAlignment="1">
      <alignment horizontal="right"/>
      <protection/>
    </xf>
    <xf numFmtId="0" fontId="18" fillId="0" borderId="142" xfId="60" applyFont="1" applyFill="1" applyBorder="1" applyAlignment="1">
      <alignment horizontal="center" vertical="center" wrapText="1"/>
      <protection/>
    </xf>
    <xf numFmtId="0" fontId="18" fillId="0" borderId="93" xfId="60" applyFont="1" applyFill="1" applyBorder="1" applyAlignment="1">
      <alignment horizontal="center" vertical="center" wrapText="1"/>
      <protection/>
    </xf>
    <xf numFmtId="0" fontId="18" fillId="0" borderId="143" xfId="60" applyFont="1" applyFill="1" applyBorder="1" applyAlignment="1">
      <alignment horizontal="center" vertical="center" wrapText="1"/>
      <protection/>
    </xf>
    <xf numFmtId="0" fontId="16" fillId="0" borderId="0" xfId="60" applyFont="1" applyFill="1" applyAlignment="1">
      <alignment horizontal="center" vertical="center" wrapText="1"/>
      <protection/>
    </xf>
    <xf numFmtId="0" fontId="21" fillId="0" borderId="65" xfId="60" applyFont="1" applyFill="1" applyBorder="1" applyAlignment="1">
      <alignment horizontal="center" vertical="center" wrapText="1"/>
      <protection/>
    </xf>
    <xf numFmtId="0" fontId="21" fillId="0" borderId="49" xfId="60" applyFont="1" applyFill="1" applyBorder="1" applyAlignment="1">
      <alignment horizontal="center" vertical="center" wrapText="1"/>
      <protection/>
    </xf>
    <xf numFmtId="0" fontId="21" fillId="0" borderId="48" xfId="60" applyFont="1" applyFill="1" applyBorder="1" applyAlignment="1">
      <alignment horizontal="center" vertical="center" wrapText="1"/>
      <protection/>
    </xf>
    <xf numFmtId="0" fontId="23" fillId="0" borderId="76" xfId="59" applyFont="1" applyBorder="1" applyAlignment="1">
      <alignment horizontal="left" wrapText="1"/>
      <protection/>
    </xf>
    <xf numFmtId="0" fontId="23" fillId="0" borderId="73" xfId="59" applyFont="1" applyBorder="1" applyAlignment="1">
      <alignment horizontal="left" wrapText="1"/>
      <protection/>
    </xf>
    <xf numFmtId="3" fontId="16" fillId="0" borderId="144" xfId="59" applyNumberFormat="1" applyFont="1" applyBorder="1" applyAlignment="1">
      <alignment horizontal="right" vertical="center"/>
      <protection/>
    </xf>
    <xf numFmtId="3" fontId="16" fillId="0" borderId="93" xfId="59" applyNumberFormat="1" applyFont="1" applyBorder="1" applyAlignment="1">
      <alignment horizontal="right" vertical="center"/>
      <protection/>
    </xf>
    <xf numFmtId="0" fontId="23" fillId="0" borderId="95" xfId="59" applyFont="1" applyBorder="1" applyAlignment="1">
      <alignment horizontal="left" vertical="center" wrapText="1"/>
      <protection/>
    </xf>
    <xf numFmtId="0" fontId="23" fillId="0" borderId="33" xfId="59" applyFont="1" applyBorder="1" applyAlignment="1">
      <alignment horizontal="left" vertical="center" wrapText="1"/>
      <protection/>
    </xf>
    <xf numFmtId="3" fontId="16" fillId="0" borderId="145" xfId="59" applyNumberFormat="1" applyFont="1" applyBorder="1" applyAlignment="1">
      <alignment horizontal="right" vertical="center"/>
      <protection/>
    </xf>
    <xf numFmtId="3" fontId="16" fillId="0" borderId="64" xfId="59" applyNumberFormat="1" applyFont="1" applyBorder="1" applyAlignment="1">
      <alignment horizontal="right" vertical="center"/>
      <protection/>
    </xf>
    <xf numFmtId="0" fontId="23" fillId="0" borderId="96" xfId="59" applyFont="1" applyBorder="1" applyAlignment="1">
      <alignment horizontal="left" vertical="center"/>
      <protection/>
    </xf>
    <xf numFmtId="0" fontId="23" fillId="0" borderId="60" xfId="59" applyFont="1" applyBorder="1" applyAlignment="1">
      <alignment horizontal="left" vertical="center"/>
      <protection/>
    </xf>
    <xf numFmtId="0" fontId="61" fillId="0" borderId="56" xfId="59" applyFont="1" applyBorder="1" applyAlignment="1">
      <alignment horizontal="left"/>
      <protection/>
    </xf>
    <xf numFmtId="0" fontId="61" fillId="0" borderId="0" xfId="59" applyFont="1" applyBorder="1" applyAlignment="1">
      <alignment horizontal="left"/>
      <protection/>
    </xf>
    <xf numFmtId="0" fontId="23" fillId="0" borderId="61" xfId="59" applyFont="1" applyBorder="1" applyAlignment="1">
      <alignment horizontal="left"/>
      <protection/>
    </xf>
    <xf numFmtId="0" fontId="23" fillId="0" borderId="0" xfId="59" applyFont="1" applyBorder="1" applyAlignment="1">
      <alignment horizontal="left"/>
      <protection/>
    </xf>
    <xf numFmtId="3" fontId="16" fillId="0" borderId="68" xfId="59" applyNumberFormat="1" applyFont="1" applyBorder="1" applyAlignment="1">
      <alignment horizontal="right" vertical="center"/>
      <protection/>
    </xf>
    <xf numFmtId="3" fontId="16" fillId="0" borderId="95" xfId="59" applyNumberFormat="1" applyFont="1" applyBorder="1" applyAlignment="1">
      <alignment horizontal="right" vertical="center"/>
      <protection/>
    </xf>
    <xf numFmtId="0" fontId="23" fillId="0" borderId="95" xfId="59" applyFont="1" applyBorder="1" applyAlignment="1">
      <alignment horizontal="left" wrapText="1"/>
      <protection/>
    </xf>
    <xf numFmtId="0" fontId="23" fillId="0" borderId="33" xfId="59" applyFont="1" applyBorder="1" applyAlignment="1">
      <alignment horizontal="left" wrapText="1"/>
      <protection/>
    </xf>
    <xf numFmtId="3" fontId="16" fillId="0" borderId="143" xfId="59" applyNumberFormat="1" applyFont="1" applyBorder="1" applyAlignment="1">
      <alignment horizontal="right" vertical="center"/>
      <protection/>
    </xf>
    <xf numFmtId="0" fontId="23" fillId="0" borderId="61" xfId="59" applyFont="1" applyBorder="1" applyAlignment="1">
      <alignment horizontal="left" vertical="center"/>
      <protection/>
    </xf>
    <xf numFmtId="0" fontId="23" fillId="0" borderId="0" xfId="59" applyFont="1" applyBorder="1" applyAlignment="1">
      <alignment horizontal="left" vertical="center"/>
      <protection/>
    </xf>
    <xf numFmtId="0" fontId="23" fillId="0" borderId="61" xfId="59" applyFont="1" applyBorder="1" applyAlignment="1">
      <alignment horizontal="left" wrapText="1"/>
      <protection/>
    </xf>
    <xf numFmtId="0" fontId="23" fillId="0" borderId="0" xfId="59" applyFont="1" applyBorder="1" applyAlignment="1">
      <alignment horizontal="left" wrapText="1"/>
      <protection/>
    </xf>
    <xf numFmtId="0" fontId="23" fillId="0" borderId="61" xfId="59" applyFont="1" applyBorder="1" applyAlignment="1">
      <alignment horizontal="left" vertical="center" wrapText="1"/>
      <protection/>
    </xf>
    <xf numFmtId="0" fontId="23" fillId="0" borderId="0" xfId="59" applyFont="1" applyBorder="1" applyAlignment="1">
      <alignment horizontal="left" vertical="center" wrapText="1"/>
      <protection/>
    </xf>
    <xf numFmtId="0" fontId="23" fillId="0" borderId="56" xfId="59" applyFont="1" applyBorder="1" applyAlignment="1">
      <alignment horizontal="left" wrapText="1"/>
      <protection/>
    </xf>
    <xf numFmtId="3" fontId="16" fillId="0" borderId="90" xfId="59" applyNumberFormat="1" applyFont="1" applyBorder="1" applyAlignment="1">
      <alignment horizontal="right" vertical="center"/>
      <protection/>
    </xf>
    <xf numFmtId="0" fontId="23" fillId="0" borderId="75" xfId="59" applyFont="1" applyBorder="1" applyAlignment="1">
      <alignment horizontal="left"/>
      <protection/>
    </xf>
    <xf numFmtId="0" fontId="23" fillId="0" borderId="73" xfId="59" applyFont="1" applyBorder="1" applyAlignment="1">
      <alignment horizontal="left"/>
      <protection/>
    </xf>
    <xf numFmtId="3" fontId="16" fillId="0" borderId="142" xfId="59" applyNumberFormat="1" applyFont="1" applyBorder="1" applyAlignment="1">
      <alignment horizontal="right" vertical="center"/>
      <protection/>
    </xf>
    <xf numFmtId="3" fontId="16" fillId="0" borderId="61" xfId="59" applyNumberFormat="1" applyFont="1" applyBorder="1" applyAlignment="1">
      <alignment horizontal="right" vertical="center"/>
      <protection/>
    </xf>
    <xf numFmtId="3" fontId="16" fillId="0" borderId="142" xfId="59" applyNumberFormat="1" applyFont="1" applyBorder="1" applyAlignment="1">
      <alignment horizontal="right" vertical="center" wrapText="1"/>
      <protection/>
    </xf>
    <xf numFmtId="3" fontId="16" fillId="0" borderId="93" xfId="59" applyNumberFormat="1" applyFont="1" applyBorder="1" applyAlignment="1">
      <alignment horizontal="right" vertical="center" wrapText="1"/>
      <protection/>
    </xf>
    <xf numFmtId="3" fontId="16" fillId="0" borderId="143" xfId="59" applyNumberFormat="1" applyFont="1" applyBorder="1" applyAlignment="1">
      <alignment horizontal="right" vertical="center" wrapText="1"/>
      <protection/>
    </xf>
    <xf numFmtId="0" fontId="23" fillId="0" borderId="62" xfId="59" applyFont="1" applyBorder="1" applyAlignment="1">
      <alignment horizontal="left" wrapText="1"/>
      <protection/>
    </xf>
    <xf numFmtId="0" fontId="23" fillId="0" borderId="60" xfId="59" applyFont="1" applyBorder="1" applyAlignment="1">
      <alignment horizontal="left" wrapText="1"/>
      <protection/>
    </xf>
    <xf numFmtId="0" fontId="23" fillId="0" borderId="96" xfId="59" applyFont="1" applyBorder="1" applyAlignment="1">
      <alignment horizontal="left"/>
      <protection/>
    </xf>
    <xf numFmtId="0" fontId="23" fillId="0" borderId="60" xfId="59" applyFont="1" applyBorder="1" applyAlignment="1">
      <alignment horizontal="left"/>
      <protection/>
    </xf>
    <xf numFmtId="0" fontId="17" fillId="0" borderId="0" xfId="60" applyFont="1" applyFill="1" applyAlignment="1">
      <alignment horizontal="right" vertical="center"/>
      <protection/>
    </xf>
    <xf numFmtId="0" fontId="17" fillId="0" borderId="0" xfId="60" applyFont="1" applyAlignment="1">
      <alignment horizontal="right"/>
      <protection/>
    </xf>
    <xf numFmtId="0" fontId="17" fillId="0" borderId="0" xfId="0" applyFont="1" applyAlignment="1">
      <alignment/>
    </xf>
    <xf numFmtId="0" fontId="16" fillId="0" borderId="146" xfId="60" applyFont="1" applyFill="1" applyBorder="1" applyAlignment="1">
      <alignment horizontal="center" vertical="center" wrapText="1"/>
      <protection/>
    </xf>
    <xf numFmtId="0" fontId="19" fillId="0" borderId="147" xfId="0" applyFont="1" applyBorder="1" applyAlignment="1">
      <alignment horizontal="center" vertical="center" wrapText="1"/>
    </xf>
    <xf numFmtId="0" fontId="16" fillId="0" borderId="148" xfId="60" applyFont="1" applyFill="1" applyBorder="1" applyAlignment="1">
      <alignment horizontal="center" vertical="center" wrapText="1"/>
      <protection/>
    </xf>
    <xf numFmtId="0" fontId="19" fillId="0" borderId="149" xfId="0" applyFont="1" applyBorder="1" applyAlignment="1">
      <alignment horizontal="center" vertical="center" wrapText="1"/>
    </xf>
    <xf numFmtId="0" fontId="19" fillId="0" borderId="150" xfId="0" applyFont="1" applyBorder="1" applyAlignment="1">
      <alignment horizontal="center" vertical="center" wrapText="1"/>
    </xf>
    <xf numFmtId="0" fontId="60" fillId="0" borderId="69" xfId="59" applyFont="1" applyBorder="1" applyAlignment="1">
      <alignment horizontal="center" wrapText="1"/>
      <protection/>
    </xf>
    <xf numFmtId="0" fontId="60" fillId="0" borderId="50" xfId="59" applyFont="1" applyBorder="1" applyAlignment="1">
      <alignment horizontal="center" wrapText="1"/>
      <protection/>
    </xf>
    <xf numFmtId="0" fontId="60" fillId="0" borderId="53" xfId="59" applyFont="1" applyBorder="1" applyAlignment="1">
      <alignment horizontal="center" wrapText="1"/>
      <protection/>
    </xf>
    <xf numFmtId="0" fontId="60" fillId="0" borderId="33" xfId="59" applyFont="1" applyBorder="1" applyAlignment="1">
      <alignment horizontal="center" wrapText="1"/>
      <protection/>
    </xf>
    <xf numFmtId="0" fontId="60" fillId="0" borderId="68" xfId="60" applyFont="1" applyFill="1" applyBorder="1" applyAlignment="1">
      <alignment horizontal="center" vertical="center" wrapText="1"/>
      <protection/>
    </xf>
    <xf numFmtId="0" fontId="60" fillId="0" borderId="50" xfId="60" applyFont="1" applyFill="1" applyBorder="1" applyAlignment="1">
      <alignment horizontal="center" vertical="center" wrapText="1"/>
      <protection/>
    </xf>
    <xf numFmtId="0" fontId="60" fillId="0" borderId="114" xfId="60" applyFont="1" applyFill="1" applyBorder="1" applyAlignment="1">
      <alignment horizontal="center" vertical="center" wrapText="1"/>
      <protection/>
    </xf>
    <xf numFmtId="0" fontId="60" fillId="0" borderId="95" xfId="60" applyFont="1" applyFill="1" applyBorder="1" applyAlignment="1">
      <alignment horizontal="center" vertical="center" wrapText="1"/>
      <protection/>
    </xf>
    <xf numFmtId="0" fontId="60" fillId="0" borderId="33" xfId="60" applyFont="1" applyFill="1" applyBorder="1" applyAlignment="1">
      <alignment horizontal="center" vertical="center" wrapText="1"/>
      <protection/>
    </xf>
    <xf numFmtId="0" fontId="60" fillId="0" borderId="48" xfId="60" applyFont="1" applyFill="1" applyBorder="1" applyAlignment="1">
      <alignment horizontal="center" vertical="center" wrapText="1"/>
      <protection/>
    </xf>
    <xf numFmtId="0" fontId="16" fillId="0" borderId="151" xfId="60" applyFont="1" applyFill="1" applyBorder="1" applyAlignment="1">
      <alignment horizontal="center" vertical="center" wrapText="1"/>
      <protection/>
    </xf>
    <xf numFmtId="0" fontId="19" fillId="0" borderId="147" xfId="0" applyFont="1" applyBorder="1" applyAlignment="1">
      <alignment/>
    </xf>
    <xf numFmtId="0" fontId="19" fillId="0" borderId="152" xfId="0" applyFont="1" applyBorder="1" applyAlignment="1">
      <alignment/>
    </xf>
    <xf numFmtId="0" fontId="60" fillId="0" borderId="69" xfId="59" applyFont="1" applyBorder="1" applyAlignment="1">
      <alignment horizontal="center" vertical="center"/>
      <protection/>
    </xf>
    <xf numFmtId="0" fontId="19" fillId="0" borderId="50" xfId="59" applyFont="1" applyBorder="1" applyAlignment="1">
      <alignment horizontal="center" vertical="center"/>
      <protection/>
    </xf>
    <xf numFmtId="0" fontId="19" fillId="0" borderId="114" xfId="59" applyFont="1" applyBorder="1" applyAlignment="1">
      <alignment horizontal="center" vertical="center"/>
      <protection/>
    </xf>
    <xf numFmtId="0" fontId="19" fillId="0" borderId="53" xfId="59" applyFont="1" applyBorder="1" applyAlignment="1">
      <alignment horizontal="center" vertical="center"/>
      <protection/>
    </xf>
    <xf numFmtId="0" fontId="19" fillId="0" borderId="33" xfId="59" applyFont="1" applyBorder="1" applyAlignment="1">
      <alignment horizontal="center" vertical="center"/>
      <protection/>
    </xf>
    <xf numFmtId="0" fontId="19" fillId="0" borderId="48" xfId="59" applyFont="1" applyBorder="1" applyAlignment="1">
      <alignment horizontal="center" vertical="center"/>
      <protection/>
    </xf>
    <xf numFmtId="0" fontId="45" fillId="0" borderId="0" xfId="60" applyFont="1" applyFill="1" applyAlignment="1">
      <alignment horizontal="center" vertical="center" wrapText="1"/>
      <protection/>
    </xf>
    <xf numFmtId="0" fontId="16" fillId="0" borderId="153" xfId="60" applyFont="1" applyFill="1" applyBorder="1" applyAlignment="1">
      <alignment horizontal="center" vertical="center" wrapText="1"/>
      <protection/>
    </xf>
    <xf numFmtId="0" fontId="19" fillId="0" borderId="50" xfId="0" applyFont="1" applyBorder="1" applyAlignment="1">
      <alignment/>
    </xf>
    <xf numFmtId="0" fontId="19" fillId="0" borderId="71" xfId="0" applyFont="1" applyBorder="1" applyAlignment="1">
      <alignment/>
    </xf>
    <xf numFmtId="0" fontId="19" fillId="0" borderId="95" xfId="0" applyFont="1" applyBorder="1" applyAlignment="1">
      <alignment/>
    </xf>
    <xf numFmtId="0" fontId="19" fillId="0" borderId="33" xfId="0" applyFont="1" applyBorder="1" applyAlignment="1">
      <alignment/>
    </xf>
    <xf numFmtId="0" fontId="19" fillId="0" borderId="89" xfId="0" applyFont="1" applyBorder="1" applyAlignment="1">
      <alignment/>
    </xf>
    <xf numFmtId="0" fontId="16" fillId="0" borderId="154" xfId="60" applyFont="1" applyFill="1" applyBorder="1" applyAlignment="1">
      <alignment horizontal="center" vertical="center" wrapText="1"/>
      <protection/>
    </xf>
    <xf numFmtId="0" fontId="19" fillId="0" borderId="155" xfId="0" applyFont="1" applyBorder="1" applyAlignment="1">
      <alignment horizontal="center" vertical="center" wrapText="1"/>
    </xf>
    <xf numFmtId="3" fontId="16" fillId="0" borderId="94" xfId="59" applyNumberFormat="1" applyFont="1" applyBorder="1" applyAlignment="1">
      <alignment horizontal="right" vertical="center"/>
      <protection/>
    </xf>
    <xf numFmtId="0" fontId="60" fillId="36" borderId="99" xfId="59" applyFont="1" applyFill="1" applyBorder="1" applyAlignment="1">
      <alignment/>
      <protection/>
    </xf>
    <xf numFmtId="0" fontId="60" fillId="36" borderId="156" xfId="59" applyFont="1" applyFill="1" applyBorder="1" applyAlignment="1">
      <alignment/>
      <protection/>
    </xf>
    <xf numFmtId="0" fontId="24" fillId="0" borderId="61" xfId="59" applyFont="1" applyBorder="1" applyAlignment="1">
      <alignment horizontal="right"/>
      <protection/>
    </xf>
    <xf numFmtId="0" fontId="24" fillId="0" borderId="0" xfId="59" applyFont="1" applyBorder="1" applyAlignment="1">
      <alignment horizontal="right"/>
      <protection/>
    </xf>
    <xf numFmtId="0" fontId="24" fillId="0" borderId="58" xfId="59" applyFont="1" applyBorder="1" applyAlignment="1">
      <alignment horizontal="right"/>
      <protection/>
    </xf>
    <xf numFmtId="0" fontId="16" fillId="36" borderId="83" xfId="59" applyFont="1" applyFill="1" applyBorder="1" applyAlignment="1">
      <alignment horizontal="right"/>
      <protection/>
    </xf>
    <xf numFmtId="0" fontId="19" fillId="36" borderId="99" xfId="0" applyFont="1" applyFill="1" applyBorder="1" applyAlignment="1">
      <alignment horizontal="right"/>
    </xf>
    <xf numFmtId="0" fontId="19" fillId="36" borderId="110" xfId="0" applyFont="1" applyFill="1" applyBorder="1" applyAlignment="1">
      <alignment horizontal="right"/>
    </xf>
    <xf numFmtId="0" fontId="16" fillId="36" borderId="99" xfId="59" applyFont="1" applyFill="1" applyBorder="1" applyAlignment="1">
      <alignment/>
      <protection/>
    </xf>
    <xf numFmtId="0" fontId="16" fillId="36" borderId="99" xfId="0" applyFont="1" applyFill="1" applyBorder="1" applyAlignment="1">
      <alignment/>
    </xf>
    <xf numFmtId="0" fontId="16" fillId="36" borderId="115" xfId="0" applyFont="1" applyFill="1" applyBorder="1" applyAlignment="1">
      <alignment/>
    </xf>
    <xf numFmtId="0" fontId="61" fillId="0" borderId="62" xfId="59" applyFont="1" applyBorder="1" applyAlignment="1">
      <alignment horizontal="left"/>
      <protection/>
    </xf>
    <xf numFmtId="0" fontId="61" fillId="0" borderId="60" xfId="59" applyFont="1" applyBorder="1" applyAlignment="1">
      <alignment horizontal="left"/>
      <protection/>
    </xf>
    <xf numFmtId="0" fontId="23" fillId="0" borderId="68" xfId="59" applyFont="1" applyBorder="1" applyAlignment="1">
      <alignment horizontal="left"/>
      <protection/>
    </xf>
    <xf numFmtId="0" fontId="23" fillId="0" borderId="50" xfId="59" applyFont="1" applyBorder="1" applyAlignment="1">
      <alignment horizontal="left"/>
      <protection/>
    </xf>
    <xf numFmtId="0" fontId="24" fillId="0" borderId="73" xfId="59" applyFont="1" applyBorder="1" applyAlignment="1">
      <alignment horizontal="right"/>
      <protection/>
    </xf>
    <xf numFmtId="0" fontId="24" fillId="0" borderId="157" xfId="59" applyFont="1" applyBorder="1" applyAlignment="1">
      <alignment horizontal="right"/>
      <protection/>
    </xf>
    <xf numFmtId="0" fontId="60" fillId="0" borderId="69" xfId="59" applyFont="1" applyBorder="1" applyAlignment="1">
      <alignment horizontal="center" vertical="center" wrapText="1"/>
      <protection/>
    </xf>
    <xf numFmtId="0" fontId="19" fillId="0" borderId="50" xfId="0" applyFont="1" applyBorder="1" applyAlignment="1">
      <alignment vertical="center"/>
    </xf>
    <xf numFmtId="0" fontId="19" fillId="0" borderId="66" xfId="0" applyFont="1" applyBorder="1" applyAlignment="1">
      <alignment vertical="center"/>
    </xf>
    <xf numFmtId="0" fontId="19" fillId="0" borderId="53" xfId="0" applyFont="1" applyBorder="1" applyAlignment="1">
      <alignment vertical="center"/>
    </xf>
    <xf numFmtId="0" fontId="19" fillId="0" borderId="33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19" fillId="0" borderId="114" xfId="0" applyFont="1" applyBorder="1" applyAlignment="1">
      <alignment/>
    </xf>
    <xf numFmtId="0" fontId="19" fillId="0" borderId="53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48" xfId="0" applyFont="1" applyBorder="1" applyAlignment="1">
      <alignment/>
    </xf>
    <xf numFmtId="0" fontId="23" fillId="0" borderId="96" xfId="59" applyFont="1" applyBorder="1" applyAlignment="1">
      <alignment horizontal="left" wrapText="1"/>
      <protection/>
    </xf>
    <xf numFmtId="3" fontId="16" fillId="0" borderId="65" xfId="59" applyNumberFormat="1" applyFont="1" applyBorder="1" applyAlignment="1">
      <alignment horizontal="right" vertical="center"/>
      <protection/>
    </xf>
    <xf numFmtId="3" fontId="23" fillId="0" borderId="65" xfId="59" applyNumberFormat="1" applyFont="1" applyBorder="1" applyAlignment="1">
      <alignment horizontal="right" vertical="center"/>
      <protection/>
    </xf>
    <xf numFmtId="3" fontId="23" fillId="0" borderId="49" xfId="59" applyNumberFormat="1" applyFont="1" applyBorder="1" applyAlignment="1">
      <alignment horizontal="right" vertical="center"/>
      <protection/>
    </xf>
    <xf numFmtId="0" fontId="23" fillId="0" borderId="62" xfId="59" applyFont="1" applyBorder="1" applyAlignment="1">
      <alignment horizontal="left"/>
      <protection/>
    </xf>
    <xf numFmtId="0" fontId="23" fillId="0" borderId="56" xfId="59" applyFont="1" applyBorder="1" applyAlignment="1">
      <alignment horizontal="left" vertical="center" wrapText="1"/>
      <protection/>
    </xf>
    <xf numFmtId="0" fontId="16" fillId="36" borderId="156" xfId="0" applyFont="1" applyFill="1" applyBorder="1" applyAlignment="1">
      <alignment/>
    </xf>
    <xf numFmtId="0" fontId="61" fillId="0" borderId="61" xfId="59" applyFont="1" applyBorder="1" applyAlignment="1">
      <alignment horizontal="left" wrapText="1"/>
      <protection/>
    </xf>
    <xf numFmtId="0" fontId="61" fillId="0" borderId="0" xfId="59" applyFont="1" applyBorder="1" applyAlignment="1">
      <alignment horizontal="left" wrapText="1"/>
      <protection/>
    </xf>
    <xf numFmtId="0" fontId="23" fillId="0" borderId="0" xfId="59" applyFont="1" applyAlignment="1">
      <alignment horizontal="left" wrapText="1"/>
      <protection/>
    </xf>
    <xf numFmtId="0" fontId="23" fillId="0" borderId="56" xfId="59" applyFont="1" applyBorder="1" applyAlignment="1">
      <alignment horizontal="left"/>
      <protection/>
    </xf>
    <xf numFmtId="0" fontId="60" fillId="36" borderId="105" xfId="59" applyFont="1" applyFill="1" applyBorder="1" applyAlignment="1">
      <alignment vertical="center" wrapText="1"/>
      <protection/>
    </xf>
    <xf numFmtId="0" fontId="15" fillId="36" borderId="87" xfId="0" applyFont="1" applyFill="1" applyBorder="1" applyAlignment="1">
      <alignment vertical="center" wrapText="1"/>
    </xf>
    <xf numFmtId="0" fontId="15" fillId="36" borderId="113" xfId="0" applyFont="1" applyFill="1" applyBorder="1" applyAlignment="1">
      <alignment vertical="center" wrapText="1"/>
    </xf>
    <xf numFmtId="0" fontId="20" fillId="0" borderId="0" xfId="59" applyFont="1" applyAlignment="1">
      <alignment horizontal="center"/>
      <protection/>
    </xf>
    <xf numFmtId="0" fontId="19" fillId="0" borderId="0" xfId="0" applyFont="1" applyAlignment="1">
      <alignment/>
    </xf>
    <xf numFmtId="0" fontId="46" fillId="0" borderId="105" xfId="59" applyFont="1" applyBorder="1" applyAlignment="1">
      <alignment horizontal="center"/>
      <protection/>
    </xf>
    <xf numFmtId="0" fontId="19" fillId="0" borderId="87" xfId="0" applyFont="1" applyBorder="1" applyAlignment="1">
      <alignment horizontal="center"/>
    </xf>
    <xf numFmtId="0" fontId="19" fillId="0" borderId="113" xfId="0" applyFont="1" applyBorder="1" applyAlignment="1">
      <alignment horizontal="center"/>
    </xf>
    <xf numFmtId="3" fontId="16" fillId="0" borderId="98" xfId="59" applyNumberFormat="1" applyFont="1" applyBorder="1" applyAlignment="1">
      <alignment horizontal="right" vertical="center"/>
      <protection/>
    </xf>
    <xf numFmtId="0" fontId="19" fillId="0" borderId="0" xfId="59" applyFont="1" applyAlignment="1">
      <alignment horizontal="center"/>
      <protection/>
    </xf>
    <xf numFmtId="3" fontId="16" fillId="0" borderId="142" xfId="59" applyNumberFormat="1" applyFont="1" applyBorder="1" applyAlignment="1">
      <alignment horizontal="center" vertical="center"/>
      <protection/>
    </xf>
    <xf numFmtId="3" fontId="16" fillId="0" borderId="93" xfId="59" applyNumberFormat="1" applyFont="1" applyBorder="1" applyAlignment="1">
      <alignment horizontal="center" vertical="center"/>
      <protection/>
    </xf>
    <xf numFmtId="3" fontId="16" fillId="0" borderId="143" xfId="59" applyNumberFormat="1" applyFont="1" applyBorder="1" applyAlignment="1">
      <alignment horizontal="center" vertical="center"/>
      <protection/>
    </xf>
    <xf numFmtId="0" fontId="60" fillId="36" borderId="99" xfId="59" applyFont="1" applyFill="1" applyBorder="1" applyAlignment="1">
      <alignment vertical="center"/>
      <protection/>
    </xf>
    <xf numFmtId="0" fontId="60" fillId="36" borderId="156" xfId="59" applyFont="1" applyFill="1" applyBorder="1" applyAlignment="1">
      <alignment vertical="center"/>
      <protection/>
    </xf>
    <xf numFmtId="0" fontId="24" fillId="0" borderId="56" xfId="59" applyFont="1" applyBorder="1" applyAlignment="1">
      <alignment horizontal="right"/>
      <protection/>
    </xf>
    <xf numFmtId="0" fontId="19" fillId="0" borderId="0" xfId="0" applyFont="1" applyAlignment="1">
      <alignment horizontal="right"/>
    </xf>
    <xf numFmtId="0" fontId="19" fillId="0" borderId="58" xfId="0" applyFont="1" applyBorder="1" applyAlignment="1">
      <alignment horizontal="right"/>
    </xf>
    <xf numFmtId="0" fontId="60" fillId="0" borderId="50" xfId="59" applyFont="1" applyBorder="1" applyAlignment="1">
      <alignment horizontal="center" vertical="center"/>
      <protection/>
    </xf>
    <xf numFmtId="0" fontId="60" fillId="0" borderId="114" xfId="59" applyFont="1" applyBorder="1" applyAlignment="1">
      <alignment horizontal="center" vertical="center"/>
      <protection/>
    </xf>
    <xf numFmtId="0" fontId="60" fillId="0" borderId="53" xfId="59" applyFont="1" applyBorder="1" applyAlignment="1">
      <alignment horizontal="center" vertical="center"/>
      <protection/>
    </xf>
    <xf numFmtId="0" fontId="60" fillId="0" borderId="33" xfId="59" applyFont="1" applyBorder="1" applyAlignment="1">
      <alignment horizontal="center" vertical="center"/>
      <protection/>
    </xf>
    <xf numFmtId="0" fontId="60" fillId="0" borderId="48" xfId="59" applyFont="1" applyBorder="1" applyAlignment="1">
      <alignment horizontal="center" vertical="center"/>
      <protection/>
    </xf>
    <xf numFmtId="0" fontId="23" fillId="0" borderId="53" xfId="59" applyFont="1" applyBorder="1" applyAlignment="1">
      <alignment horizontal="left" vertical="center" wrapText="1"/>
      <protection/>
    </xf>
    <xf numFmtId="0" fontId="23" fillId="0" borderId="26" xfId="59" applyFont="1" applyBorder="1" applyAlignment="1">
      <alignment horizontal="left" vertical="center" wrapText="1"/>
      <protection/>
    </xf>
    <xf numFmtId="0" fontId="23" fillId="0" borderId="69" xfId="59" applyFont="1" applyBorder="1" applyAlignment="1">
      <alignment horizontal="left"/>
      <protection/>
    </xf>
    <xf numFmtId="0" fontId="61" fillId="0" borderId="61" xfId="59" applyFont="1" applyBorder="1" applyAlignment="1">
      <alignment horizontal="left"/>
      <protection/>
    </xf>
    <xf numFmtId="0" fontId="60" fillId="0" borderId="73" xfId="59" applyFont="1" applyBorder="1" applyAlignment="1">
      <alignment/>
      <protection/>
    </xf>
    <xf numFmtId="0" fontId="60" fillId="0" borderId="115" xfId="59" applyFont="1" applyBorder="1" applyAlignment="1">
      <alignment/>
      <protection/>
    </xf>
    <xf numFmtId="0" fontId="46" fillId="0" borderId="50" xfId="59" applyFont="1" applyBorder="1" applyAlignment="1">
      <alignment horizontal="center"/>
      <protection/>
    </xf>
    <xf numFmtId="0" fontId="19" fillId="0" borderId="50" xfId="0" applyFont="1" applyBorder="1" applyAlignment="1">
      <alignment horizontal="center"/>
    </xf>
    <xf numFmtId="0" fontId="16" fillId="0" borderId="73" xfId="59" applyFont="1" applyBorder="1" applyAlignment="1">
      <alignment/>
      <protection/>
    </xf>
    <xf numFmtId="0" fontId="16" fillId="0" borderId="73" xfId="0" applyFont="1" applyBorder="1" applyAlignment="1">
      <alignment/>
    </xf>
    <xf numFmtId="0" fontId="16" fillId="0" borderId="115" xfId="0" applyFont="1" applyBorder="1" applyAlignment="1">
      <alignment/>
    </xf>
    <xf numFmtId="0" fontId="16" fillId="36" borderId="73" xfId="59" applyFont="1" applyFill="1" applyBorder="1" applyAlignment="1">
      <alignment vertical="center"/>
      <protection/>
    </xf>
    <xf numFmtId="0" fontId="16" fillId="36" borderId="73" xfId="0" applyFont="1" applyFill="1" applyBorder="1" applyAlignment="1">
      <alignment vertical="center"/>
    </xf>
    <xf numFmtId="0" fontId="16" fillId="36" borderId="115" xfId="0" applyFont="1" applyFill="1" applyBorder="1" applyAlignment="1">
      <alignment vertical="center"/>
    </xf>
    <xf numFmtId="0" fontId="60" fillId="0" borderId="71" xfId="60" applyFont="1" applyFill="1" applyBorder="1" applyAlignment="1">
      <alignment horizontal="center" vertical="center" wrapText="1"/>
      <protection/>
    </xf>
    <xf numFmtId="0" fontId="60" fillId="0" borderId="89" xfId="60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41" fillId="0" borderId="0" xfId="0" applyFont="1" applyAlignment="1">
      <alignment/>
    </xf>
    <xf numFmtId="0" fontId="7" fillId="0" borderId="27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64" fillId="0" borderId="0" xfId="0" applyFont="1" applyFill="1" applyAlignment="1">
      <alignment horizontal="center" vertical="center"/>
    </xf>
    <xf numFmtId="0" fontId="7" fillId="0" borderId="136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18" fillId="0" borderId="22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6" fillId="0" borderId="0" xfId="62" applyFont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21" fillId="0" borderId="35" xfId="62" applyFont="1" applyBorder="1" applyAlignment="1">
      <alignment horizontal="center" vertical="center"/>
      <protection/>
    </xf>
    <xf numFmtId="0" fontId="21" fillId="0" borderId="21" xfId="62" applyFont="1" applyBorder="1" applyAlignment="1">
      <alignment horizontal="center" vertical="center"/>
      <protection/>
    </xf>
    <xf numFmtId="0" fontId="16" fillId="0" borderId="36" xfId="62" applyFont="1" applyBorder="1" applyAlignment="1">
      <alignment horizontal="center" vertical="center" wrapText="1"/>
      <protection/>
    </xf>
    <xf numFmtId="0" fontId="16" fillId="0" borderId="22" xfId="62" applyFont="1" applyBorder="1" applyAlignment="1">
      <alignment horizontal="center" vertical="center" wrapText="1"/>
      <protection/>
    </xf>
    <xf numFmtId="0" fontId="16" fillId="0" borderId="10" xfId="62" applyFont="1" applyBorder="1" applyAlignment="1">
      <alignment horizontal="center" vertical="center" wrapText="1"/>
      <protection/>
    </xf>
    <xf numFmtId="0" fontId="16" fillId="0" borderId="23" xfId="62" applyFont="1" applyBorder="1" applyAlignment="1">
      <alignment horizontal="center" vertical="center" wrapText="1"/>
      <protection/>
    </xf>
    <xf numFmtId="0" fontId="2" fillId="33" borderId="22" xfId="61" applyFont="1" applyFill="1" applyBorder="1" applyAlignment="1">
      <alignment horizontal="right"/>
      <protection/>
    </xf>
    <xf numFmtId="0" fontId="2" fillId="33" borderId="14" xfId="61" applyFont="1" applyFill="1" applyBorder="1" applyAlignment="1">
      <alignment horizontal="right"/>
      <protection/>
    </xf>
    <xf numFmtId="0" fontId="40" fillId="33" borderId="22" xfId="61" applyFont="1" applyFill="1" applyBorder="1" applyAlignment="1">
      <alignment horizontal="left"/>
      <protection/>
    </xf>
    <xf numFmtId="0" fontId="40" fillId="33" borderId="14" xfId="61" applyFont="1" applyFill="1" applyBorder="1" applyAlignment="1">
      <alignment horizontal="left"/>
      <protection/>
    </xf>
    <xf numFmtId="0" fontId="1" fillId="0" borderId="142" xfId="61" applyFont="1" applyBorder="1" applyAlignment="1">
      <alignment horizontal="center" vertical="center" wrapText="1"/>
      <protection/>
    </xf>
    <xf numFmtId="0" fontId="14" fillId="0" borderId="30" xfId="61" applyBorder="1" applyAlignment="1">
      <alignment horizontal="center" vertical="center" wrapText="1"/>
      <protection/>
    </xf>
    <xf numFmtId="0" fontId="1" fillId="0" borderId="15" xfId="61" applyFont="1" applyBorder="1" applyAlignment="1">
      <alignment horizontal="center" vertical="center"/>
      <protection/>
    </xf>
    <xf numFmtId="0" fontId="1" fillId="0" borderId="25" xfId="61" applyFont="1" applyBorder="1" applyAlignment="1">
      <alignment horizontal="center" vertical="center"/>
      <protection/>
    </xf>
    <xf numFmtId="0" fontId="1" fillId="0" borderId="22" xfId="61" applyFont="1" applyBorder="1" applyAlignment="1">
      <alignment horizontal="center" vertical="center"/>
      <protection/>
    </xf>
    <xf numFmtId="0" fontId="1" fillId="0" borderId="0" xfId="61" applyFont="1" applyAlignment="1">
      <alignment horizontal="center" wrapText="1"/>
      <protection/>
    </xf>
    <xf numFmtId="0" fontId="1" fillId="0" borderId="0" xfId="61" applyFont="1" applyAlignment="1">
      <alignment horizontal="center"/>
      <protection/>
    </xf>
    <xf numFmtId="0" fontId="1" fillId="0" borderId="36" xfId="61" applyFont="1" applyBorder="1" applyAlignment="1">
      <alignment horizontal="center" vertical="center"/>
      <protection/>
    </xf>
    <xf numFmtId="0" fontId="1" fillId="0" borderId="134" xfId="61" applyFont="1" applyBorder="1" applyAlignment="1">
      <alignment horizontal="center" vertical="center"/>
      <protection/>
    </xf>
    <xf numFmtId="0" fontId="1" fillId="0" borderId="35" xfId="61" applyFont="1" applyBorder="1" applyAlignment="1">
      <alignment horizontal="center" vertical="center"/>
      <protection/>
    </xf>
    <xf numFmtId="0" fontId="1" fillId="0" borderId="10" xfId="61" applyFont="1" applyBorder="1" applyAlignment="1">
      <alignment horizontal="center" vertical="center"/>
      <protection/>
    </xf>
    <xf numFmtId="0" fontId="1" fillId="0" borderId="35" xfId="61" applyFont="1" applyBorder="1" applyAlignment="1">
      <alignment horizontal="center" vertical="center" wrapText="1"/>
      <protection/>
    </xf>
    <xf numFmtId="0" fontId="1" fillId="0" borderId="136" xfId="61" applyFont="1" applyBorder="1" applyAlignment="1">
      <alignment horizontal="center" vertical="center" wrapText="1"/>
      <protection/>
    </xf>
    <xf numFmtId="0" fontId="1" fillId="0" borderId="36" xfId="61" applyFont="1" applyBorder="1" applyAlignment="1">
      <alignment horizontal="center" vertical="center" wrapText="1"/>
      <protection/>
    </xf>
    <xf numFmtId="0" fontId="1" fillId="0" borderId="10" xfId="61" applyFont="1" applyBorder="1" applyAlignment="1">
      <alignment horizontal="center" vertical="center" wrapText="1"/>
      <protection/>
    </xf>
    <xf numFmtId="0" fontId="70" fillId="0" borderId="153" xfId="0" applyFont="1" applyBorder="1" applyAlignment="1">
      <alignment horizontal="left" wrapText="1"/>
    </xf>
    <xf numFmtId="0" fontId="70" fillId="0" borderId="149" xfId="0" applyFont="1" applyBorder="1" applyAlignment="1">
      <alignment horizontal="left" wrapText="1"/>
    </xf>
    <xf numFmtId="0" fontId="70" fillId="0" borderId="158" xfId="0" applyFont="1" applyBorder="1" applyAlignment="1">
      <alignment horizontal="left" wrapText="1"/>
    </xf>
    <xf numFmtId="3" fontId="0" fillId="0" borderId="134" xfId="0" applyNumberFormat="1" applyBorder="1" applyAlignment="1">
      <alignment horizontal="center"/>
    </xf>
    <xf numFmtId="3" fontId="0" fillId="0" borderId="159" xfId="0" applyNumberFormat="1" applyBorder="1" applyAlignment="1">
      <alignment horizontal="center"/>
    </xf>
    <xf numFmtId="3" fontId="22" fillId="37" borderId="160" xfId="0" applyNumberFormat="1" applyFont="1" applyFill="1" applyBorder="1" applyAlignment="1">
      <alignment horizontal="center"/>
    </xf>
    <xf numFmtId="3" fontId="22" fillId="37" borderId="156" xfId="0" applyNumberFormat="1" applyFont="1" applyFill="1" applyBorder="1" applyAlignment="1">
      <alignment horizontal="center"/>
    </xf>
    <xf numFmtId="0" fontId="69" fillId="38" borderId="103" xfId="0" applyFont="1" applyFill="1" applyBorder="1" applyAlignment="1">
      <alignment horizontal="center" vertical="center"/>
    </xf>
    <xf numFmtId="0" fontId="69" fillId="38" borderId="87" xfId="0" applyFont="1" applyFill="1" applyBorder="1" applyAlignment="1">
      <alignment horizontal="center" vertical="center"/>
    </xf>
    <xf numFmtId="0" fontId="69" fillId="38" borderId="161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16" xfId="0" applyBorder="1" applyAlignment="1">
      <alignment horizontal="center"/>
    </xf>
    <xf numFmtId="0" fontId="0" fillId="0" borderId="65" xfId="0" applyBorder="1" applyAlignment="1">
      <alignment horizontal="center"/>
    </xf>
    <xf numFmtId="0" fontId="22" fillId="0" borderId="50" xfId="0" applyFont="1" applyBorder="1" applyAlignment="1">
      <alignment horizontal="center"/>
    </xf>
    <xf numFmtId="0" fontId="6" fillId="0" borderId="0" xfId="0" applyFont="1" applyAlignment="1">
      <alignment horizontal="right" vertical="center"/>
    </xf>
    <xf numFmtId="0" fontId="46" fillId="0" borderId="0" xfId="0" applyFont="1" applyAlignment="1">
      <alignment horizontal="center" wrapText="1"/>
    </xf>
    <xf numFmtId="0" fontId="20" fillId="0" borderId="142" xfId="0" applyFont="1" applyBorder="1" applyAlignment="1">
      <alignment horizontal="center" vertical="center" wrapText="1"/>
    </xf>
    <xf numFmtId="0" fontId="20" fillId="0" borderId="93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67" fillId="0" borderId="96" xfId="0" applyFont="1" applyBorder="1" applyAlignment="1">
      <alignment horizontal="center" vertical="center"/>
    </xf>
    <xf numFmtId="0" fontId="67" fillId="0" borderId="61" xfId="0" applyFont="1" applyBorder="1" applyAlignment="1">
      <alignment horizontal="center" vertical="center"/>
    </xf>
    <xf numFmtId="0" fontId="67" fillId="0" borderId="162" xfId="0" applyFont="1" applyBorder="1" applyAlignment="1">
      <alignment horizontal="center" vertical="center"/>
    </xf>
    <xf numFmtId="0" fontId="67" fillId="0" borderId="35" xfId="0" applyFont="1" applyBorder="1" applyAlignment="1">
      <alignment horizontal="center" vertical="center" wrapText="1"/>
    </xf>
    <xf numFmtId="0" fontId="67" fillId="0" borderId="36" xfId="0" applyFont="1" applyBorder="1" applyAlignment="1">
      <alignment horizontal="center" vertical="center" wrapText="1"/>
    </xf>
    <xf numFmtId="0" fontId="68" fillId="0" borderId="142" xfId="0" applyFont="1" applyBorder="1" applyAlignment="1">
      <alignment horizontal="center" vertical="center" wrapText="1"/>
    </xf>
    <xf numFmtId="0" fontId="68" fillId="0" borderId="93" xfId="0" applyFont="1" applyBorder="1" applyAlignment="1">
      <alignment horizontal="center" vertical="center" wrapText="1"/>
    </xf>
    <xf numFmtId="0" fontId="68" fillId="0" borderId="30" xfId="0" applyFont="1" applyBorder="1" applyAlignment="1">
      <alignment horizontal="center" vertical="center" wrapText="1"/>
    </xf>
    <xf numFmtId="0" fontId="67" fillId="0" borderId="21" xfId="0" applyFont="1" applyBorder="1" applyAlignment="1">
      <alignment horizontal="center" vertical="center"/>
    </xf>
    <xf numFmtId="0" fontId="67" fillId="0" borderId="17" xfId="0" applyFont="1" applyBorder="1" applyAlignment="1">
      <alignment horizontal="center"/>
    </xf>
    <xf numFmtId="0" fontId="67" fillId="0" borderId="22" xfId="0" applyFont="1" applyBorder="1" applyAlignment="1">
      <alignment horizontal="center"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Normál 2" xfId="57"/>
    <cellStyle name="Normál 3" xfId="58"/>
    <cellStyle name="Normál_Kötelező, önként vállalt, állami feladatok szerinti bontás" xfId="59"/>
    <cellStyle name="Normál_Munka1" xfId="60"/>
    <cellStyle name="Normál_NORM09" xfId="61"/>
    <cellStyle name="Normál_TABLAK_táblák2012előterj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98"/>
  <sheetViews>
    <sheetView zoomScalePageLayoutView="0" workbookViewId="0" topLeftCell="A121">
      <selection activeCell="A2" sqref="A2:I2"/>
    </sheetView>
  </sheetViews>
  <sheetFormatPr defaultColWidth="9.00390625" defaultRowHeight="12.75"/>
  <cols>
    <col min="1" max="1" width="5.125" style="206" customWidth="1"/>
    <col min="2" max="3" width="9.125" style="206" customWidth="1"/>
    <col min="4" max="4" width="5.875" style="206" customWidth="1"/>
    <col min="5" max="5" width="49.875" style="206" customWidth="1"/>
    <col min="6" max="6" width="16.125" style="206" bestFit="1" customWidth="1"/>
    <col min="7" max="7" width="13.625" style="206" customWidth="1"/>
    <col min="8" max="8" width="15.125" style="206" customWidth="1"/>
    <col min="9" max="9" width="15.875" style="206" bestFit="1" customWidth="1"/>
    <col min="10" max="16384" width="9.125" style="206" customWidth="1"/>
  </cols>
  <sheetData>
    <row r="1" spans="1:9" ht="12.75">
      <c r="A1" s="94"/>
      <c r="B1" s="233"/>
      <c r="C1" s="233"/>
      <c r="D1" s="233"/>
      <c r="E1" s="234"/>
      <c r="F1" s="813" t="s">
        <v>1014</v>
      </c>
      <c r="G1" s="814"/>
      <c r="H1" s="814"/>
      <c r="I1" s="814"/>
    </row>
    <row r="2" spans="1:9" ht="15.75">
      <c r="A2" s="818" t="s">
        <v>733</v>
      </c>
      <c r="B2" s="818"/>
      <c r="C2" s="818"/>
      <c r="D2" s="818"/>
      <c r="E2" s="818"/>
      <c r="F2" s="818"/>
      <c r="G2" s="818"/>
      <c r="H2" s="818"/>
      <c r="I2" s="818"/>
    </row>
    <row r="3" spans="1:9" ht="12.75">
      <c r="A3" s="94"/>
      <c r="B3" s="94"/>
      <c r="C3" s="94"/>
      <c r="D3" s="94"/>
      <c r="E3" s="94"/>
      <c r="F3" s="233"/>
      <c r="G3" s="233"/>
      <c r="H3" s="233"/>
      <c r="I3" s="233"/>
    </row>
    <row r="4" spans="1:9" ht="12.75">
      <c r="A4" s="94"/>
      <c r="B4" s="233"/>
      <c r="C4" s="233"/>
      <c r="D4" s="233"/>
      <c r="E4" s="233"/>
      <c r="F4" s="233"/>
      <c r="G4" s="233"/>
      <c r="H4" s="233"/>
      <c r="I4" s="234" t="s">
        <v>734</v>
      </c>
    </row>
    <row r="5" spans="1:9" ht="72">
      <c r="A5" s="824" t="s">
        <v>0</v>
      </c>
      <c r="B5" s="825"/>
      <c r="C5" s="825"/>
      <c r="D5" s="825"/>
      <c r="E5" s="826"/>
      <c r="F5" s="213" t="s">
        <v>103</v>
      </c>
      <c r="G5" s="213" t="s">
        <v>405</v>
      </c>
      <c r="H5" s="213" t="s">
        <v>653</v>
      </c>
      <c r="I5" s="213" t="s">
        <v>398</v>
      </c>
    </row>
    <row r="6" spans="1:9" s="217" customFormat="1" ht="15">
      <c r="A6" s="235" t="s">
        <v>476</v>
      </c>
      <c r="B6" s="815" t="s">
        <v>477</v>
      </c>
      <c r="C6" s="816"/>
      <c r="D6" s="816"/>
      <c r="E6" s="817"/>
      <c r="F6" s="236" t="s">
        <v>478</v>
      </c>
      <c r="G6" s="236" t="s">
        <v>479</v>
      </c>
      <c r="H6" s="236" t="s">
        <v>480</v>
      </c>
      <c r="I6" s="236" t="s">
        <v>481</v>
      </c>
    </row>
    <row r="7" spans="1:9" s="239" customFormat="1" ht="12.75">
      <c r="A7" s="237" t="s">
        <v>238</v>
      </c>
      <c r="B7" s="820" t="s">
        <v>239</v>
      </c>
      <c r="C7" s="820"/>
      <c r="D7" s="820"/>
      <c r="E7" s="820"/>
      <c r="F7" s="238">
        <f>SUM(F8+F15+F16+F17+F28+F29)</f>
        <v>750069813</v>
      </c>
      <c r="G7" s="238">
        <f>SUM(G8+G15+G16+G17+G28+G29)</f>
        <v>0</v>
      </c>
      <c r="H7" s="238">
        <f>SUM(H8+H15+H16+H17+H28+H29)</f>
        <v>0</v>
      </c>
      <c r="I7" s="238">
        <f>SUM(F7:H7)</f>
        <v>750069813</v>
      </c>
    </row>
    <row r="8" spans="1:9" ht="12.75">
      <c r="A8" s="240"/>
      <c r="B8" s="240" t="s">
        <v>240</v>
      </c>
      <c r="C8" s="812" t="s">
        <v>241</v>
      </c>
      <c r="D8" s="812"/>
      <c r="E8" s="812"/>
      <c r="F8" s="241">
        <f>SUM(F9:F14)</f>
        <v>497167855</v>
      </c>
      <c r="G8" s="241">
        <f>SUM(G9:G14)</f>
        <v>0</v>
      </c>
      <c r="H8" s="241">
        <f>SUM(H9:H14)</f>
        <v>0</v>
      </c>
      <c r="I8" s="242">
        <f aca="true" t="shared" si="0" ref="I8:I72">SUM(F8:H8)</f>
        <v>497167855</v>
      </c>
    </row>
    <row r="9" spans="1:9" ht="12.75">
      <c r="A9" s="243"/>
      <c r="B9" s="243"/>
      <c r="C9" s="243" t="s">
        <v>242</v>
      </c>
      <c r="D9" s="243"/>
      <c r="E9" s="243" t="s">
        <v>764</v>
      </c>
      <c r="F9" s="244">
        <v>199631709</v>
      </c>
      <c r="G9" s="244">
        <v>0</v>
      </c>
      <c r="H9" s="244">
        <v>0</v>
      </c>
      <c r="I9" s="245">
        <f t="shared" si="0"/>
        <v>199631709</v>
      </c>
    </row>
    <row r="10" spans="1:9" ht="12.75">
      <c r="A10" s="243"/>
      <c r="B10" s="246"/>
      <c r="C10" s="243" t="s">
        <v>243</v>
      </c>
      <c r="D10" s="243"/>
      <c r="E10" s="243" t="s">
        <v>770</v>
      </c>
      <c r="F10" s="244">
        <v>126843602</v>
      </c>
      <c r="G10" s="244">
        <v>0</v>
      </c>
      <c r="H10" s="244">
        <v>0</v>
      </c>
      <c r="I10" s="245">
        <f t="shared" si="0"/>
        <v>126843602</v>
      </c>
    </row>
    <row r="11" spans="1:9" ht="12.75">
      <c r="A11" s="243"/>
      <c r="B11" s="243"/>
      <c r="C11" s="243" t="s">
        <v>244</v>
      </c>
      <c r="D11" s="243"/>
      <c r="E11" s="243" t="s">
        <v>735</v>
      </c>
      <c r="F11" s="244">
        <v>150128804</v>
      </c>
      <c r="G11" s="244">
        <v>0</v>
      </c>
      <c r="H11" s="244">
        <v>0</v>
      </c>
      <c r="I11" s="245">
        <f t="shared" si="0"/>
        <v>150128804</v>
      </c>
    </row>
    <row r="12" spans="1:9" ht="12.75">
      <c r="A12" s="243"/>
      <c r="B12" s="243"/>
      <c r="C12" s="243" t="s">
        <v>245</v>
      </c>
      <c r="D12" s="243"/>
      <c r="E12" s="243" t="s">
        <v>771</v>
      </c>
      <c r="F12" s="244">
        <v>10164240</v>
      </c>
      <c r="G12" s="244">
        <v>0</v>
      </c>
      <c r="H12" s="244">
        <v>0</v>
      </c>
      <c r="I12" s="245">
        <f t="shared" si="0"/>
        <v>10164240</v>
      </c>
    </row>
    <row r="13" spans="1:9" ht="12.75">
      <c r="A13" s="243"/>
      <c r="B13" s="243"/>
      <c r="C13" s="243" t="s">
        <v>246</v>
      </c>
      <c r="D13" s="243"/>
      <c r="E13" s="243" t="s">
        <v>765</v>
      </c>
      <c r="F13" s="244">
        <f>1835612+6949788+1614100</f>
        <v>10399500</v>
      </c>
      <c r="G13" s="244">
        <v>0</v>
      </c>
      <c r="H13" s="244">
        <v>0</v>
      </c>
      <c r="I13" s="245">
        <f t="shared" si="0"/>
        <v>10399500</v>
      </c>
    </row>
    <row r="14" spans="1:9" ht="12.75">
      <c r="A14" s="247"/>
      <c r="B14" s="247"/>
      <c r="C14" s="243" t="s">
        <v>247</v>
      </c>
      <c r="D14" s="247"/>
      <c r="E14" s="243" t="s">
        <v>617</v>
      </c>
      <c r="F14" s="244">
        <v>0</v>
      </c>
      <c r="G14" s="244">
        <v>0</v>
      </c>
      <c r="H14" s="244">
        <v>0</v>
      </c>
      <c r="I14" s="245">
        <f t="shared" si="0"/>
        <v>0</v>
      </c>
    </row>
    <row r="15" spans="1:9" ht="12.75">
      <c r="A15" s="240"/>
      <c r="B15" s="240" t="s">
        <v>248</v>
      </c>
      <c r="C15" s="812" t="s">
        <v>249</v>
      </c>
      <c r="D15" s="812"/>
      <c r="E15" s="812"/>
      <c r="F15" s="241">
        <f>1486017+67767</f>
        <v>1553784</v>
      </c>
      <c r="G15" s="241">
        <v>0</v>
      </c>
      <c r="H15" s="241">
        <v>0</v>
      </c>
      <c r="I15" s="242">
        <f t="shared" si="0"/>
        <v>1553784</v>
      </c>
    </row>
    <row r="16" spans="1:9" ht="12.75">
      <c r="A16" s="240"/>
      <c r="B16" s="240" t="s">
        <v>250</v>
      </c>
      <c r="C16" s="812" t="s">
        <v>766</v>
      </c>
      <c r="D16" s="812"/>
      <c r="E16" s="812"/>
      <c r="F16" s="241">
        <v>0</v>
      </c>
      <c r="G16" s="241">
        <v>0</v>
      </c>
      <c r="H16" s="241">
        <v>0</v>
      </c>
      <c r="I16" s="242">
        <f>SUM(F16:H16)</f>
        <v>0</v>
      </c>
    </row>
    <row r="17" spans="1:9" ht="12.75">
      <c r="A17" s="240"/>
      <c r="B17" s="240" t="s">
        <v>251</v>
      </c>
      <c r="C17" s="812" t="s">
        <v>767</v>
      </c>
      <c r="D17" s="812"/>
      <c r="E17" s="812"/>
      <c r="F17" s="241">
        <f>SUM(F18:F27)</f>
        <v>0</v>
      </c>
      <c r="G17" s="241">
        <f>SUM(G18:G27)</f>
        <v>0</v>
      </c>
      <c r="H17" s="241">
        <f>SUM(H18:H27)</f>
        <v>0</v>
      </c>
      <c r="I17" s="242">
        <f t="shared" si="0"/>
        <v>0</v>
      </c>
    </row>
    <row r="18" spans="1:9" ht="12.75" hidden="1">
      <c r="A18" s="248"/>
      <c r="B18" s="248"/>
      <c r="C18" s="249" t="s">
        <v>2</v>
      </c>
      <c r="D18" s="249" t="s">
        <v>176</v>
      </c>
      <c r="E18" s="249" t="s">
        <v>177</v>
      </c>
      <c r="F18" s="250">
        <v>0</v>
      </c>
      <c r="G18" s="250">
        <v>0</v>
      </c>
      <c r="H18" s="250">
        <v>0</v>
      </c>
      <c r="I18" s="251">
        <f t="shared" si="0"/>
        <v>0</v>
      </c>
    </row>
    <row r="19" spans="1:9" ht="12.75" hidden="1">
      <c r="A19" s="248"/>
      <c r="B19" s="248"/>
      <c r="C19" s="249"/>
      <c r="D19" s="249" t="s">
        <v>178</v>
      </c>
      <c r="E19" s="249" t="s">
        <v>179</v>
      </c>
      <c r="F19" s="250">
        <v>0</v>
      </c>
      <c r="G19" s="250">
        <v>0</v>
      </c>
      <c r="H19" s="250">
        <v>0</v>
      </c>
      <c r="I19" s="251">
        <f t="shared" si="0"/>
        <v>0</v>
      </c>
    </row>
    <row r="20" spans="1:9" ht="12.75" hidden="1">
      <c r="A20" s="248"/>
      <c r="B20" s="248"/>
      <c r="C20" s="249"/>
      <c r="D20" s="249" t="s">
        <v>180</v>
      </c>
      <c r="E20" s="249" t="s">
        <v>252</v>
      </c>
      <c r="F20" s="250">
        <v>0</v>
      </c>
      <c r="G20" s="250">
        <v>0</v>
      </c>
      <c r="H20" s="250">
        <v>0</v>
      </c>
      <c r="I20" s="251">
        <f t="shared" si="0"/>
        <v>0</v>
      </c>
    </row>
    <row r="21" spans="1:9" ht="12.75" hidden="1">
      <c r="A21" s="248"/>
      <c r="B21" s="248"/>
      <c r="C21" s="249"/>
      <c r="D21" s="249" t="s">
        <v>182</v>
      </c>
      <c r="E21" s="249" t="s">
        <v>183</v>
      </c>
      <c r="F21" s="250">
        <v>0</v>
      </c>
      <c r="G21" s="250">
        <v>0</v>
      </c>
      <c r="H21" s="250">
        <v>0</v>
      </c>
      <c r="I21" s="251">
        <f t="shared" si="0"/>
        <v>0</v>
      </c>
    </row>
    <row r="22" spans="1:9" ht="12.75" hidden="1">
      <c r="A22" s="248"/>
      <c r="B22" s="248"/>
      <c r="C22" s="249"/>
      <c r="D22" s="249" t="s">
        <v>184</v>
      </c>
      <c r="E22" s="249" t="s">
        <v>185</v>
      </c>
      <c r="F22" s="250">
        <v>0</v>
      </c>
      <c r="G22" s="250">
        <v>0</v>
      </c>
      <c r="H22" s="250">
        <v>0</v>
      </c>
      <c r="I22" s="251">
        <f t="shared" si="0"/>
        <v>0</v>
      </c>
    </row>
    <row r="23" spans="1:9" ht="12.75" hidden="1">
      <c r="A23" s="248"/>
      <c r="B23" s="248"/>
      <c r="C23" s="249"/>
      <c r="D23" s="249" t="s">
        <v>186</v>
      </c>
      <c r="E23" s="249" t="s">
        <v>187</v>
      </c>
      <c r="F23" s="250">
        <v>0</v>
      </c>
      <c r="G23" s="250">
        <v>0</v>
      </c>
      <c r="H23" s="250">
        <v>0</v>
      </c>
      <c r="I23" s="251">
        <f t="shared" si="0"/>
        <v>0</v>
      </c>
    </row>
    <row r="24" spans="1:9" ht="12.75" hidden="1">
      <c r="A24" s="248"/>
      <c r="B24" s="248"/>
      <c r="C24" s="249"/>
      <c r="D24" s="249" t="s">
        <v>188</v>
      </c>
      <c r="E24" s="249" t="s">
        <v>189</v>
      </c>
      <c r="F24" s="250">
        <v>0</v>
      </c>
      <c r="G24" s="250">
        <v>0</v>
      </c>
      <c r="H24" s="250">
        <v>0</v>
      </c>
      <c r="I24" s="251">
        <f t="shared" si="0"/>
        <v>0</v>
      </c>
    </row>
    <row r="25" spans="1:9" ht="12.75" hidden="1">
      <c r="A25" s="248"/>
      <c r="B25" s="248"/>
      <c r="C25" s="249"/>
      <c r="D25" s="249" t="s">
        <v>190</v>
      </c>
      <c r="E25" s="249" t="s">
        <v>191</v>
      </c>
      <c r="F25" s="250"/>
      <c r="G25" s="250">
        <v>0</v>
      </c>
      <c r="H25" s="250">
        <v>0</v>
      </c>
      <c r="I25" s="251">
        <f t="shared" si="0"/>
        <v>0</v>
      </c>
    </row>
    <row r="26" spans="1:9" ht="12.75" hidden="1">
      <c r="A26" s="248"/>
      <c r="B26" s="248"/>
      <c r="C26" s="249"/>
      <c r="D26" s="249" t="s">
        <v>192</v>
      </c>
      <c r="E26" s="249" t="s">
        <v>193</v>
      </c>
      <c r="F26" s="250">
        <v>0</v>
      </c>
      <c r="G26" s="250">
        <v>0</v>
      </c>
      <c r="H26" s="250">
        <v>0</v>
      </c>
      <c r="I26" s="251">
        <f t="shared" si="0"/>
        <v>0</v>
      </c>
    </row>
    <row r="27" spans="1:9" ht="12.75" hidden="1">
      <c r="A27" s="248"/>
      <c r="B27" s="248"/>
      <c r="C27" s="249"/>
      <c r="D27" s="249" t="s">
        <v>194</v>
      </c>
      <c r="E27" s="249" t="s">
        <v>195</v>
      </c>
      <c r="F27" s="250">
        <v>0</v>
      </c>
      <c r="G27" s="250">
        <v>0</v>
      </c>
      <c r="H27" s="250">
        <v>0</v>
      </c>
      <c r="I27" s="251">
        <f t="shared" si="0"/>
        <v>0</v>
      </c>
    </row>
    <row r="28" spans="1:9" ht="12.75">
      <c r="A28" s="240"/>
      <c r="B28" s="240" t="s">
        <v>253</v>
      </c>
      <c r="C28" s="812" t="s">
        <v>768</v>
      </c>
      <c r="D28" s="812"/>
      <c r="E28" s="812"/>
      <c r="F28" s="241">
        <v>0</v>
      </c>
      <c r="G28" s="241">
        <v>0</v>
      </c>
      <c r="H28" s="241">
        <v>0</v>
      </c>
      <c r="I28" s="242">
        <f t="shared" si="0"/>
        <v>0</v>
      </c>
    </row>
    <row r="29" spans="1:9" ht="12.75">
      <c r="A29" s="240"/>
      <c r="B29" s="240" t="s">
        <v>254</v>
      </c>
      <c r="C29" s="812" t="s">
        <v>769</v>
      </c>
      <c r="D29" s="812"/>
      <c r="E29" s="812"/>
      <c r="F29" s="241">
        <f>SUM(F30:F39)</f>
        <v>251348174</v>
      </c>
      <c r="G29" s="241">
        <f>SUM(G30:G39)</f>
        <v>0</v>
      </c>
      <c r="H29" s="241">
        <f>SUM(H30:H39)</f>
        <v>0</v>
      </c>
      <c r="I29" s="242">
        <f t="shared" si="0"/>
        <v>251348174</v>
      </c>
    </row>
    <row r="30" spans="1:9" ht="12.75">
      <c r="A30" s="248"/>
      <c r="B30" s="248"/>
      <c r="C30" s="249" t="s">
        <v>2</v>
      </c>
      <c r="D30" s="249" t="s">
        <v>176</v>
      </c>
      <c r="E30" s="249" t="s">
        <v>177</v>
      </c>
      <c r="F30" s="250">
        <v>0</v>
      </c>
      <c r="G30" s="250">
        <v>0</v>
      </c>
      <c r="H30" s="250">
        <v>0</v>
      </c>
      <c r="I30" s="251">
        <f t="shared" si="0"/>
        <v>0</v>
      </c>
    </row>
    <row r="31" spans="1:9" ht="12.75">
      <c r="A31" s="248"/>
      <c r="B31" s="248"/>
      <c r="C31" s="249"/>
      <c r="D31" s="249" t="s">
        <v>178</v>
      </c>
      <c r="E31" s="249" t="s">
        <v>179</v>
      </c>
      <c r="F31" s="250">
        <v>0</v>
      </c>
      <c r="G31" s="250">
        <v>0</v>
      </c>
      <c r="H31" s="250">
        <v>0</v>
      </c>
      <c r="I31" s="251">
        <f t="shared" si="0"/>
        <v>0</v>
      </c>
    </row>
    <row r="32" spans="1:9" ht="12.75">
      <c r="A32" s="252"/>
      <c r="B32" s="252"/>
      <c r="C32" s="253"/>
      <c r="D32" s="253" t="s">
        <v>180</v>
      </c>
      <c r="E32" s="253" t="s">
        <v>772</v>
      </c>
      <c r="F32" s="250">
        <f>3850000</f>
        <v>3850000</v>
      </c>
      <c r="G32" s="250">
        <v>0</v>
      </c>
      <c r="H32" s="250">
        <v>0</v>
      </c>
      <c r="I32" s="251">
        <f t="shared" si="0"/>
        <v>3850000</v>
      </c>
    </row>
    <row r="33" spans="1:9" ht="12.75">
      <c r="A33" s="248"/>
      <c r="B33" s="248"/>
      <c r="C33" s="249"/>
      <c r="D33" s="249" t="s">
        <v>182</v>
      </c>
      <c r="E33" s="249" t="s">
        <v>183</v>
      </c>
      <c r="F33" s="250">
        <v>50236259</v>
      </c>
      <c r="G33" s="250">
        <v>0</v>
      </c>
      <c r="H33" s="250">
        <v>0</v>
      </c>
      <c r="I33" s="251">
        <f t="shared" si="0"/>
        <v>50236259</v>
      </c>
    </row>
    <row r="34" spans="1:9" ht="12.75">
      <c r="A34" s="248"/>
      <c r="B34" s="248"/>
      <c r="C34" s="249"/>
      <c r="D34" s="249" t="s">
        <v>184</v>
      </c>
      <c r="E34" s="249" t="s">
        <v>185</v>
      </c>
      <c r="F34" s="250">
        <v>31968000</v>
      </c>
      <c r="G34" s="250">
        <v>0</v>
      </c>
      <c r="H34" s="250">
        <v>0</v>
      </c>
      <c r="I34" s="251">
        <f t="shared" si="0"/>
        <v>31968000</v>
      </c>
    </row>
    <row r="35" spans="1:9" ht="12.75">
      <c r="A35" s="248"/>
      <c r="B35" s="248"/>
      <c r="C35" s="249"/>
      <c r="D35" s="249" t="s">
        <v>186</v>
      </c>
      <c r="E35" s="249" t="s">
        <v>187</v>
      </c>
      <c r="F35" s="250">
        <f>108223380+40591438</f>
        <v>148814818</v>
      </c>
      <c r="G35" s="250">
        <v>0</v>
      </c>
      <c r="H35" s="250">
        <v>0</v>
      </c>
      <c r="I35" s="251">
        <f t="shared" si="0"/>
        <v>148814818</v>
      </c>
    </row>
    <row r="36" spans="1:9" ht="12.75">
      <c r="A36" s="248"/>
      <c r="B36" s="248"/>
      <c r="C36" s="249"/>
      <c r="D36" s="249" t="s">
        <v>188</v>
      </c>
      <c r="E36" s="249" t="s">
        <v>189</v>
      </c>
      <c r="F36" s="250">
        <f>11290847+4438250+750000</f>
        <v>16479097</v>
      </c>
      <c r="G36" s="250">
        <v>0</v>
      </c>
      <c r="H36" s="250">
        <v>0</v>
      </c>
      <c r="I36" s="251">
        <f t="shared" si="0"/>
        <v>16479097</v>
      </c>
    </row>
    <row r="37" spans="1:9" ht="12.75" hidden="1">
      <c r="A37" s="248"/>
      <c r="B37" s="248"/>
      <c r="C37" s="249"/>
      <c r="D37" s="249" t="s">
        <v>190</v>
      </c>
      <c r="E37" s="249" t="s">
        <v>191</v>
      </c>
      <c r="F37" s="250">
        <v>0</v>
      </c>
      <c r="G37" s="250">
        <v>0</v>
      </c>
      <c r="H37" s="250">
        <v>0</v>
      </c>
      <c r="I37" s="251">
        <f t="shared" si="0"/>
        <v>0</v>
      </c>
    </row>
    <row r="38" spans="1:9" ht="12.75" hidden="1">
      <c r="A38" s="248"/>
      <c r="B38" s="248"/>
      <c r="C38" s="249"/>
      <c r="D38" s="249" t="s">
        <v>192</v>
      </c>
      <c r="E38" s="249" t="s">
        <v>773</v>
      </c>
      <c r="F38" s="250">
        <v>0</v>
      </c>
      <c r="G38" s="250">
        <v>0</v>
      </c>
      <c r="H38" s="250">
        <v>0</v>
      </c>
      <c r="I38" s="251">
        <f t="shared" si="0"/>
        <v>0</v>
      </c>
    </row>
    <row r="39" spans="1:9" ht="12.75" hidden="1">
      <c r="A39" s="248"/>
      <c r="B39" s="248"/>
      <c r="C39" s="249"/>
      <c r="D39" s="249" t="s">
        <v>194</v>
      </c>
      <c r="E39" s="249" t="s">
        <v>774</v>
      </c>
      <c r="F39" s="250">
        <v>0</v>
      </c>
      <c r="G39" s="250">
        <v>0</v>
      </c>
      <c r="H39" s="250">
        <v>0</v>
      </c>
      <c r="I39" s="251">
        <f t="shared" si="0"/>
        <v>0</v>
      </c>
    </row>
    <row r="40" spans="1:9" s="239" customFormat="1" ht="12.75">
      <c r="A40" s="237" t="s">
        <v>255</v>
      </c>
      <c r="B40" s="820" t="s">
        <v>780</v>
      </c>
      <c r="C40" s="820"/>
      <c r="D40" s="820"/>
      <c r="E40" s="820"/>
      <c r="F40" s="238">
        <f>SUM(F41:F45)</f>
        <v>15255629</v>
      </c>
      <c r="G40" s="238">
        <f>SUM(G41:G45)</f>
        <v>0</v>
      </c>
      <c r="H40" s="238">
        <f>SUM(H41:H45)</f>
        <v>0</v>
      </c>
      <c r="I40" s="238">
        <f t="shared" si="0"/>
        <v>15255629</v>
      </c>
    </row>
    <row r="41" spans="1:9" ht="12.75">
      <c r="A41" s="240"/>
      <c r="B41" s="240" t="s">
        <v>256</v>
      </c>
      <c r="C41" s="812" t="s">
        <v>775</v>
      </c>
      <c r="D41" s="812"/>
      <c r="E41" s="812"/>
      <c r="F41" s="241">
        <v>0</v>
      </c>
      <c r="G41" s="241">
        <v>0</v>
      </c>
      <c r="H41" s="241">
        <v>0</v>
      </c>
      <c r="I41" s="242">
        <f t="shared" si="0"/>
        <v>0</v>
      </c>
    </row>
    <row r="42" spans="1:9" ht="12.75">
      <c r="A42" s="240"/>
      <c r="B42" s="240" t="s">
        <v>257</v>
      </c>
      <c r="C42" s="812" t="s">
        <v>776</v>
      </c>
      <c r="D42" s="812"/>
      <c r="E42" s="812"/>
      <c r="F42" s="241">
        <v>0</v>
      </c>
      <c r="G42" s="241">
        <v>0</v>
      </c>
      <c r="H42" s="241">
        <v>0</v>
      </c>
      <c r="I42" s="242">
        <f t="shared" si="0"/>
        <v>0</v>
      </c>
    </row>
    <row r="43" spans="1:9" ht="12.75">
      <c r="A43" s="240"/>
      <c r="B43" s="240" t="s">
        <v>258</v>
      </c>
      <c r="C43" s="812" t="s">
        <v>777</v>
      </c>
      <c r="D43" s="812"/>
      <c r="E43" s="812"/>
      <c r="F43" s="241">
        <v>0</v>
      </c>
      <c r="G43" s="241">
        <v>0</v>
      </c>
      <c r="H43" s="241">
        <v>0</v>
      </c>
      <c r="I43" s="242">
        <f t="shared" si="0"/>
        <v>0</v>
      </c>
    </row>
    <row r="44" spans="1:9" ht="12.75">
      <c r="A44" s="240"/>
      <c r="B44" s="240" t="s">
        <v>259</v>
      </c>
      <c r="C44" s="812" t="s">
        <v>778</v>
      </c>
      <c r="D44" s="812"/>
      <c r="E44" s="812"/>
      <c r="F44" s="241">
        <v>0</v>
      </c>
      <c r="G44" s="241">
        <v>0</v>
      </c>
      <c r="H44" s="241">
        <v>0</v>
      </c>
      <c r="I44" s="242">
        <f t="shared" si="0"/>
        <v>0</v>
      </c>
    </row>
    <row r="45" spans="1:9" ht="12.75">
      <c r="A45" s="240"/>
      <c r="B45" s="240" t="s">
        <v>260</v>
      </c>
      <c r="C45" s="812" t="s">
        <v>779</v>
      </c>
      <c r="D45" s="812"/>
      <c r="E45" s="812"/>
      <c r="F45" s="241">
        <f>SUM(F46:F55)</f>
        <v>15255629</v>
      </c>
      <c r="G45" s="241">
        <f>SUM(G46:G55)</f>
        <v>0</v>
      </c>
      <c r="H45" s="241">
        <f>SUM(H46:H55)</f>
        <v>0</v>
      </c>
      <c r="I45" s="242">
        <f t="shared" si="0"/>
        <v>15255629</v>
      </c>
    </row>
    <row r="46" spans="1:9" ht="12.75">
      <c r="A46" s="248"/>
      <c r="B46" s="248"/>
      <c r="C46" s="249" t="s">
        <v>2</v>
      </c>
      <c r="D46" s="249" t="s">
        <v>176</v>
      </c>
      <c r="E46" s="249" t="s">
        <v>177</v>
      </c>
      <c r="F46" s="250">
        <v>0</v>
      </c>
      <c r="G46" s="250">
        <v>0</v>
      </c>
      <c r="H46" s="250">
        <v>0</v>
      </c>
      <c r="I46" s="251">
        <f t="shared" si="0"/>
        <v>0</v>
      </c>
    </row>
    <row r="47" spans="1:9" ht="12.75">
      <c r="A47" s="248"/>
      <c r="B47" s="248"/>
      <c r="C47" s="249"/>
      <c r="D47" s="249" t="s">
        <v>178</v>
      </c>
      <c r="E47" s="249" t="s">
        <v>179</v>
      </c>
      <c r="F47" s="250">
        <v>0</v>
      </c>
      <c r="G47" s="250">
        <v>0</v>
      </c>
      <c r="H47" s="250">
        <v>0</v>
      </c>
      <c r="I47" s="251">
        <f t="shared" si="0"/>
        <v>0</v>
      </c>
    </row>
    <row r="48" spans="1:9" ht="12.75">
      <c r="A48" s="252"/>
      <c r="B48" s="252"/>
      <c r="C48" s="253"/>
      <c r="D48" s="253" t="s">
        <v>180</v>
      </c>
      <c r="E48" s="253" t="s">
        <v>252</v>
      </c>
      <c r="F48" s="250">
        <v>3150000</v>
      </c>
      <c r="G48" s="250">
        <v>0</v>
      </c>
      <c r="H48" s="250">
        <v>0</v>
      </c>
      <c r="I48" s="251">
        <f t="shared" si="0"/>
        <v>3150000</v>
      </c>
    </row>
    <row r="49" spans="1:9" ht="12.75">
      <c r="A49" s="248"/>
      <c r="B49" s="248"/>
      <c r="C49" s="249"/>
      <c r="D49" s="249" t="s">
        <v>182</v>
      </c>
      <c r="E49" s="249" t="s">
        <v>183</v>
      </c>
      <c r="F49" s="250">
        <v>9000000</v>
      </c>
      <c r="G49" s="250">
        <v>0</v>
      </c>
      <c r="H49" s="250">
        <v>0</v>
      </c>
      <c r="I49" s="251">
        <f t="shared" si="0"/>
        <v>9000000</v>
      </c>
    </row>
    <row r="50" spans="1:9" ht="12.75">
      <c r="A50" s="248"/>
      <c r="B50" s="248"/>
      <c r="C50" s="249"/>
      <c r="D50" s="249" t="s">
        <v>184</v>
      </c>
      <c r="E50" s="249" t="s">
        <v>185</v>
      </c>
      <c r="F50" s="250">
        <v>0</v>
      </c>
      <c r="G50" s="250">
        <v>0</v>
      </c>
      <c r="H50" s="250">
        <v>0</v>
      </c>
      <c r="I50" s="251">
        <f t="shared" si="0"/>
        <v>0</v>
      </c>
    </row>
    <row r="51" spans="1:9" ht="12.75">
      <c r="A51" s="248"/>
      <c r="B51" s="248"/>
      <c r="C51" s="249"/>
      <c r="D51" s="249" t="s">
        <v>186</v>
      </c>
      <c r="E51" s="249" t="s">
        <v>187</v>
      </c>
      <c r="F51" s="250">
        <f>1707563+1398066</f>
        <v>3105629</v>
      </c>
      <c r="G51" s="250">
        <v>0</v>
      </c>
      <c r="H51" s="250">
        <v>0</v>
      </c>
      <c r="I51" s="251">
        <f t="shared" si="0"/>
        <v>3105629</v>
      </c>
    </row>
    <row r="52" spans="1:9" ht="12.75" hidden="1">
      <c r="A52" s="248"/>
      <c r="B52" s="248"/>
      <c r="C52" s="249"/>
      <c r="D52" s="249" t="s">
        <v>188</v>
      </c>
      <c r="E52" s="249" t="s">
        <v>189</v>
      </c>
      <c r="F52" s="250">
        <v>0</v>
      </c>
      <c r="G52" s="250">
        <v>0</v>
      </c>
      <c r="H52" s="250">
        <v>0</v>
      </c>
      <c r="I52" s="251">
        <f t="shared" si="0"/>
        <v>0</v>
      </c>
    </row>
    <row r="53" spans="1:9" ht="12.75" hidden="1">
      <c r="A53" s="248"/>
      <c r="B53" s="248"/>
      <c r="C53" s="249"/>
      <c r="D53" s="249" t="s">
        <v>190</v>
      </c>
      <c r="E53" s="249" t="s">
        <v>191</v>
      </c>
      <c r="F53" s="250">
        <v>0</v>
      </c>
      <c r="G53" s="250">
        <v>0</v>
      </c>
      <c r="H53" s="250">
        <v>0</v>
      </c>
      <c r="I53" s="251">
        <f t="shared" si="0"/>
        <v>0</v>
      </c>
    </row>
    <row r="54" spans="1:9" ht="12.75" hidden="1">
      <c r="A54" s="248"/>
      <c r="B54" s="248"/>
      <c r="C54" s="249"/>
      <c r="D54" s="249" t="s">
        <v>192</v>
      </c>
      <c r="E54" s="249" t="s">
        <v>193</v>
      </c>
      <c r="F54" s="250">
        <v>0</v>
      </c>
      <c r="G54" s="250">
        <v>0</v>
      </c>
      <c r="H54" s="250">
        <v>0</v>
      </c>
      <c r="I54" s="251">
        <f t="shared" si="0"/>
        <v>0</v>
      </c>
    </row>
    <row r="55" spans="1:9" ht="12.75" hidden="1">
      <c r="A55" s="248"/>
      <c r="B55" s="248"/>
      <c r="C55" s="249"/>
      <c r="D55" s="249" t="s">
        <v>194</v>
      </c>
      <c r="E55" s="249" t="s">
        <v>195</v>
      </c>
      <c r="F55" s="250">
        <v>0</v>
      </c>
      <c r="G55" s="250">
        <v>0</v>
      </c>
      <c r="H55" s="250">
        <v>0</v>
      </c>
      <c r="I55" s="251">
        <f t="shared" si="0"/>
        <v>0</v>
      </c>
    </row>
    <row r="56" spans="1:9" s="239" customFormat="1" ht="12.75">
      <c r="A56" s="237" t="s">
        <v>261</v>
      </c>
      <c r="B56" s="820" t="s">
        <v>262</v>
      </c>
      <c r="C56" s="820"/>
      <c r="D56" s="820"/>
      <c r="E56" s="820"/>
      <c r="F56" s="238">
        <f>SUM(F57+F58+F59+F60+F63+F74)</f>
        <v>182000000</v>
      </c>
      <c r="G56" s="238">
        <f>SUM(G57+G58+G59+G60+G63+G74)</f>
        <v>10000</v>
      </c>
      <c r="H56" s="238">
        <f>SUM(H57+H58+H59+H60+H63+H74)</f>
        <v>0</v>
      </c>
      <c r="I56" s="238">
        <f t="shared" si="0"/>
        <v>182010000</v>
      </c>
    </row>
    <row r="57" spans="1:9" ht="12.75">
      <c r="A57" s="240"/>
      <c r="B57" s="240" t="s">
        <v>263</v>
      </c>
      <c r="C57" s="812" t="s">
        <v>264</v>
      </c>
      <c r="D57" s="812"/>
      <c r="E57" s="812"/>
      <c r="F57" s="241">
        <v>50000</v>
      </c>
      <c r="G57" s="241">
        <v>0</v>
      </c>
      <c r="H57" s="241">
        <v>0</v>
      </c>
      <c r="I57" s="242">
        <f t="shared" si="0"/>
        <v>50000</v>
      </c>
    </row>
    <row r="58" spans="1:9" ht="12.75">
      <c r="A58" s="240"/>
      <c r="B58" s="240" t="s">
        <v>265</v>
      </c>
      <c r="C58" s="812" t="s">
        <v>266</v>
      </c>
      <c r="D58" s="812"/>
      <c r="E58" s="812"/>
      <c r="F58" s="241">
        <v>0</v>
      </c>
      <c r="G58" s="241">
        <v>0</v>
      </c>
      <c r="H58" s="241">
        <v>0</v>
      </c>
      <c r="I58" s="242">
        <f t="shared" si="0"/>
        <v>0</v>
      </c>
    </row>
    <row r="59" spans="1:9" ht="12.75">
      <c r="A59" s="240"/>
      <c r="B59" s="240" t="s">
        <v>267</v>
      </c>
      <c r="C59" s="812" t="s">
        <v>268</v>
      </c>
      <c r="D59" s="812"/>
      <c r="E59" s="812"/>
      <c r="F59" s="241">
        <v>0</v>
      </c>
      <c r="G59" s="241">
        <v>0</v>
      </c>
      <c r="H59" s="241">
        <v>0</v>
      </c>
      <c r="I59" s="242">
        <f t="shared" si="0"/>
        <v>0</v>
      </c>
    </row>
    <row r="60" spans="1:9" ht="12.75">
      <c r="A60" s="240"/>
      <c r="B60" s="240" t="s">
        <v>269</v>
      </c>
      <c r="C60" s="812" t="s">
        <v>270</v>
      </c>
      <c r="D60" s="812"/>
      <c r="E60" s="812"/>
      <c r="F60" s="241">
        <f>SUM(F61:F62)</f>
        <v>26700000</v>
      </c>
      <c r="G60" s="241">
        <f>SUM(G61:G62)</f>
        <v>0</v>
      </c>
      <c r="H60" s="241">
        <v>0</v>
      </c>
      <c r="I60" s="242">
        <f t="shared" si="0"/>
        <v>26700000</v>
      </c>
    </row>
    <row r="61" spans="1:9" ht="12.75">
      <c r="A61" s="248"/>
      <c r="B61" s="248"/>
      <c r="C61" s="249"/>
      <c r="D61" s="249"/>
      <c r="E61" s="249" t="s">
        <v>271</v>
      </c>
      <c r="F61" s="250">
        <v>25800000</v>
      </c>
      <c r="G61" s="250">
        <v>0</v>
      </c>
      <c r="H61" s="250">
        <v>0</v>
      </c>
      <c r="I61" s="251">
        <f t="shared" si="0"/>
        <v>25800000</v>
      </c>
    </row>
    <row r="62" spans="1:9" ht="12.75">
      <c r="A62" s="248"/>
      <c r="B62" s="248"/>
      <c r="C62" s="249"/>
      <c r="D62" s="249"/>
      <c r="E62" s="249" t="s">
        <v>272</v>
      </c>
      <c r="F62" s="250">
        <v>900000</v>
      </c>
      <c r="G62" s="250">
        <v>0</v>
      </c>
      <c r="H62" s="250">
        <v>0</v>
      </c>
      <c r="I62" s="251">
        <f t="shared" si="0"/>
        <v>900000</v>
      </c>
    </row>
    <row r="63" spans="1:9" ht="12.75">
      <c r="A63" s="240"/>
      <c r="B63" s="240" t="s">
        <v>273</v>
      </c>
      <c r="C63" s="812" t="s">
        <v>274</v>
      </c>
      <c r="D63" s="812"/>
      <c r="E63" s="812"/>
      <c r="F63" s="241">
        <f>SUM(F64+F67+F69+F70+F72)</f>
        <v>154700000</v>
      </c>
      <c r="G63" s="241">
        <f>SUM(G64+G67+G69+G70+G72)</f>
        <v>0</v>
      </c>
      <c r="H63" s="241">
        <v>0</v>
      </c>
      <c r="I63" s="242">
        <f t="shared" si="0"/>
        <v>154700000</v>
      </c>
    </row>
    <row r="64" spans="1:9" ht="12.75">
      <c r="A64" s="243"/>
      <c r="B64" s="243"/>
      <c r="C64" s="243" t="s">
        <v>275</v>
      </c>
      <c r="D64" s="243" t="s">
        <v>276</v>
      </c>
      <c r="E64" s="243"/>
      <c r="F64" s="244">
        <f>SUM(F65:F66)</f>
        <v>135500000</v>
      </c>
      <c r="G64" s="244">
        <f>SUM(G65:G66)</f>
        <v>0</v>
      </c>
      <c r="H64" s="244">
        <v>0</v>
      </c>
      <c r="I64" s="245">
        <f t="shared" si="0"/>
        <v>135500000</v>
      </c>
    </row>
    <row r="65" spans="1:9" ht="12.75">
      <c r="A65" s="248"/>
      <c r="B65" s="248"/>
      <c r="C65" s="249"/>
      <c r="D65" s="249"/>
      <c r="E65" s="249" t="s">
        <v>781</v>
      </c>
      <c r="F65" s="250">
        <v>135000000</v>
      </c>
      <c r="G65" s="250">
        <v>0</v>
      </c>
      <c r="H65" s="250">
        <v>0</v>
      </c>
      <c r="I65" s="251">
        <f t="shared" si="0"/>
        <v>135000000</v>
      </c>
    </row>
    <row r="66" spans="1:9" ht="12.75">
      <c r="A66" s="248"/>
      <c r="B66" s="248"/>
      <c r="C66" s="249"/>
      <c r="D66" s="249"/>
      <c r="E66" s="249" t="s">
        <v>782</v>
      </c>
      <c r="F66" s="250">
        <v>500000</v>
      </c>
      <c r="G66" s="250">
        <v>0</v>
      </c>
      <c r="H66" s="250">
        <v>0</v>
      </c>
      <c r="I66" s="251">
        <f t="shared" si="0"/>
        <v>500000</v>
      </c>
    </row>
    <row r="67" spans="1:9" ht="12.75">
      <c r="A67" s="243"/>
      <c r="B67" s="243"/>
      <c r="C67" s="243" t="s">
        <v>277</v>
      </c>
      <c r="D67" s="243" t="s">
        <v>667</v>
      </c>
      <c r="E67" s="243"/>
      <c r="F67" s="244">
        <f>SUM(F68)</f>
        <v>0</v>
      </c>
      <c r="G67" s="244">
        <f>SUM(G68)</f>
        <v>0</v>
      </c>
      <c r="H67" s="244">
        <f>SUM(H68)</f>
        <v>0</v>
      </c>
      <c r="I67" s="245">
        <f t="shared" si="0"/>
        <v>0</v>
      </c>
    </row>
    <row r="68" spans="1:9" ht="12.75" hidden="1">
      <c r="A68" s="243"/>
      <c r="B68" s="243"/>
      <c r="C68" s="243"/>
      <c r="D68" s="243"/>
      <c r="E68" s="249" t="s">
        <v>668</v>
      </c>
      <c r="F68" s="244">
        <v>0</v>
      </c>
      <c r="G68" s="244">
        <v>0</v>
      </c>
      <c r="H68" s="244">
        <v>0</v>
      </c>
      <c r="I68" s="245">
        <f t="shared" si="0"/>
        <v>0</v>
      </c>
    </row>
    <row r="69" spans="1:9" ht="12.75">
      <c r="A69" s="243"/>
      <c r="B69" s="243"/>
      <c r="C69" s="243" t="s">
        <v>278</v>
      </c>
      <c r="D69" s="243" t="s">
        <v>279</v>
      </c>
      <c r="E69" s="243"/>
      <c r="F69" s="244">
        <v>0</v>
      </c>
      <c r="G69" s="244">
        <v>0</v>
      </c>
      <c r="H69" s="244">
        <v>0</v>
      </c>
      <c r="I69" s="245">
        <f t="shared" si="0"/>
        <v>0</v>
      </c>
    </row>
    <row r="70" spans="1:9" ht="12.75">
      <c r="A70" s="243"/>
      <c r="B70" s="243"/>
      <c r="C70" s="243" t="s">
        <v>280</v>
      </c>
      <c r="D70" s="243" t="s">
        <v>281</v>
      </c>
      <c r="E70" s="243"/>
      <c r="F70" s="244">
        <f>SUM(F71)</f>
        <v>19200000</v>
      </c>
      <c r="G70" s="244">
        <f>SUM(G71:G71)</f>
        <v>0</v>
      </c>
      <c r="H70" s="244">
        <v>0</v>
      </c>
      <c r="I70" s="245">
        <f t="shared" si="0"/>
        <v>19200000</v>
      </c>
    </row>
    <row r="71" spans="1:9" ht="12.75">
      <c r="A71" s="248"/>
      <c r="B71" s="248"/>
      <c r="C71" s="248"/>
      <c r="D71" s="249"/>
      <c r="E71" s="249" t="s">
        <v>783</v>
      </c>
      <c r="F71" s="250">
        <v>19200000</v>
      </c>
      <c r="G71" s="250">
        <v>0</v>
      </c>
      <c r="H71" s="250">
        <v>0</v>
      </c>
      <c r="I71" s="251">
        <f t="shared" si="0"/>
        <v>19200000</v>
      </c>
    </row>
    <row r="72" spans="1:9" ht="12.75">
      <c r="A72" s="243"/>
      <c r="B72" s="243"/>
      <c r="C72" s="243" t="s">
        <v>282</v>
      </c>
      <c r="D72" s="243" t="s">
        <v>283</v>
      </c>
      <c r="E72" s="243"/>
      <c r="F72" s="244">
        <f>SUM(F73:F73)</f>
        <v>0</v>
      </c>
      <c r="G72" s="244">
        <v>0</v>
      </c>
      <c r="H72" s="244">
        <v>0</v>
      </c>
      <c r="I72" s="245">
        <f t="shared" si="0"/>
        <v>0</v>
      </c>
    </row>
    <row r="73" spans="1:9" ht="12.75" hidden="1">
      <c r="A73" s="248"/>
      <c r="B73" s="248"/>
      <c r="C73" s="248"/>
      <c r="D73" s="249"/>
      <c r="E73" s="249" t="s">
        <v>285</v>
      </c>
      <c r="F73" s="250">
        <v>0</v>
      </c>
      <c r="G73" s="250">
        <v>0</v>
      </c>
      <c r="H73" s="250">
        <v>0</v>
      </c>
      <c r="I73" s="251">
        <f aca="true" t="shared" si="1" ref="I73:I181">SUM(F73:H73)</f>
        <v>0</v>
      </c>
    </row>
    <row r="74" spans="1:9" ht="12.75">
      <c r="A74" s="240"/>
      <c r="B74" s="240" t="s">
        <v>286</v>
      </c>
      <c r="C74" s="812" t="s">
        <v>287</v>
      </c>
      <c r="D74" s="812"/>
      <c r="E74" s="812"/>
      <c r="F74" s="241">
        <f>SUM(F75:F84)</f>
        <v>550000</v>
      </c>
      <c r="G74" s="241">
        <f>SUM(G75:G84)</f>
        <v>10000</v>
      </c>
      <c r="H74" s="241">
        <f>SUM(H75:H84)</f>
        <v>0</v>
      </c>
      <c r="I74" s="242">
        <f t="shared" si="1"/>
        <v>560000</v>
      </c>
    </row>
    <row r="75" spans="1:9" ht="12.75" hidden="1">
      <c r="A75" s="254"/>
      <c r="B75" s="254"/>
      <c r="C75" s="254"/>
      <c r="D75" s="249"/>
      <c r="E75" s="249" t="s">
        <v>288</v>
      </c>
      <c r="F75" s="250">
        <v>0</v>
      </c>
      <c r="G75" s="250">
        <v>0</v>
      </c>
      <c r="H75" s="250">
        <v>0</v>
      </c>
      <c r="I75" s="251">
        <f t="shared" si="1"/>
        <v>0</v>
      </c>
    </row>
    <row r="76" spans="1:9" ht="12.75">
      <c r="A76" s="248"/>
      <c r="B76" s="248"/>
      <c r="C76" s="248"/>
      <c r="D76" s="249"/>
      <c r="E76" s="249" t="s">
        <v>289</v>
      </c>
      <c r="F76" s="250">
        <v>0</v>
      </c>
      <c r="G76" s="250">
        <v>10000</v>
      </c>
      <c r="H76" s="250">
        <v>0</v>
      </c>
      <c r="I76" s="251">
        <f t="shared" si="1"/>
        <v>10000</v>
      </c>
    </row>
    <row r="77" spans="1:9" ht="12.75" hidden="1">
      <c r="A77" s="254"/>
      <c r="B77" s="254"/>
      <c r="C77" s="254"/>
      <c r="D77" s="249"/>
      <c r="E77" s="249" t="s">
        <v>290</v>
      </c>
      <c r="F77" s="250">
        <v>0</v>
      </c>
      <c r="G77" s="250">
        <v>0</v>
      </c>
      <c r="H77" s="250">
        <v>0</v>
      </c>
      <c r="I77" s="251">
        <f t="shared" si="1"/>
        <v>0</v>
      </c>
    </row>
    <row r="78" spans="1:9" ht="12.75">
      <c r="A78" s="254"/>
      <c r="B78" s="254"/>
      <c r="C78" s="254"/>
      <c r="D78" s="249"/>
      <c r="E78" s="249" t="s">
        <v>284</v>
      </c>
      <c r="F78" s="250">
        <v>300000</v>
      </c>
      <c r="G78" s="250">
        <v>0</v>
      </c>
      <c r="H78" s="250">
        <v>0</v>
      </c>
      <c r="I78" s="251">
        <f t="shared" si="1"/>
        <v>300000</v>
      </c>
    </row>
    <row r="79" spans="1:9" ht="12.75" hidden="1">
      <c r="A79" s="254"/>
      <c r="B79" s="254"/>
      <c r="C79" s="254"/>
      <c r="D79" s="249"/>
      <c r="E79" s="249" t="s">
        <v>291</v>
      </c>
      <c r="F79" s="250">
        <v>0</v>
      </c>
      <c r="G79" s="250">
        <v>0</v>
      </c>
      <c r="H79" s="250">
        <v>0</v>
      </c>
      <c r="I79" s="251">
        <f t="shared" si="1"/>
        <v>0</v>
      </c>
    </row>
    <row r="80" spans="1:9" ht="12.75" hidden="1">
      <c r="A80" s="254"/>
      <c r="B80" s="254"/>
      <c r="C80" s="254"/>
      <c r="D80" s="249"/>
      <c r="E80" s="249" t="s">
        <v>292</v>
      </c>
      <c r="F80" s="250">
        <v>0</v>
      </c>
      <c r="G80" s="250">
        <v>0</v>
      </c>
      <c r="H80" s="250">
        <v>0</v>
      </c>
      <c r="I80" s="251">
        <f t="shared" si="1"/>
        <v>0</v>
      </c>
    </row>
    <row r="81" spans="1:9" ht="12.75" hidden="1">
      <c r="A81" s="254"/>
      <c r="B81" s="254"/>
      <c r="C81" s="254"/>
      <c r="D81" s="249"/>
      <c r="E81" s="249" t="s">
        <v>736</v>
      </c>
      <c r="F81" s="250">
        <f>50000-50000</f>
        <v>0</v>
      </c>
      <c r="G81" s="250">
        <v>0</v>
      </c>
      <c r="H81" s="250">
        <v>0</v>
      </c>
      <c r="I81" s="251">
        <f t="shared" si="1"/>
        <v>0</v>
      </c>
    </row>
    <row r="82" spans="1:9" ht="30" customHeight="1" hidden="1">
      <c r="A82" s="248"/>
      <c r="B82" s="248"/>
      <c r="C82" s="248"/>
      <c r="D82" s="248"/>
      <c r="E82" s="255" t="s">
        <v>784</v>
      </c>
      <c r="F82" s="250">
        <v>0</v>
      </c>
      <c r="G82" s="250">
        <v>0</v>
      </c>
      <c r="H82" s="250">
        <v>0</v>
      </c>
      <c r="I82" s="251">
        <f t="shared" si="1"/>
        <v>0</v>
      </c>
    </row>
    <row r="83" spans="1:9" ht="12.75" hidden="1">
      <c r="A83" s="254"/>
      <c r="B83" s="254"/>
      <c r="C83" s="254"/>
      <c r="D83" s="254"/>
      <c r="E83" s="249" t="s">
        <v>293</v>
      </c>
      <c r="F83" s="250">
        <v>0</v>
      </c>
      <c r="G83" s="250">
        <v>0</v>
      </c>
      <c r="H83" s="250">
        <v>0</v>
      </c>
      <c r="I83" s="251">
        <f t="shared" si="1"/>
        <v>0</v>
      </c>
    </row>
    <row r="84" spans="1:9" ht="12.75">
      <c r="A84" s="248"/>
      <c r="B84" s="248"/>
      <c r="C84" s="248"/>
      <c r="D84" s="248"/>
      <c r="E84" s="253" t="s">
        <v>294</v>
      </c>
      <c r="F84" s="250">
        <v>250000</v>
      </c>
      <c r="G84" s="250">
        <v>0</v>
      </c>
      <c r="H84" s="250">
        <v>0</v>
      </c>
      <c r="I84" s="251">
        <f t="shared" si="1"/>
        <v>250000</v>
      </c>
    </row>
    <row r="85" spans="1:9" s="239" customFormat="1" ht="12.75">
      <c r="A85" s="237" t="s">
        <v>295</v>
      </c>
      <c r="B85" s="820" t="s">
        <v>296</v>
      </c>
      <c r="C85" s="820"/>
      <c r="D85" s="820"/>
      <c r="E85" s="820"/>
      <c r="F85" s="238">
        <f>SUM(F86+F87+F90+F92+F99+F100+F101+F102+F109+F117+F118)</f>
        <v>48666286</v>
      </c>
      <c r="G85" s="238">
        <f>SUM(G86+G87+G90+G92+G99+G100+G101+G102+G109+G117+G118)</f>
        <v>5096922</v>
      </c>
      <c r="H85" s="238">
        <f>SUM(H86+H87+H90+H92+H99+H100+H101+H102+H109+H117+H118)</f>
        <v>1323594</v>
      </c>
      <c r="I85" s="238">
        <f t="shared" si="1"/>
        <v>55086802</v>
      </c>
    </row>
    <row r="86" spans="1:9" ht="12.75">
      <c r="A86" s="243"/>
      <c r="B86" s="243"/>
      <c r="C86" s="243" t="s">
        <v>297</v>
      </c>
      <c r="D86" s="243" t="s">
        <v>618</v>
      </c>
      <c r="E86" s="243"/>
      <c r="F86" s="244">
        <f>7900000+1850953</f>
        <v>9750953</v>
      </c>
      <c r="G86" s="244">
        <v>0</v>
      </c>
      <c r="H86" s="244">
        <v>0</v>
      </c>
      <c r="I86" s="245">
        <f t="shared" si="1"/>
        <v>9750953</v>
      </c>
    </row>
    <row r="87" spans="1:9" ht="12.75">
      <c r="A87" s="243"/>
      <c r="B87" s="243"/>
      <c r="C87" s="243" t="s">
        <v>298</v>
      </c>
      <c r="D87" s="243" t="s">
        <v>367</v>
      </c>
      <c r="E87" s="243"/>
      <c r="F87" s="244">
        <f>18596705+4800000+67100</f>
        <v>23463805</v>
      </c>
      <c r="G87" s="244">
        <v>200000</v>
      </c>
      <c r="H87" s="244">
        <v>0</v>
      </c>
      <c r="I87" s="245">
        <f t="shared" si="1"/>
        <v>23663805</v>
      </c>
    </row>
    <row r="88" spans="1:9" ht="12.75">
      <c r="A88" s="248"/>
      <c r="B88" s="248"/>
      <c r="C88" s="249" t="s">
        <v>2</v>
      </c>
      <c r="D88" s="249"/>
      <c r="E88" s="249" t="s">
        <v>299</v>
      </c>
      <c r="F88" s="256">
        <f>9016325+4800000+67100</f>
        <v>13883425</v>
      </c>
      <c r="G88" s="256">
        <v>0</v>
      </c>
      <c r="H88" s="250">
        <v>0</v>
      </c>
      <c r="I88" s="251">
        <f t="shared" si="1"/>
        <v>13883425</v>
      </c>
    </row>
    <row r="89" spans="1:9" ht="12.75" hidden="1">
      <c r="A89" s="248"/>
      <c r="B89" s="248"/>
      <c r="C89" s="249"/>
      <c r="D89" s="249"/>
      <c r="E89" s="249" t="s">
        <v>785</v>
      </c>
      <c r="F89" s="250">
        <v>0</v>
      </c>
      <c r="G89" s="250">
        <v>0</v>
      </c>
      <c r="H89" s="250">
        <v>0</v>
      </c>
      <c r="I89" s="251">
        <f>SUM(F89:H89)</f>
        <v>0</v>
      </c>
    </row>
    <row r="90" spans="1:9" ht="12.75">
      <c r="A90" s="243"/>
      <c r="B90" s="243"/>
      <c r="C90" s="243" t="s">
        <v>300</v>
      </c>
      <c r="D90" s="243" t="s">
        <v>301</v>
      </c>
      <c r="E90" s="243"/>
      <c r="F90" s="244">
        <f>3145064+32122+20948+80928</f>
        <v>3279062</v>
      </c>
      <c r="G90" s="244">
        <v>3870258</v>
      </c>
      <c r="H90" s="244">
        <v>0</v>
      </c>
      <c r="I90" s="245">
        <f t="shared" si="1"/>
        <v>7149320</v>
      </c>
    </row>
    <row r="91" spans="1:9" ht="12.75">
      <c r="A91" s="248"/>
      <c r="B91" s="248"/>
      <c r="C91" s="249" t="s">
        <v>2</v>
      </c>
      <c r="D91" s="249"/>
      <c r="E91" s="249" t="s">
        <v>7</v>
      </c>
      <c r="F91" s="250">
        <f>250000+1713708+80928</f>
        <v>2044636</v>
      </c>
      <c r="G91" s="250">
        <f>1962068+107000</f>
        <v>2069068</v>
      </c>
      <c r="H91" s="250">
        <v>0</v>
      </c>
      <c r="I91" s="251">
        <f t="shared" si="1"/>
        <v>4113704</v>
      </c>
    </row>
    <row r="92" spans="1:9" ht="12.75">
      <c r="A92" s="243"/>
      <c r="B92" s="243"/>
      <c r="C92" s="243" t="s">
        <v>302</v>
      </c>
      <c r="D92" s="243" t="s">
        <v>303</v>
      </c>
      <c r="E92" s="243"/>
      <c r="F92" s="244">
        <v>639000</v>
      </c>
      <c r="G92" s="244">
        <v>0</v>
      </c>
      <c r="H92" s="244">
        <v>0</v>
      </c>
      <c r="I92" s="245">
        <f t="shared" si="1"/>
        <v>639000</v>
      </c>
    </row>
    <row r="93" spans="1:9" ht="12.75">
      <c r="A93" s="248"/>
      <c r="B93" s="248"/>
      <c r="C93" s="249" t="s">
        <v>2</v>
      </c>
      <c r="D93" s="249"/>
      <c r="E93" s="249" t="s">
        <v>304</v>
      </c>
      <c r="F93" s="250">
        <v>0</v>
      </c>
      <c r="G93" s="250">
        <v>0</v>
      </c>
      <c r="H93" s="250">
        <v>0</v>
      </c>
      <c r="I93" s="251">
        <f t="shared" si="1"/>
        <v>0</v>
      </c>
    </row>
    <row r="94" spans="1:9" ht="12.75">
      <c r="A94" s="248"/>
      <c r="B94" s="248"/>
      <c r="C94" s="249"/>
      <c r="D94" s="249"/>
      <c r="E94" s="249" t="s">
        <v>786</v>
      </c>
      <c r="F94" s="250">
        <v>0</v>
      </c>
      <c r="G94" s="250">
        <v>0</v>
      </c>
      <c r="H94" s="250">
        <v>0</v>
      </c>
      <c r="I94" s="251">
        <f>SUM(F94:H94)</f>
        <v>0</v>
      </c>
    </row>
    <row r="95" spans="1:9" ht="12.75">
      <c r="A95" s="248"/>
      <c r="B95" s="248"/>
      <c r="C95" s="249"/>
      <c r="D95" s="249"/>
      <c r="E95" s="249" t="s">
        <v>787</v>
      </c>
      <c r="F95" s="250">
        <v>639000</v>
      </c>
      <c r="G95" s="250">
        <v>0</v>
      </c>
      <c r="H95" s="250">
        <v>0</v>
      </c>
      <c r="I95" s="251">
        <f>SUM(F95:H95)</f>
        <v>639000</v>
      </c>
    </row>
    <row r="96" spans="1:9" ht="12.75" hidden="1">
      <c r="A96" s="248"/>
      <c r="B96" s="248"/>
      <c r="C96" s="249"/>
      <c r="D96" s="249"/>
      <c r="E96" s="249" t="s">
        <v>788</v>
      </c>
      <c r="F96" s="250">
        <v>0</v>
      </c>
      <c r="G96" s="250">
        <v>0</v>
      </c>
      <c r="H96" s="250">
        <v>0</v>
      </c>
      <c r="I96" s="251">
        <f>SUM(F96:H96)</f>
        <v>0</v>
      </c>
    </row>
    <row r="97" spans="1:9" ht="12.75" hidden="1">
      <c r="A97" s="248"/>
      <c r="B97" s="248"/>
      <c r="C97" s="249"/>
      <c r="D97" s="249"/>
      <c r="E97" s="249" t="s">
        <v>789</v>
      </c>
      <c r="F97" s="250">
        <v>0</v>
      </c>
      <c r="G97" s="250">
        <v>0</v>
      </c>
      <c r="H97" s="250">
        <v>0</v>
      </c>
      <c r="I97" s="251">
        <f>SUM(F97:H97)</f>
        <v>0</v>
      </c>
    </row>
    <row r="98" spans="1:9" ht="12.75" hidden="1">
      <c r="A98" s="248"/>
      <c r="B98" s="248"/>
      <c r="C98" s="249"/>
      <c r="D98" s="249"/>
      <c r="E98" s="249" t="s">
        <v>619</v>
      </c>
      <c r="F98" s="250">
        <v>0</v>
      </c>
      <c r="G98" s="250">
        <v>0</v>
      </c>
      <c r="H98" s="250">
        <v>0</v>
      </c>
      <c r="I98" s="251">
        <f t="shared" si="1"/>
        <v>0</v>
      </c>
    </row>
    <row r="99" spans="1:9" ht="12.75">
      <c r="A99" s="243"/>
      <c r="B99" s="243"/>
      <c r="C99" s="243" t="s">
        <v>305</v>
      </c>
      <c r="D99" s="243" t="s">
        <v>306</v>
      </c>
      <c r="E99" s="243"/>
      <c r="F99" s="244">
        <v>4247600</v>
      </c>
      <c r="G99" s="244">
        <v>0</v>
      </c>
      <c r="H99" s="244">
        <v>1042200</v>
      </c>
      <c r="I99" s="245">
        <f t="shared" si="1"/>
        <v>5289800</v>
      </c>
    </row>
    <row r="100" spans="1:9" ht="12.75">
      <c r="A100" s="243"/>
      <c r="B100" s="243"/>
      <c r="C100" s="243" t="s">
        <v>307</v>
      </c>
      <c r="D100" s="243" t="s">
        <v>308</v>
      </c>
      <c r="E100" s="243"/>
      <c r="F100" s="244">
        <f>4580520+1296000+451243+19072</f>
        <v>6346835</v>
      </c>
      <c r="G100" s="244">
        <v>1026664</v>
      </c>
      <c r="H100" s="244">
        <v>281394</v>
      </c>
      <c r="I100" s="245">
        <f t="shared" si="1"/>
        <v>7654893</v>
      </c>
    </row>
    <row r="101" spans="1:9" ht="12.75">
      <c r="A101" s="243"/>
      <c r="B101" s="243"/>
      <c r="C101" s="243" t="s">
        <v>309</v>
      </c>
      <c r="D101" s="243" t="s">
        <v>310</v>
      </c>
      <c r="E101" s="243"/>
      <c r="F101" s="244">
        <v>0</v>
      </c>
      <c r="G101" s="244">
        <v>0</v>
      </c>
      <c r="H101" s="244">
        <v>0</v>
      </c>
      <c r="I101" s="245">
        <f t="shared" si="1"/>
        <v>0</v>
      </c>
    </row>
    <row r="102" spans="1:9" ht="12.75">
      <c r="A102" s="243"/>
      <c r="B102" s="243"/>
      <c r="C102" s="243" t="s">
        <v>311</v>
      </c>
      <c r="D102" s="243" t="s">
        <v>669</v>
      </c>
      <c r="E102" s="243"/>
      <c r="F102" s="244">
        <f>SUM(F103,F106)</f>
        <v>6000</v>
      </c>
      <c r="G102" s="244">
        <f>SUM(G103+G106)</f>
        <v>0</v>
      </c>
      <c r="H102" s="244">
        <f>SUM(H103+H106)</f>
        <v>0</v>
      </c>
      <c r="I102" s="245">
        <f t="shared" si="1"/>
        <v>6000</v>
      </c>
    </row>
    <row r="103" spans="1:9" ht="12.75" hidden="1">
      <c r="A103" s="243"/>
      <c r="B103" s="243"/>
      <c r="C103" s="249"/>
      <c r="D103" s="822" t="s">
        <v>790</v>
      </c>
      <c r="E103" s="823"/>
      <c r="F103" s="250">
        <v>0</v>
      </c>
      <c r="G103" s="250">
        <v>0</v>
      </c>
      <c r="H103" s="250">
        <v>0</v>
      </c>
      <c r="I103" s="251">
        <f t="shared" si="1"/>
        <v>0</v>
      </c>
    </row>
    <row r="104" spans="1:9" ht="12.75" hidden="1">
      <c r="A104" s="243"/>
      <c r="B104" s="243"/>
      <c r="C104" s="243" t="s">
        <v>2</v>
      </c>
      <c r="D104" s="243"/>
      <c r="E104" s="249" t="s">
        <v>7</v>
      </c>
      <c r="F104" s="250">
        <v>0</v>
      </c>
      <c r="G104" s="250">
        <v>0</v>
      </c>
      <c r="H104" s="250">
        <v>0</v>
      </c>
      <c r="I104" s="251">
        <f>SUM(F104:H104)</f>
        <v>0</v>
      </c>
    </row>
    <row r="105" spans="1:9" ht="12.75" hidden="1">
      <c r="A105" s="243"/>
      <c r="B105" s="243"/>
      <c r="C105" s="243"/>
      <c r="D105" s="243"/>
      <c r="E105" s="249" t="s">
        <v>791</v>
      </c>
      <c r="F105" s="250">
        <v>0</v>
      </c>
      <c r="G105" s="250">
        <v>0</v>
      </c>
      <c r="H105" s="250">
        <v>0</v>
      </c>
      <c r="I105" s="251">
        <f>SUM(F105:H105)</f>
        <v>0</v>
      </c>
    </row>
    <row r="106" spans="1:9" ht="12.75" hidden="1">
      <c r="A106" s="243"/>
      <c r="B106" s="243"/>
      <c r="C106" s="243"/>
      <c r="D106" s="822" t="s">
        <v>671</v>
      </c>
      <c r="E106" s="823"/>
      <c r="F106" s="250">
        <f>6000</f>
        <v>6000</v>
      </c>
      <c r="G106" s="250">
        <v>0</v>
      </c>
      <c r="H106" s="250">
        <v>0</v>
      </c>
      <c r="I106" s="251">
        <f>SUM(F106:H106)</f>
        <v>6000</v>
      </c>
    </row>
    <row r="107" spans="1:9" ht="12.75" hidden="1">
      <c r="A107" s="243"/>
      <c r="B107" s="243"/>
      <c r="C107" s="243" t="s">
        <v>2</v>
      </c>
      <c r="D107" s="243"/>
      <c r="E107" s="249" t="s">
        <v>7</v>
      </c>
      <c r="F107" s="250">
        <v>0</v>
      </c>
      <c r="G107" s="250">
        <v>0</v>
      </c>
      <c r="H107" s="250">
        <v>0</v>
      </c>
      <c r="I107" s="251">
        <f>SUM(F107:H107)</f>
        <v>0</v>
      </c>
    </row>
    <row r="108" spans="1:9" ht="12.75" hidden="1">
      <c r="A108" s="243"/>
      <c r="B108" s="243"/>
      <c r="C108" s="243"/>
      <c r="D108" s="243"/>
      <c r="E108" s="249" t="s">
        <v>620</v>
      </c>
      <c r="F108" s="250">
        <v>0</v>
      </c>
      <c r="G108" s="250">
        <v>0</v>
      </c>
      <c r="H108" s="250">
        <v>0</v>
      </c>
      <c r="I108" s="251">
        <f>SUM(F108:H108)</f>
        <v>0</v>
      </c>
    </row>
    <row r="109" spans="1:9" ht="12.75">
      <c r="A109" s="243"/>
      <c r="B109" s="243"/>
      <c r="C109" s="243" t="s">
        <v>312</v>
      </c>
      <c r="D109" s="243" t="s">
        <v>674</v>
      </c>
      <c r="E109" s="243"/>
      <c r="F109" s="244">
        <f>SUM(F110:F111)</f>
        <v>0</v>
      </c>
      <c r="G109" s="244">
        <f>SUM(G110:G111)</f>
        <v>0</v>
      </c>
      <c r="H109" s="244">
        <f>SUM(H110:H111)</f>
        <v>0</v>
      </c>
      <c r="I109" s="245">
        <f t="shared" si="1"/>
        <v>0</v>
      </c>
    </row>
    <row r="110" spans="1:9" ht="12.75" hidden="1">
      <c r="A110" s="243"/>
      <c r="B110" s="243"/>
      <c r="C110" s="243"/>
      <c r="D110" s="822" t="s">
        <v>672</v>
      </c>
      <c r="E110" s="823"/>
      <c r="F110" s="244">
        <v>0</v>
      </c>
      <c r="G110" s="244">
        <v>0</v>
      </c>
      <c r="H110" s="244">
        <v>0</v>
      </c>
      <c r="I110" s="245">
        <f t="shared" si="1"/>
        <v>0</v>
      </c>
    </row>
    <row r="111" spans="1:9" ht="12.75" hidden="1">
      <c r="A111" s="243"/>
      <c r="B111" s="243"/>
      <c r="C111" s="243"/>
      <c r="D111" s="822" t="s">
        <v>673</v>
      </c>
      <c r="E111" s="823"/>
      <c r="F111" s="244">
        <v>0</v>
      </c>
      <c r="G111" s="244">
        <v>0</v>
      </c>
      <c r="H111" s="244">
        <v>0</v>
      </c>
      <c r="I111" s="245">
        <f t="shared" si="1"/>
        <v>0</v>
      </c>
    </row>
    <row r="112" spans="1:9" ht="12.75" hidden="1">
      <c r="A112" s="243"/>
      <c r="B112" s="243"/>
      <c r="C112" s="243" t="s">
        <v>2</v>
      </c>
      <c r="D112" s="243"/>
      <c r="E112" s="249" t="s">
        <v>675</v>
      </c>
      <c r="F112" s="244">
        <v>0</v>
      </c>
      <c r="G112" s="244">
        <v>0</v>
      </c>
      <c r="H112" s="244">
        <v>0</v>
      </c>
      <c r="I112" s="245">
        <f t="shared" si="1"/>
        <v>0</v>
      </c>
    </row>
    <row r="113" spans="1:9" ht="12.75" hidden="1">
      <c r="A113" s="243"/>
      <c r="B113" s="243"/>
      <c r="C113" s="243"/>
      <c r="D113" s="243"/>
      <c r="E113" s="249" t="s">
        <v>670</v>
      </c>
      <c r="F113" s="244">
        <v>0</v>
      </c>
      <c r="G113" s="244">
        <v>0</v>
      </c>
      <c r="H113" s="244">
        <v>0</v>
      </c>
      <c r="I113" s="245">
        <f t="shared" si="1"/>
        <v>0</v>
      </c>
    </row>
    <row r="114" spans="1:9" ht="12.75" hidden="1">
      <c r="A114" s="243"/>
      <c r="B114" s="243"/>
      <c r="C114" s="243"/>
      <c r="D114" s="243"/>
      <c r="E114" s="249" t="s">
        <v>676</v>
      </c>
      <c r="F114" s="244">
        <v>0</v>
      </c>
      <c r="G114" s="244">
        <v>0</v>
      </c>
      <c r="H114" s="244">
        <v>0</v>
      </c>
      <c r="I114" s="245">
        <f t="shared" si="1"/>
        <v>0</v>
      </c>
    </row>
    <row r="115" spans="1:9" ht="12.75" hidden="1">
      <c r="A115" s="243"/>
      <c r="B115" s="243"/>
      <c r="C115" s="243"/>
      <c r="D115" s="243"/>
      <c r="E115" s="249" t="s">
        <v>677</v>
      </c>
      <c r="F115" s="244">
        <v>0</v>
      </c>
      <c r="G115" s="244">
        <v>0</v>
      </c>
      <c r="H115" s="244">
        <v>0</v>
      </c>
      <c r="I115" s="245">
        <f t="shared" si="1"/>
        <v>0</v>
      </c>
    </row>
    <row r="116" spans="1:9" ht="12.75" hidden="1">
      <c r="A116" s="243"/>
      <c r="B116" s="243"/>
      <c r="C116" s="243"/>
      <c r="D116" s="243"/>
      <c r="E116" s="249" t="s">
        <v>678</v>
      </c>
      <c r="F116" s="244">
        <v>0</v>
      </c>
      <c r="G116" s="244">
        <v>0</v>
      </c>
      <c r="H116" s="244">
        <v>0</v>
      </c>
      <c r="I116" s="245">
        <f t="shared" si="1"/>
        <v>0</v>
      </c>
    </row>
    <row r="117" spans="1:9" ht="12.75">
      <c r="A117" s="243"/>
      <c r="B117" s="243"/>
      <c r="C117" s="243" t="s">
        <v>313</v>
      </c>
      <c r="D117" s="243" t="s">
        <v>621</v>
      </c>
      <c r="E117" s="243"/>
      <c r="F117" s="244">
        <v>0</v>
      </c>
      <c r="G117" s="244">
        <v>0</v>
      </c>
      <c r="H117" s="244">
        <v>0</v>
      </c>
      <c r="I117" s="245">
        <f t="shared" si="1"/>
        <v>0</v>
      </c>
    </row>
    <row r="118" spans="1:9" ht="12.75">
      <c r="A118" s="243"/>
      <c r="B118" s="243"/>
      <c r="C118" s="243" t="s">
        <v>622</v>
      </c>
      <c r="D118" s="243" t="s">
        <v>1003</v>
      </c>
      <c r="E118" s="243"/>
      <c r="F118" s="244">
        <f>918587+14444</f>
        <v>933031</v>
      </c>
      <c r="G118" s="244">
        <v>0</v>
      </c>
      <c r="H118" s="244">
        <v>0</v>
      </c>
      <c r="I118" s="245">
        <f t="shared" si="1"/>
        <v>933031</v>
      </c>
    </row>
    <row r="119" spans="1:9" ht="45.75" customHeight="1" hidden="1">
      <c r="A119" s="247"/>
      <c r="B119" s="247"/>
      <c r="C119" s="257" t="s">
        <v>2</v>
      </c>
      <c r="D119" s="255" t="s">
        <v>490</v>
      </c>
      <c r="E119" s="255" t="s">
        <v>644</v>
      </c>
      <c r="F119" s="250">
        <v>0</v>
      </c>
      <c r="G119" s="250">
        <v>0</v>
      </c>
      <c r="H119" s="250">
        <v>0</v>
      </c>
      <c r="I119" s="251">
        <f t="shared" si="1"/>
        <v>0</v>
      </c>
    </row>
    <row r="120" spans="1:9" ht="13.5" customHeight="1" hidden="1">
      <c r="A120" s="248"/>
      <c r="B120" s="248"/>
      <c r="C120" s="248"/>
      <c r="D120" s="249" t="s">
        <v>490</v>
      </c>
      <c r="E120" s="258" t="s">
        <v>679</v>
      </c>
      <c r="F120" s="250"/>
      <c r="G120" s="250">
        <v>0</v>
      </c>
      <c r="H120" s="250">
        <v>0</v>
      </c>
      <c r="I120" s="251">
        <f t="shared" si="1"/>
        <v>0</v>
      </c>
    </row>
    <row r="121" spans="1:9" s="239" customFormat="1" ht="12.75">
      <c r="A121" s="237" t="s">
        <v>314</v>
      </c>
      <c r="B121" s="820" t="s">
        <v>315</v>
      </c>
      <c r="C121" s="820"/>
      <c r="D121" s="820"/>
      <c r="E121" s="820"/>
      <c r="F121" s="238">
        <f>SUM(F122+F124+F126+F127+F128)</f>
        <v>206639676</v>
      </c>
      <c r="G121" s="238">
        <f>SUM(G122+G124+G126+G127+G128)</f>
        <v>0</v>
      </c>
      <c r="H121" s="238">
        <f>SUM(H122+H124+H126+H127+H128)</f>
        <v>0</v>
      </c>
      <c r="I121" s="238">
        <f t="shared" si="1"/>
        <v>206639676</v>
      </c>
    </row>
    <row r="122" spans="1:9" ht="12.75">
      <c r="A122" s="240"/>
      <c r="B122" s="240" t="s">
        <v>316</v>
      </c>
      <c r="C122" s="812" t="s">
        <v>368</v>
      </c>
      <c r="D122" s="812"/>
      <c r="E122" s="812"/>
      <c r="F122" s="241">
        <v>0</v>
      </c>
      <c r="G122" s="241">
        <v>0</v>
      </c>
      <c r="H122" s="241">
        <v>0</v>
      </c>
      <c r="I122" s="242">
        <f t="shared" si="1"/>
        <v>0</v>
      </c>
    </row>
    <row r="123" spans="1:9" ht="12.75" hidden="1">
      <c r="A123" s="248"/>
      <c r="B123" s="248"/>
      <c r="C123" s="249" t="s">
        <v>2</v>
      </c>
      <c r="D123" s="249" t="s">
        <v>490</v>
      </c>
      <c r="E123" s="249" t="s">
        <v>762</v>
      </c>
      <c r="F123" s="250">
        <v>0</v>
      </c>
      <c r="G123" s="250">
        <v>0</v>
      </c>
      <c r="H123" s="250">
        <v>0</v>
      </c>
      <c r="I123" s="251">
        <f>SUM(F123:H123)</f>
        <v>0</v>
      </c>
    </row>
    <row r="124" spans="1:9" ht="12.75">
      <c r="A124" s="240"/>
      <c r="B124" s="240" t="s">
        <v>317</v>
      </c>
      <c r="C124" s="812" t="s">
        <v>318</v>
      </c>
      <c r="D124" s="812"/>
      <c r="E124" s="812"/>
      <c r="F124" s="241">
        <f>1311000+286688375-51336602-4438250-34083494-5630516+9314000+500000+7102216-1172953-1614100</f>
        <v>206639676</v>
      </c>
      <c r="G124" s="241">
        <v>0</v>
      </c>
      <c r="H124" s="241">
        <v>0</v>
      </c>
      <c r="I124" s="242">
        <f t="shared" si="1"/>
        <v>206639676</v>
      </c>
    </row>
    <row r="125" spans="1:9" ht="12.75">
      <c r="A125" s="248"/>
      <c r="B125" s="248"/>
      <c r="C125" s="249" t="s">
        <v>2</v>
      </c>
      <c r="D125" s="249" t="s">
        <v>490</v>
      </c>
      <c r="E125" s="249" t="s">
        <v>319</v>
      </c>
      <c r="F125" s="250">
        <v>0</v>
      </c>
      <c r="G125" s="250">
        <v>0</v>
      </c>
      <c r="H125" s="250">
        <v>0</v>
      </c>
      <c r="I125" s="251">
        <f t="shared" si="1"/>
        <v>0</v>
      </c>
    </row>
    <row r="126" spans="1:9" ht="12.75" hidden="1">
      <c r="A126" s="240"/>
      <c r="B126" s="240" t="s">
        <v>320</v>
      </c>
      <c r="C126" s="812" t="s">
        <v>321</v>
      </c>
      <c r="D126" s="812"/>
      <c r="E126" s="812"/>
      <c r="F126" s="241">
        <v>0</v>
      </c>
      <c r="G126" s="241">
        <v>0</v>
      </c>
      <c r="H126" s="241">
        <v>0</v>
      </c>
      <c r="I126" s="242">
        <f t="shared" si="1"/>
        <v>0</v>
      </c>
    </row>
    <row r="127" spans="1:9" ht="12.75" hidden="1">
      <c r="A127" s="240"/>
      <c r="B127" s="240" t="s">
        <v>322</v>
      </c>
      <c r="C127" s="812" t="s">
        <v>323</v>
      </c>
      <c r="D127" s="812"/>
      <c r="E127" s="812"/>
      <c r="F127" s="241">
        <v>0</v>
      </c>
      <c r="G127" s="241">
        <v>0</v>
      </c>
      <c r="H127" s="241">
        <v>0</v>
      </c>
      <c r="I127" s="242">
        <f t="shared" si="1"/>
        <v>0</v>
      </c>
    </row>
    <row r="128" spans="1:9" ht="12.75" hidden="1">
      <c r="A128" s="240"/>
      <c r="B128" s="240" t="s">
        <v>324</v>
      </c>
      <c r="C128" s="812" t="s">
        <v>325</v>
      </c>
      <c r="D128" s="812"/>
      <c r="E128" s="812"/>
      <c r="F128" s="241">
        <v>0</v>
      </c>
      <c r="G128" s="241">
        <v>0</v>
      </c>
      <c r="H128" s="241">
        <v>0</v>
      </c>
      <c r="I128" s="242">
        <f t="shared" si="1"/>
        <v>0</v>
      </c>
    </row>
    <row r="129" spans="1:9" s="239" customFormat="1" ht="12.75">
      <c r="A129" s="237" t="s">
        <v>326</v>
      </c>
      <c r="B129" s="820" t="s">
        <v>327</v>
      </c>
      <c r="C129" s="820"/>
      <c r="D129" s="820"/>
      <c r="E129" s="820"/>
      <c r="F129" s="238">
        <f>SUM(F130+F131+F132+F133+F143)</f>
        <v>0</v>
      </c>
      <c r="G129" s="238">
        <f>SUM(G130+G131+G132+G133+G143)</f>
        <v>0</v>
      </c>
      <c r="H129" s="238">
        <f>SUM(H130+H131+H132+H133+H143)</f>
        <v>0</v>
      </c>
      <c r="I129" s="238">
        <f t="shared" si="1"/>
        <v>0</v>
      </c>
    </row>
    <row r="130" spans="1:9" ht="12.75" hidden="1">
      <c r="A130" s="240"/>
      <c r="B130" s="240" t="s">
        <v>328</v>
      </c>
      <c r="C130" s="812" t="s">
        <v>792</v>
      </c>
      <c r="D130" s="812"/>
      <c r="E130" s="812"/>
      <c r="F130" s="241">
        <v>0</v>
      </c>
      <c r="G130" s="241">
        <v>0</v>
      </c>
      <c r="H130" s="241">
        <v>0</v>
      </c>
      <c r="I130" s="242">
        <f t="shared" si="1"/>
        <v>0</v>
      </c>
    </row>
    <row r="131" spans="1:9" ht="12.75" hidden="1">
      <c r="A131" s="240"/>
      <c r="B131" s="240" t="s">
        <v>329</v>
      </c>
      <c r="C131" s="812" t="s">
        <v>793</v>
      </c>
      <c r="D131" s="812"/>
      <c r="E131" s="812"/>
      <c r="F131" s="241">
        <v>0</v>
      </c>
      <c r="G131" s="241">
        <v>0</v>
      </c>
      <c r="H131" s="241">
        <v>0</v>
      </c>
      <c r="I131" s="242">
        <f t="shared" si="1"/>
        <v>0</v>
      </c>
    </row>
    <row r="132" spans="1:9" ht="26.25" customHeight="1" hidden="1">
      <c r="A132" s="240"/>
      <c r="B132" s="240" t="s">
        <v>331</v>
      </c>
      <c r="C132" s="821" t="s">
        <v>794</v>
      </c>
      <c r="D132" s="821"/>
      <c r="E132" s="821"/>
      <c r="F132" s="241">
        <v>0</v>
      </c>
      <c r="G132" s="241">
        <v>0</v>
      </c>
      <c r="H132" s="241">
        <v>0</v>
      </c>
      <c r="I132" s="242">
        <f t="shared" si="1"/>
        <v>0</v>
      </c>
    </row>
    <row r="133" spans="1:9" ht="12.75" hidden="1">
      <c r="A133" s="240"/>
      <c r="B133" s="240" t="s">
        <v>623</v>
      </c>
      <c r="C133" s="812" t="s">
        <v>795</v>
      </c>
      <c r="D133" s="812"/>
      <c r="E133" s="812"/>
      <c r="F133" s="241">
        <f>SUM(F134:F142)</f>
        <v>0</v>
      </c>
      <c r="G133" s="241">
        <v>0</v>
      </c>
      <c r="H133" s="241">
        <v>0</v>
      </c>
      <c r="I133" s="242">
        <f t="shared" si="1"/>
        <v>0</v>
      </c>
    </row>
    <row r="134" spans="1:9" ht="12.75" hidden="1">
      <c r="A134" s="247"/>
      <c r="B134" s="247"/>
      <c r="C134" s="249" t="s">
        <v>2</v>
      </c>
      <c r="D134" s="249" t="s">
        <v>176</v>
      </c>
      <c r="E134" s="249" t="s">
        <v>203</v>
      </c>
      <c r="F134" s="250">
        <v>0</v>
      </c>
      <c r="G134" s="250">
        <v>0</v>
      </c>
      <c r="H134" s="250">
        <v>0</v>
      </c>
      <c r="I134" s="251">
        <f t="shared" si="1"/>
        <v>0</v>
      </c>
    </row>
    <row r="135" spans="1:9" ht="12.75" hidden="1">
      <c r="A135" s="247"/>
      <c r="B135" s="247"/>
      <c r="C135" s="249"/>
      <c r="D135" s="249" t="s">
        <v>178</v>
      </c>
      <c r="E135" s="249" t="s">
        <v>645</v>
      </c>
      <c r="F135" s="250">
        <v>0</v>
      </c>
      <c r="G135" s="250">
        <v>0</v>
      </c>
      <c r="H135" s="250">
        <v>0</v>
      </c>
      <c r="I135" s="251">
        <f t="shared" si="1"/>
        <v>0</v>
      </c>
    </row>
    <row r="136" spans="1:9" ht="12.75" hidden="1">
      <c r="A136" s="247"/>
      <c r="B136" s="247"/>
      <c r="C136" s="249"/>
      <c r="D136" s="249" t="s">
        <v>180</v>
      </c>
      <c r="E136" s="249" t="s">
        <v>204</v>
      </c>
      <c r="F136" s="250">
        <v>0</v>
      </c>
      <c r="G136" s="250">
        <v>0</v>
      </c>
      <c r="H136" s="250">
        <v>0</v>
      </c>
      <c r="I136" s="251">
        <f t="shared" si="1"/>
        <v>0</v>
      </c>
    </row>
    <row r="137" spans="1:9" ht="12.75" hidden="1">
      <c r="A137" s="247"/>
      <c r="B137" s="247"/>
      <c r="C137" s="249"/>
      <c r="D137" s="249" t="s">
        <v>182</v>
      </c>
      <c r="E137" s="249" t="s">
        <v>205</v>
      </c>
      <c r="F137" s="250">
        <v>0</v>
      </c>
      <c r="G137" s="250">
        <v>0</v>
      </c>
      <c r="H137" s="250">
        <v>0</v>
      </c>
      <c r="I137" s="251">
        <f t="shared" si="1"/>
        <v>0</v>
      </c>
    </row>
    <row r="138" spans="1:9" ht="12.75" hidden="1">
      <c r="A138" s="247"/>
      <c r="B138" s="247"/>
      <c r="C138" s="249"/>
      <c r="D138" s="249" t="s">
        <v>184</v>
      </c>
      <c r="E138" s="249" t="s">
        <v>206</v>
      </c>
      <c r="F138" s="250">
        <v>0</v>
      </c>
      <c r="G138" s="250">
        <v>0</v>
      </c>
      <c r="H138" s="250">
        <v>0</v>
      </c>
      <c r="I138" s="251">
        <f t="shared" si="1"/>
        <v>0</v>
      </c>
    </row>
    <row r="139" spans="1:9" ht="12.75" hidden="1">
      <c r="A139" s="247"/>
      <c r="B139" s="247"/>
      <c r="C139" s="249"/>
      <c r="D139" s="249" t="s">
        <v>186</v>
      </c>
      <c r="E139" s="249" t="s">
        <v>603</v>
      </c>
      <c r="F139" s="250">
        <v>0</v>
      </c>
      <c r="G139" s="250">
        <v>0</v>
      </c>
      <c r="H139" s="250">
        <v>0</v>
      </c>
      <c r="I139" s="251">
        <f t="shared" si="1"/>
        <v>0</v>
      </c>
    </row>
    <row r="140" spans="1:9" ht="12.75" hidden="1">
      <c r="A140" s="247"/>
      <c r="B140" s="247"/>
      <c r="C140" s="249"/>
      <c r="D140" s="249" t="s">
        <v>188</v>
      </c>
      <c r="E140" s="249" t="s">
        <v>602</v>
      </c>
      <c r="F140" s="259">
        <v>0</v>
      </c>
      <c r="G140" s="250">
        <v>0</v>
      </c>
      <c r="H140" s="250">
        <v>0</v>
      </c>
      <c r="I140" s="251">
        <f t="shared" si="1"/>
        <v>0</v>
      </c>
    </row>
    <row r="141" spans="1:9" ht="12.75" hidden="1">
      <c r="A141" s="247"/>
      <c r="B141" s="247"/>
      <c r="C141" s="249"/>
      <c r="D141" s="249" t="s">
        <v>190</v>
      </c>
      <c r="E141" s="249" t="s">
        <v>209</v>
      </c>
      <c r="F141" s="250"/>
      <c r="G141" s="250">
        <v>0</v>
      </c>
      <c r="H141" s="250">
        <v>0</v>
      </c>
      <c r="I141" s="251">
        <f>SUM(F141:H141)</f>
        <v>0</v>
      </c>
    </row>
    <row r="142" spans="1:9" ht="12.75" hidden="1">
      <c r="A142" s="247"/>
      <c r="B142" s="247"/>
      <c r="C142" s="249"/>
      <c r="D142" s="249" t="s">
        <v>192</v>
      </c>
      <c r="E142" s="249" t="s">
        <v>646</v>
      </c>
      <c r="F142" s="250">
        <v>0</v>
      </c>
      <c r="G142" s="250">
        <v>0</v>
      </c>
      <c r="H142" s="250">
        <v>0</v>
      </c>
      <c r="I142" s="251">
        <f t="shared" si="1"/>
        <v>0</v>
      </c>
    </row>
    <row r="143" spans="1:9" ht="12.75" hidden="1">
      <c r="A143" s="240"/>
      <c r="B143" s="240" t="s">
        <v>624</v>
      </c>
      <c r="C143" s="812" t="s">
        <v>763</v>
      </c>
      <c r="D143" s="812"/>
      <c r="E143" s="812"/>
      <c r="F143" s="241">
        <v>0</v>
      </c>
      <c r="G143" s="241">
        <v>0</v>
      </c>
      <c r="H143" s="241">
        <v>0</v>
      </c>
      <c r="I143" s="242">
        <f t="shared" si="1"/>
        <v>0</v>
      </c>
    </row>
    <row r="144" spans="1:9" s="239" customFormat="1" ht="12.75">
      <c r="A144" s="237" t="s">
        <v>332</v>
      </c>
      <c r="B144" s="820" t="s">
        <v>333</v>
      </c>
      <c r="C144" s="820"/>
      <c r="D144" s="820"/>
      <c r="E144" s="820"/>
      <c r="F144" s="238">
        <f>SUM(F145+F146+F147+F148+F158)</f>
        <v>3000000</v>
      </c>
      <c r="G144" s="238">
        <f>SUM(G145+G146+G147+G148+G158)</f>
        <v>0</v>
      </c>
      <c r="H144" s="238">
        <f>SUM(H145+H146+H147+H148+H158)</f>
        <v>0</v>
      </c>
      <c r="I144" s="238">
        <f t="shared" si="1"/>
        <v>3000000</v>
      </c>
    </row>
    <row r="145" spans="1:9" ht="12.75" hidden="1">
      <c r="A145" s="240"/>
      <c r="B145" s="240" t="s">
        <v>334</v>
      </c>
      <c r="C145" s="812" t="s">
        <v>796</v>
      </c>
      <c r="D145" s="812"/>
      <c r="E145" s="812"/>
      <c r="F145" s="241">
        <v>0</v>
      </c>
      <c r="G145" s="241">
        <v>0</v>
      </c>
      <c r="H145" s="241">
        <v>0</v>
      </c>
      <c r="I145" s="242">
        <f t="shared" si="1"/>
        <v>0</v>
      </c>
    </row>
    <row r="146" spans="1:9" ht="12.75" hidden="1">
      <c r="A146" s="240"/>
      <c r="B146" s="240" t="s">
        <v>335</v>
      </c>
      <c r="C146" s="812" t="s">
        <v>797</v>
      </c>
      <c r="D146" s="812"/>
      <c r="E146" s="812"/>
      <c r="F146" s="241">
        <v>0</v>
      </c>
      <c r="G146" s="241">
        <v>0</v>
      </c>
      <c r="H146" s="241">
        <v>0</v>
      </c>
      <c r="I146" s="242">
        <f t="shared" si="1"/>
        <v>0</v>
      </c>
    </row>
    <row r="147" spans="1:9" ht="25.5" customHeight="1" hidden="1">
      <c r="A147" s="240"/>
      <c r="B147" s="240" t="s">
        <v>336</v>
      </c>
      <c r="C147" s="821" t="s">
        <v>798</v>
      </c>
      <c r="D147" s="821"/>
      <c r="E147" s="821"/>
      <c r="F147" s="241">
        <v>0</v>
      </c>
      <c r="G147" s="241">
        <v>0</v>
      </c>
      <c r="H147" s="241">
        <v>0</v>
      </c>
      <c r="I147" s="242">
        <f t="shared" si="1"/>
        <v>0</v>
      </c>
    </row>
    <row r="148" spans="1:9" ht="12.75" hidden="1">
      <c r="A148" s="247"/>
      <c r="B148" s="240" t="s">
        <v>625</v>
      </c>
      <c r="C148" s="812" t="s">
        <v>799</v>
      </c>
      <c r="D148" s="812"/>
      <c r="E148" s="812"/>
      <c r="F148" s="241">
        <f>SUM(F149:F157)</f>
        <v>0</v>
      </c>
      <c r="G148" s="241">
        <f>SUM(G149:G157)</f>
        <v>0</v>
      </c>
      <c r="H148" s="241">
        <f>SUM(H149:H157)</f>
        <v>0</v>
      </c>
      <c r="I148" s="242">
        <f t="shared" si="1"/>
        <v>0</v>
      </c>
    </row>
    <row r="149" spans="1:9" ht="12.75" hidden="1">
      <c r="A149" s="247"/>
      <c r="B149" s="247"/>
      <c r="C149" s="249" t="s">
        <v>2</v>
      </c>
      <c r="D149" s="249" t="s">
        <v>176</v>
      </c>
      <c r="E149" s="249" t="s">
        <v>203</v>
      </c>
      <c r="F149" s="250">
        <v>0</v>
      </c>
      <c r="G149" s="250">
        <v>0</v>
      </c>
      <c r="H149" s="250">
        <v>0</v>
      </c>
      <c r="I149" s="251">
        <f aca="true" t="shared" si="2" ref="I149:I155">SUM(F149:H149)</f>
        <v>0</v>
      </c>
    </row>
    <row r="150" spans="1:9" ht="12.75" hidden="1">
      <c r="A150" s="247"/>
      <c r="B150" s="247"/>
      <c r="C150" s="249"/>
      <c r="D150" s="249" t="s">
        <v>178</v>
      </c>
      <c r="E150" s="249" t="s">
        <v>645</v>
      </c>
      <c r="F150" s="250">
        <v>0</v>
      </c>
      <c r="G150" s="250">
        <v>0</v>
      </c>
      <c r="H150" s="250">
        <v>0</v>
      </c>
      <c r="I150" s="251">
        <f t="shared" si="2"/>
        <v>0</v>
      </c>
    </row>
    <row r="151" spans="1:9" ht="12.75" hidden="1">
      <c r="A151" s="247"/>
      <c r="B151" s="247"/>
      <c r="C151" s="249"/>
      <c r="D151" s="249" t="s">
        <v>180</v>
      </c>
      <c r="E151" s="249" t="s">
        <v>204</v>
      </c>
      <c r="F151" s="250">
        <v>0</v>
      </c>
      <c r="G151" s="250">
        <v>0</v>
      </c>
      <c r="H151" s="250">
        <v>0</v>
      </c>
      <c r="I151" s="251">
        <f t="shared" si="2"/>
        <v>0</v>
      </c>
    </row>
    <row r="152" spans="1:9" ht="12.75" hidden="1">
      <c r="A152" s="247"/>
      <c r="B152" s="247"/>
      <c r="C152" s="249"/>
      <c r="D152" s="249" t="s">
        <v>182</v>
      </c>
      <c r="E152" s="249" t="s">
        <v>205</v>
      </c>
      <c r="F152" s="250">
        <v>0</v>
      </c>
      <c r="G152" s="250">
        <v>0</v>
      </c>
      <c r="H152" s="250">
        <v>0</v>
      </c>
      <c r="I152" s="251">
        <f t="shared" si="2"/>
        <v>0</v>
      </c>
    </row>
    <row r="153" spans="1:9" ht="12.75" hidden="1">
      <c r="A153" s="247"/>
      <c r="B153" s="247"/>
      <c r="C153" s="249"/>
      <c r="D153" s="249" t="s">
        <v>184</v>
      </c>
      <c r="E153" s="249" t="s">
        <v>206</v>
      </c>
      <c r="F153" s="250">
        <v>0</v>
      </c>
      <c r="G153" s="250">
        <v>0</v>
      </c>
      <c r="H153" s="250">
        <v>0</v>
      </c>
      <c r="I153" s="251">
        <f t="shared" si="2"/>
        <v>0</v>
      </c>
    </row>
    <row r="154" spans="1:9" ht="12.75" hidden="1">
      <c r="A154" s="247"/>
      <c r="B154" s="247"/>
      <c r="C154" s="249"/>
      <c r="D154" s="249" t="s">
        <v>186</v>
      </c>
      <c r="E154" s="249" t="s">
        <v>603</v>
      </c>
      <c r="F154" s="250">
        <v>0</v>
      </c>
      <c r="G154" s="250">
        <v>0</v>
      </c>
      <c r="H154" s="250">
        <v>0</v>
      </c>
      <c r="I154" s="251">
        <f t="shared" si="2"/>
        <v>0</v>
      </c>
    </row>
    <row r="155" spans="1:9" ht="12.75" hidden="1">
      <c r="A155" s="247"/>
      <c r="B155" s="247"/>
      <c r="C155" s="249"/>
      <c r="D155" s="249" t="s">
        <v>188</v>
      </c>
      <c r="E155" s="249" t="s">
        <v>602</v>
      </c>
      <c r="F155" s="259">
        <v>0</v>
      </c>
      <c r="G155" s="250">
        <v>0</v>
      </c>
      <c r="H155" s="250">
        <v>0</v>
      </c>
      <c r="I155" s="251">
        <f t="shared" si="2"/>
        <v>0</v>
      </c>
    </row>
    <row r="156" spans="1:9" ht="12.75" hidden="1">
      <c r="A156" s="247"/>
      <c r="B156" s="247"/>
      <c r="C156" s="249"/>
      <c r="D156" s="249" t="s">
        <v>190</v>
      </c>
      <c r="E156" s="249" t="s">
        <v>209</v>
      </c>
      <c r="F156" s="250">
        <v>0</v>
      </c>
      <c r="G156" s="250">
        <v>0</v>
      </c>
      <c r="H156" s="250">
        <v>0</v>
      </c>
      <c r="I156" s="251">
        <f>SUM(F156:H156)</f>
        <v>0</v>
      </c>
    </row>
    <row r="157" spans="1:9" ht="12.75" hidden="1">
      <c r="A157" s="247"/>
      <c r="B157" s="247"/>
      <c r="C157" s="249"/>
      <c r="D157" s="249" t="s">
        <v>192</v>
      </c>
      <c r="E157" s="249" t="s">
        <v>646</v>
      </c>
      <c r="F157" s="250">
        <v>0</v>
      </c>
      <c r="G157" s="250">
        <v>0</v>
      </c>
      <c r="H157" s="250">
        <v>0</v>
      </c>
      <c r="I157" s="251">
        <f>SUM(F157:H157)</f>
        <v>0</v>
      </c>
    </row>
    <row r="158" spans="1:9" ht="12.75">
      <c r="A158" s="247"/>
      <c r="B158" s="240" t="s">
        <v>626</v>
      </c>
      <c r="C158" s="812" t="s">
        <v>737</v>
      </c>
      <c r="D158" s="812"/>
      <c r="E158" s="812"/>
      <c r="F158" s="241">
        <f>SUM(F159:F169)</f>
        <v>3000000</v>
      </c>
      <c r="G158" s="241">
        <f>SUM(G159:G169)</f>
        <v>0</v>
      </c>
      <c r="H158" s="241">
        <f>SUM(H159:H169)</f>
        <v>0</v>
      </c>
      <c r="I158" s="242">
        <f t="shared" si="1"/>
        <v>3000000</v>
      </c>
    </row>
    <row r="159" spans="1:9" ht="12.75">
      <c r="A159" s="247"/>
      <c r="B159" s="247"/>
      <c r="C159" s="249" t="s">
        <v>2</v>
      </c>
      <c r="D159" s="249" t="s">
        <v>176</v>
      </c>
      <c r="E159" s="249" t="s">
        <v>203</v>
      </c>
      <c r="F159" s="250">
        <v>3000000</v>
      </c>
      <c r="G159" s="250">
        <v>0</v>
      </c>
      <c r="H159" s="250">
        <v>0</v>
      </c>
      <c r="I159" s="251">
        <f t="shared" si="1"/>
        <v>3000000</v>
      </c>
    </row>
    <row r="160" spans="1:9" ht="12.75" hidden="1">
      <c r="A160" s="247"/>
      <c r="B160" s="247"/>
      <c r="C160" s="249"/>
      <c r="D160" s="249" t="s">
        <v>178</v>
      </c>
      <c r="E160" s="249" t="s">
        <v>645</v>
      </c>
      <c r="F160" s="250">
        <v>0</v>
      </c>
      <c r="G160" s="250">
        <v>0</v>
      </c>
      <c r="H160" s="250">
        <v>0</v>
      </c>
      <c r="I160" s="251">
        <f t="shared" si="1"/>
        <v>0</v>
      </c>
    </row>
    <row r="161" spans="1:9" ht="12.75" hidden="1">
      <c r="A161" s="247"/>
      <c r="B161" s="247"/>
      <c r="C161" s="249"/>
      <c r="D161" s="249" t="s">
        <v>180</v>
      </c>
      <c r="E161" s="249" t="s">
        <v>204</v>
      </c>
      <c r="F161" s="250">
        <v>0</v>
      </c>
      <c r="G161" s="250">
        <v>0</v>
      </c>
      <c r="H161" s="250">
        <v>0</v>
      </c>
      <c r="I161" s="251">
        <f t="shared" si="1"/>
        <v>0</v>
      </c>
    </row>
    <row r="162" spans="1:9" ht="12.75" hidden="1">
      <c r="A162" s="247"/>
      <c r="B162" s="247"/>
      <c r="C162" s="249"/>
      <c r="D162" s="249" t="s">
        <v>182</v>
      </c>
      <c r="E162" s="249" t="s">
        <v>205</v>
      </c>
      <c r="F162" s="250">
        <v>0</v>
      </c>
      <c r="G162" s="250">
        <v>0</v>
      </c>
      <c r="H162" s="250">
        <v>0</v>
      </c>
      <c r="I162" s="251">
        <f t="shared" si="1"/>
        <v>0</v>
      </c>
    </row>
    <row r="163" spans="1:9" ht="12.75" hidden="1">
      <c r="A163" s="247"/>
      <c r="B163" s="247"/>
      <c r="C163" s="249"/>
      <c r="D163" s="249" t="s">
        <v>184</v>
      </c>
      <c r="E163" s="249" t="s">
        <v>206</v>
      </c>
      <c r="F163" s="250">
        <v>0</v>
      </c>
      <c r="G163" s="250">
        <v>0</v>
      </c>
      <c r="H163" s="250">
        <v>0</v>
      </c>
      <c r="I163" s="251">
        <f t="shared" si="1"/>
        <v>0</v>
      </c>
    </row>
    <row r="164" spans="1:9" ht="12.75" hidden="1">
      <c r="A164" s="247"/>
      <c r="B164" s="247"/>
      <c r="C164" s="249"/>
      <c r="D164" s="249" t="s">
        <v>186</v>
      </c>
      <c r="E164" s="249" t="s">
        <v>603</v>
      </c>
      <c r="F164" s="250">
        <v>0</v>
      </c>
      <c r="G164" s="250">
        <v>0</v>
      </c>
      <c r="H164" s="250">
        <v>0</v>
      </c>
      <c r="I164" s="251">
        <f t="shared" si="1"/>
        <v>0</v>
      </c>
    </row>
    <row r="165" spans="1:9" ht="12.75" hidden="1">
      <c r="A165" s="247"/>
      <c r="B165" s="247"/>
      <c r="C165" s="249"/>
      <c r="D165" s="249" t="s">
        <v>188</v>
      </c>
      <c r="E165" s="249" t="s">
        <v>602</v>
      </c>
      <c r="F165" s="259">
        <v>0</v>
      </c>
      <c r="G165" s="250">
        <v>0</v>
      </c>
      <c r="H165" s="250">
        <v>0</v>
      </c>
      <c r="I165" s="251">
        <f t="shared" si="1"/>
        <v>0</v>
      </c>
    </row>
    <row r="166" spans="1:9" ht="12.75" hidden="1">
      <c r="A166" s="247"/>
      <c r="B166" s="247"/>
      <c r="C166" s="249"/>
      <c r="D166" s="249" t="s">
        <v>190</v>
      </c>
      <c r="E166" s="249" t="s">
        <v>209</v>
      </c>
      <c r="F166" s="250">
        <v>0</v>
      </c>
      <c r="G166" s="250">
        <v>0</v>
      </c>
      <c r="H166" s="250">
        <v>0</v>
      </c>
      <c r="I166" s="251">
        <f>SUM(F166:H166)</f>
        <v>0</v>
      </c>
    </row>
    <row r="167" spans="1:9" ht="12.75" hidden="1">
      <c r="A167" s="247"/>
      <c r="B167" s="247"/>
      <c r="C167" s="249"/>
      <c r="D167" s="249" t="s">
        <v>192</v>
      </c>
      <c r="E167" s="249" t="s">
        <v>210</v>
      </c>
      <c r="F167" s="250">
        <v>0</v>
      </c>
      <c r="G167" s="250">
        <v>0</v>
      </c>
      <c r="H167" s="250">
        <v>0</v>
      </c>
      <c r="I167" s="251">
        <f>SUM(F167:H167)</f>
        <v>0</v>
      </c>
    </row>
    <row r="168" spans="1:9" ht="12.75" hidden="1">
      <c r="A168" s="247"/>
      <c r="B168" s="247"/>
      <c r="C168" s="249"/>
      <c r="D168" s="249" t="s">
        <v>194</v>
      </c>
      <c r="E168" s="249" t="s">
        <v>211</v>
      </c>
      <c r="F168" s="250">
        <v>0</v>
      </c>
      <c r="G168" s="250">
        <v>0</v>
      </c>
      <c r="H168" s="250">
        <v>0</v>
      </c>
      <c r="I168" s="251">
        <f>SUM(F168:H168)</f>
        <v>0</v>
      </c>
    </row>
    <row r="169" spans="1:9" ht="12.75" hidden="1">
      <c r="A169" s="247"/>
      <c r="B169" s="247"/>
      <c r="C169" s="249"/>
      <c r="D169" s="249" t="s">
        <v>647</v>
      </c>
      <c r="E169" s="249" t="s">
        <v>212</v>
      </c>
      <c r="F169" s="250">
        <v>0</v>
      </c>
      <c r="G169" s="250">
        <v>0</v>
      </c>
      <c r="H169" s="250">
        <v>0</v>
      </c>
      <c r="I169" s="251">
        <f>SUM(F169:H169)</f>
        <v>0</v>
      </c>
    </row>
    <row r="170" spans="1:9" s="239" customFormat="1" ht="12.75">
      <c r="A170" s="237" t="s">
        <v>337</v>
      </c>
      <c r="B170" s="820" t="s">
        <v>338</v>
      </c>
      <c r="C170" s="820"/>
      <c r="D170" s="820"/>
      <c r="E170" s="820"/>
      <c r="F170" s="238">
        <f>SUM(F171+F194+F195+F196)</f>
        <v>110811042</v>
      </c>
      <c r="G170" s="238">
        <f>SUM(G171+G194+G195+G196)</f>
        <v>213817</v>
      </c>
      <c r="H170" s="238">
        <f>SUM(H171+H194+H195+H196)</f>
        <v>1486017</v>
      </c>
      <c r="I170" s="238">
        <f>SUM(I171+I194+I195+I196)</f>
        <v>112510876</v>
      </c>
    </row>
    <row r="171" spans="1:9" ht="12.75">
      <c r="A171" s="247"/>
      <c r="B171" s="240" t="s">
        <v>339</v>
      </c>
      <c r="C171" s="812" t="s">
        <v>340</v>
      </c>
      <c r="D171" s="812"/>
      <c r="E171" s="812"/>
      <c r="F171" s="241">
        <f>SUM(F172+F176+F181+F186+F187+F188+F189+F190+F191)</f>
        <v>110811042</v>
      </c>
      <c r="G171" s="241">
        <f>SUM(G172+G176+G181+G186+G187+G188+G189+G190+G191)</f>
        <v>213817</v>
      </c>
      <c r="H171" s="241">
        <f>SUM(H172+H176+H181+H186+H187+H188+H189+H190+H191)</f>
        <v>1486017</v>
      </c>
      <c r="I171" s="242">
        <f t="shared" si="1"/>
        <v>112510876</v>
      </c>
    </row>
    <row r="172" spans="1:9" ht="12.75">
      <c r="A172" s="243"/>
      <c r="B172" s="243"/>
      <c r="C172" s="243" t="s">
        <v>341</v>
      </c>
      <c r="D172" s="243" t="s">
        <v>680</v>
      </c>
      <c r="E172" s="243"/>
      <c r="F172" s="244">
        <f>SUM(F173:F175)</f>
        <v>0</v>
      </c>
      <c r="G172" s="244">
        <f>SUM(G173:G175)</f>
        <v>0</v>
      </c>
      <c r="H172" s="244">
        <f>SUM(H173:H175)</f>
        <v>0</v>
      </c>
      <c r="I172" s="245">
        <f t="shared" si="1"/>
        <v>0</v>
      </c>
    </row>
    <row r="173" spans="1:9" ht="12.75" hidden="1">
      <c r="A173" s="260"/>
      <c r="B173" s="260"/>
      <c r="C173" s="260"/>
      <c r="D173" s="260" t="s">
        <v>342</v>
      </c>
      <c r="E173" s="260" t="s">
        <v>800</v>
      </c>
      <c r="F173" s="261">
        <v>0</v>
      </c>
      <c r="G173" s="261">
        <v>0</v>
      </c>
      <c r="H173" s="261">
        <v>0</v>
      </c>
      <c r="I173" s="262">
        <f t="shared" si="1"/>
        <v>0</v>
      </c>
    </row>
    <row r="174" spans="1:9" ht="12.75" hidden="1">
      <c r="A174" s="260"/>
      <c r="B174" s="260"/>
      <c r="C174" s="260"/>
      <c r="D174" s="260" t="s">
        <v>343</v>
      </c>
      <c r="E174" s="260" t="s">
        <v>801</v>
      </c>
      <c r="F174" s="261">
        <v>0</v>
      </c>
      <c r="G174" s="261">
        <v>0</v>
      </c>
      <c r="H174" s="261">
        <v>0</v>
      </c>
      <c r="I174" s="262">
        <f t="shared" si="1"/>
        <v>0</v>
      </c>
    </row>
    <row r="175" spans="1:9" ht="12.75" hidden="1">
      <c r="A175" s="260"/>
      <c r="B175" s="260"/>
      <c r="C175" s="260"/>
      <c r="D175" s="260" t="s">
        <v>344</v>
      </c>
      <c r="E175" s="260" t="s">
        <v>802</v>
      </c>
      <c r="F175" s="261">
        <v>0</v>
      </c>
      <c r="G175" s="261">
        <v>0</v>
      </c>
      <c r="H175" s="261">
        <v>0</v>
      </c>
      <c r="I175" s="262">
        <f t="shared" si="1"/>
        <v>0</v>
      </c>
    </row>
    <row r="176" spans="1:9" ht="12.75">
      <c r="A176" s="243"/>
      <c r="B176" s="243"/>
      <c r="C176" s="243" t="s">
        <v>345</v>
      </c>
      <c r="D176" s="243" t="s">
        <v>346</v>
      </c>
      <c r="E176" s="243"/>
      <c r="F176" s="244">
        <f>SUM(F177:F180)</f>
        <v>0</v>
      </c>
      <c r="G176" s="244">
        <f>SUM(G177:G180)</f>
        <v>0</v>
      </c>
      <c r="H176" s="244">
        <f>SUM(H177:H180)</f>
        <v>0</v>
      </c>
      <c r="I176" s="245">
        <f t="shared" si="1"/>
        <v>0</v>
      </c>
    </row>
    <row r="177" spans="1:9" ht="12.75" hidden="1">
      <c r="A177" s="243"/>
      <c r="B177" s="243"/>
      <c r="C177" s="243"/>
      <c r="D177" s="260" t="s">
        <v>627</v>
      </c>
      <c r="E177" s="260" t="s">
        <v>628</v>
      </c>
      <c r="F177" s="244">
        <v>0</v>
      </c>
      <c r="G177" s="244">
        <v>0</v>
      </c>
      <c r="H177" s="244">
        <v>0</v>
      </c>
      <c r="I177" s="245">
        <f t="shared" si="1"/>
        <v>0</v>
      </c>
    </row>
    <row r="178" spans="1:9" ht="12.75" hidden="1">
      <c r="A178" s="243"/>
      <c r="B178" s="243"/>
      <c r="C178" s="243"/>
      <c r="D178" s="260" t="s">
        <v>629</v>
      </c>
      <c r="E178" s="260" t="s">
        <v>630</v>
      </c>
      <c r="F178" s="244">
        <v>0</v>
      </c>
      <c r="G178" s="244">
        <v>0</v>
      </c>
      <c r="H178" s="244">
        <v>0</v>
      </c>
      <c r="I178" s="245">
        <f t="shared" si="1"/>
        <v>0</v>
      </c>
    </row>
    <row r="179" spans="1:9" ht="12.75" hidden="1">
      <c r="A179" s="243"/>
      <c r="B179" s="243"/>
      <c r="C179" s="243"/>
      <c r="D179" s="260" t="s">
        <v>631</v>
      </c>
      <c r="E179" s="260" t="s">
        <v>632</v>
      </c>
      <c r="F179" s="244">
        <v>0</v>
      </c>
      <c r="G179" s="244">
        <v>0</v>
      </c>
      <c r="H179" s="244">
        <v>0</v>
      </c>
      <c r="I179" s="245">
        <f t="shared" si="1"/>
        <v>0</v>
      </c>
    </row>
    <row r="180" spans="1:9" ht="12.75" hidden="1">
      <c r="A180" s="243"/>
      <c r="B180" s="243"/>
      <c r="C180" s="243"/>
      <c r="D180" s="260" t="s">
        <v>633</v>
      </c>
      <c r="E180" s="260" t="s">
        <v>634</v>
      </c>
      <c r="F180" s="244">
        <v>0</v>
      </c>
      <c r="G180" s="244">
        <v>0</v>
      </c>
      <c r="H180" s="244">
        <v>0</v>
      </c>
      <c r="I180" s="245">
        <f t="shared" si="1"/>
        <v>0</v>
      </c>
    </row>
    <row r="181" spans="1:9" ht="12.75">
      <c r="A181" s="243"/>
      <c r="B181" s="243"/>
      <c r="C181" s="243" t="s">
        <v>347</v>
      </c>
      <c r="D181" s="243" t="s">
        <v>348</v>
      </c>
      <c r="E181" s="243"/>
      <c r="F181" s="244">
        <f>SUM(F182,F185)</f>
        <v>110811042</v>
      </c>
      <c r="G181" s="244">
        <f>SUM(G182,G185)</f>
        <v>213817</v>
      </c>
      <c r="H181" s="244">
        <f>SUM(H182,H185)</f>
        <v>1486017</v>
      </c>
      <c r="I181" s="245">
        <f t="shared" si="1"/>
        <v>112510876</v>
      </c>
    </row>
    <row r="182" spans="1:9" ht="12.75">
      <c r="A182" s="260"/>
      <c r="B182" s="260"/>
      <c r="C182" s="260"/>
      <c r="D182" s="260" t="s">
        <v>349</v>
      </c>
      <c r="E182" s="260" t="s">
        <v>350</v>
      </c>
      <c r="F182" s="261">
        <f>SUM(F183:F184)</f>
        <v>80794940</v>
      </c>
      <c r="G182" s="261">
        <f>SUM(G183:G184)</f>
        <v>213817</v>
      </c>
      <c r="H182" s="261">
        <f>SUM(H183:H184)</f>
        <v>1486017</v>
      </c>
      <c r="I182" s="262">
        <f aca="true" t="shared" si="3" ref="I182:I196">SUM(F182:H182)</f>
        <v>82494774</v>
      </c>
    </row>
    <row r="183" spans="1:9" s="267" customFormat="1" ht="12.75">
      <c r="A183" s="263"/>
      <c r="B183" s="263"/>
      <c r="C183" s="263"/>
      <c r="D183" s="263"/>
      <c r="E183" s="264" t="s">
        <v>37</v>
      </c>
      <c r="F183" s="265">
        <f>3223384+17567323+20000000+6865581</f>
        <v>47656288</v>
      </c>
      <c r="G183" s="265">
        <v>213817</v>
      </c>
      <c r="H183" s="265">
        <v>1486017</v>
      </c>
      <c r="I183" s="266">
        <f t="shared" si="3"/>
        <v>49356122</v>
      </c>
    </row>
    <row r="184" spans="1:9" s="267" customFormat="1" ht="12.75">
      <c r="A184" s="263"/>
      <c r="B184" s="263"/>
      <c r="C184" s="263"/>
      <c r="D184" s="263"/>
      <c r="E184" s="264" t="s">
        <v>38</v>
      </c>
      <c r="F184" s="265">
        <f>1159500+1587500+12391652+15000000+3000000</f>
        <v>33138652</v>
      </c>
      <c r="G184" s="265">
        <v>0</v>
      </c>
      <c r="H184" s="265">
        <v>0</v>
      </c>
      <c r="I184" s="266">
        <f t="shared" si="3"/>
        <v>33138652</v>
      </c>
    </row>
    <row r="185" spans="1:9" ht="12.75">
      <c r="A185" s="260"/>
      <c r="B185" s="260"/>
      <c r="C185" s="260"/>
      <c r="D185" s="260" t="s">
        <v>351</v>
      </c>
      <c r="E185" s="260" t="s">
        <v>352</v>
      </c>
      <c r="F185" s="261">
        <v>30016102</v>
      </c>
      <c r="G185" s="261">
        <v>0</v>
      </c>
      <c r="H185" s="261">
        <v>0</v>
      </c>
      <c r="I185" s="262">
        <f t="shared" si="3"/>
        <v>30016102</v>
      </c>
    </row>
    <row r="186" spans="1:9" ht="12.75" hidden="1">
      <c r="A186" s="243"/>
      <c r="B186" s="243"/>
      <c r="C186" s="243" t="s">
        <v>353</v>
      </c>
      <c r="D186" s="243" t="s">
        <v>681</v>
      </c>
      <c r="E186" s="243"/>
      <c r="F186" s="244">
        <v>0</v>
      </c>
      <c r="G186" s="244">
        <v>0</v>
      </c>
      <c r="H186" s="244">
        <v>0</v>
      </c>
      <c r="I186" s="245">
        <f t="shared" si="3"/>
        <v>0</v>
      </c>
    </row>
    <row r="187" spans="1:9" ht="12.75" hidden="1">
      <c r="A187" s="243"/>
      <c r="B187" s="243"/>
      <c r="C187" s="243" t="s">
        <v>354</v>
      </c>
      <c r="D187" s="243" t="s">
        <v>682</v>
      </c>
      <c r="E187" s="243"/>
      <c r="F187" s="244">
        <v>0</v>
      </c>
      <c r="G187" s="244">
        <v>0</v>
      </c>
      <c r="H187" s="244">
        <v>0</v>
      </c>
      <c r="I187" s="245">
        <f t="shared" si="3"/>
        <v>0</v>
      </c>
    </row>
    <row r="188" spans="1:9" ht="12.75" hidden="1">
      <c r="A188" s="243"/>
      <c r="B188" s="243"/>
      <c r="C188" s="243" t="s">
        <v>355</v>
      </c>
      <c r="D188" s="243" t="s">
        <v>356</v>
      </c>
      <c r="E188" s="243"/>
      <c r="F188" s="244">
        <v>0</v>
      </c>
      <c r="G188" s="244">
        <v>0</v>
      </c>
      <c r="H188" s="244">
        <v>0</v>
      </c>
      <c r="I188" s="245">
        <f t="shared" si="3"/>
        <v>0</v>
      </c>
    </row>
    <row r="189" spans="1:9" ht="12.75" hidden="1">
      <c r="A189" s="243"/>
      <c r="B189" s="243"/>
      <c r="C189" s="243" t="s">
        <v>357</v>
      </c>
      <c r="D189" s="243" t="s">
        <v>635</v>
      </c>
      <c r="E189" s="243"/>
      <c r="F189" s="244">
        <v>0</v>
      </c>
      <c r="G189" s="244">
        <v>0</v>
      </c>
      <c r="H189" s="244">
        <v>0</v>
      </c>
      <c r="I189" s="245">
        <f t="shared" si="3"/>
        <v>0</v>
      </c>
    </row>
    <row r="190" spans="1:9" ht="12.75" hidden="1">
      <c r="A190" s="243"/>
      <c r="B190" s="243"/>
      <c r="C190" s="243" t="s">
        <v>358</v>
      </c>
      <c r="D190" s="243" t="s">
        <v>359</v>
      </c>
      <c r="E190" s="243"/>
      <c r="F190" s="244">
        <v>0</v>
      </c>
      <c r="G190" s="244">
        <v>0</v>
      </c>
      <c r="H190" s="244">
        <v>0</v>
      </c>
      <c r="I190" s="245">
        <f t="shared" si="3"/>
        <v>0</v>
      </c>
    </row>
    <row r="191" spans="1:9" ht="12.75" hidden="1">
      <c r="A191" s="243"/>
      <c r="B191" s="243"/>
      <c r="C191" s="243" t="s">
        <v>636</v>
      </c>
      <c r="D191" s="243" t="s">
        <v>637</v>
      </c>
      <c r="E191" s="243"/>
      <c r="F191" s="244">
        <v>0</v>
      </c>
      <c r="G191" s="244">
        <v>0</v>
      </c>
      <c r="H191" s="244">
        <v>0</v>
      </c>
      <c r="I191" s="245">
        <f t="shared" si="3"/>
        <v>0</v>
      </c>
    </row>
    <row r="192" spans="1:9" ht="12.75" hidden="1">
      <c r="A192" s="243"/>
      <c r="B192" s="243"/>
      <c r="C192" s="243"/>
      <c r="D192" s="260" t="s">
        <v>638</v>
      </c>
      <c r="E192" s="260" t="s">
        <v>639</v>
      </c>
      <c r="F192" s="265">
        <v>0</v>
      </c>
      <c r="G192" s="265">
        <v>0</v>
      </c>
      <c r="H192" s="265">
        <v>0</v>
      </c>
      <c r="I192" s="245">
        <f t="shared" si="3"/>
        <v>0</v>
      </c>
    </row>
    <row r="193" spans="1:9" ht="12.75" hidden="1">
      <c r="A193" s="243"/>
      <c r="B193" s="243"/>
      <c r="C193" s="243"/>
      <c r="D193" s="260" t="s">
        <v>640</v>
      </c>
      <c r="E193" s="260" t="s">
        <v>641</v>
      </c>
      <c r="F193" s="265">
        <v>0</v>
      </c>
      <c r="G193" s="265">
        <v>0</v>
      </c>
      <c r="H193" s="265">
        <v>0</v>
      </c>
      <c r="I193" s="245">
        <f t="shared" si="3"/>
        <v>0</v>
      </c>
    </row>
    <row r="194" spans="1:9" ht="12.75">
      <c r="A194" s="247"/>
      <c r="B194" s="240" t="s">
        <v>360</v>
      </c>
      <c r="C194" s="812" t="s">
        <v>361</v>
      </c>
      <c r="D194" s="812"/>
      <c r="E194" s="812"/>
      <c r="F194" s="241">
        <v>0</v>
      </c>
      <c r="G194" s="241">
        <v>0</v>
      </c>
      <c r="H194" s="241">
        <v>0</v>
      </c>
      <c r="I194" s="242">
        <f t="shared" si="3"/>
        <v>0</v>
      </c>
    </row>
    <row r="195" spans="1:9" ht="12.75">
      <c r="A195" s="247"/>
      <c r="B195" s="240" t="s">
        <v>362</v>
      </c>
      <c r="C195" s="812" t="s">
        <v>363</v>
      </c>
      <c r="D195" s="812"/>
      <c r="E195" s="812"/>
      <c r="F195" s="241">
        <v>0</v>
      </c>
      <c r="G195" s="241">
        <v>0</v>
      </c>
      <c r="H195" s="241">
        <v>0</v>
      </c>
      <c r="I195" s="242">
        <f>SUM(F195:H195)</f>
        <v>0</v>
      </c>
    </row>
    <row r="196" spans="1:9" ht="12.75">
      <c r="A196" s="247"/>
      <c r="B196" s="240" t="s">
        <v>642</v>
      </c>
      <c r="C196" s="812" t="s">
        <v>643</v>
      </c>
      <c r="D196" s="812"/>
      <c r="E196" s="812"/>
      <c r="F196" s="241">
        <v>0</v>
      </c>
      <c r="G196" s="241">
        <v>0</v>
      </c>
      <c r="H196" s="241">
        <v>0</v>
      </c>
      <c r="I196" s="242">
        <f t="shared" si="3"/>
        <v>0</v>
      </c>
    </row>
    <row r="197" spans="1:9" ht="12.75">
      <c r="A197" s="247"/>
      <c r="B197" s="247"/>
      <c r="C197" s="247"/>
      <c r="D197" s="247"/>
      <c r="E197" s="247"/>
      <c r="F197" s="268"/>
      <c r="G197" s="269"/>
      <c r="H197" s="269"/>
      <c r="I197" s="268"/>
    </row>
    <row r="198" spans="1:9" s="271" customFormat="1" ht="15.75">
      <c r="A198" s="819" t="s">
        <v>489</v>
      </c>
      <c r="B198" s="819"/>
      <c r="C198" s="819"/>
      <c r="D198" s="819"/>
      <c r="E198" s="819"/>
      <c r="F198" s="270">
        <f>SUM(F170+F144+F129+F121+F85+F56+F40+F7)</f>
        <v>1316442446</v>
      </c>
      <c r="G198" s="270">
        <f>SUM(G170+G144+G129+G121+G85+G56+G40+G7)</f>
        <v>5320739</v>
      </c>
      <c r="H198" s="270">
        <f>SUM(H170+H144+H129+H121+H85+H56+H40+H7)</f>
        <v>2809611</v>
      </c>
      <c r="I198" s="270">
        <f>SUM(F198:H198)</f>
        <v>1324572796</v>
      </c>
    </row>
  </sheetData>
  <sheetProtection/>
  <mergeCells count="53">
    <mergeCell ref="C16:E16"/>
    <mergeCell ref="C17:E17"/>
    <mergeCell ref="C28:E28"/>
    <mergeCell ref="C45:E45"/>
    <mergeCell ref="A5:E5"/>
    <mergeCell ref="B7:E7"/>
    <mergeCell ref="C8:E8"/>
    <mergeCell ref="C15:E15"/>
    <mergeCell ref="B40:E40"/>
    <mergeCell ref="C29:E29"/>
    <mergeCell ref="B129:E129"/>
    <mergeCell ref="C124:E124"/>
    <mergeCell ref="C126:E126"/>
    <mergeCell ref="D110:E110"/>
    <mergeCell ref="C128:E128"/>
    <mergeCell ref="C122:E122"/>
    <mergeCell ref="D106:E106"/>
    <mergeCell ref="C59:E59"/>
    <mergeCell ref="D103:E103"/>
    <mergeCell ref="C57:E57"/>
    <mergeCell ref="C74:E74"/>
    <mergeCell ref="B85:E85"/>
    <mergeCell ref="C58:E58"/>
    <mergeCell ref="C145:E145"/>
    <mergeCell ref="C194:E194"/>
    <mergeCell ref="C131:E131"/>
    <mergeCell ref="C132:E132"/>
    <mergeCell ref="C43:E43"/>
    <mergeCell ref="C41:E41"/>
    <mergeCell ref="B121:E121"/>
    <mergeCell ref="C44:E44"/>
    <mergeCell ref="D111:E111"/>
    <mergeCell ref="B56:E56"/>
    <mergeCell ref="A198:E198"/>
    <mergeCell ref="C130:E130"/>
    <mergeCell ref="C133:E133"/>
    <mergeCell ref="C143:E143"/>
    <mergeCell ref="B144:E144"/>
    <mergeCell ref="C196:E196"/>
    <mergeCell ref="B170:E170"/>
    <mergeCell ref="C147:E147"/>
    <mergeCell ref="C148:E148"/>
    <mergeCell ref="C146:E146"/>
    <mergeCell ref="C195:E195"/>
    <mergeCell ref="C171:E171"/>
    <mergeCell ref="F1:I1"/>
    <mergeCell ref="B6:E6"/>
    <mergeCell ref="A2:I2"/>
    <mergeCell ref="C127:E127"/>
    <mergeCell ref="C42:E42"/>
    <mergeCell ref="C60:E60"/>
    <mergeCell ref="C63:E63"/>
    <mergeCell ref="C158:E158"/>
  </mergeCells>
  <printOptions horizontalCentered="1"/>
  <pageMargins left="0.5118110236220472" right="0.5118110236220472" top="1.062992125984252" bottom="1.062992125984252" header="0.31496062992125984" footer="0.31496062992125984"/>
  <pageSetup horizontalDpi="600" verticalDpi="600" orientation="portrait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"/>
  <sheetViews>
    <sheetView zoomScalePageLayoutView="0" workbookViewId="0" topLeftCell="A1">
      <selection activeCell="I2" sqref="I2"/>
    </sheetView>
  </sheetViews>
  <sheetFormatPr defaultColWidth="8.875" defaultRowHeight="12.75"/>
  <cols>
    <col min="1" max="1" width="4.125" style="128" bestFit="1" customWidth="1"/>
    <col min="2" max="2" width="14.625" style="123" customWidth="1"/>
    <col min="3" max="9" width="16.75390625" style="123" customWidth="1"/>
    <col min="10" max="10" width="13.875" style="123" bestFit="1" customWidth="1"/>
    <col min="11" max="11" width="14.25390625" style="123" bestFit="1" customWidth="1"/>
    <col min="12" max="16384" width="8.875" style="123" customWidth="1"/>
  </cols>
  <sheetData>
    <row r="1" ht="15.75">
      <c r="I1" s="174" t="s">
        <v>1023</v>
      </c>
    </row>
    <row r="3" spans="1:9" ht="40.5" customHeight="1">
      <c r="A3" s="1098" t="s">
        <v>154</v>
      </c>
      <c r="B3" s="1099"/>
      <c r="C3" s="1099"/>
      <c r="D3" s="1099"/>
      <c r="E3" s="1099"/>
      <c r="F3" s="1099"/>
      <c r="G3" s="1099"/>
      <c r="H3" s="1099"/>
      <c r="I3" s="1099"/>
    </row>
    <row r="4" spans="2:9" ht="16.5" thickBot="1">
      <c r="B4" s="124"/>
      <c r="C4" s="124"/>
      <c r="D4" s="124"/>
      <c r="E4" s="124"/>
      <c r="F4" s="124"/>
      <c r="G4" s="124"/>
      <c r="H4" s="124"/>
      <c r="I4" s="124"/>
    </row>
    <row r="5" spans="1:9" ht="15.75">
      <c r="A5" s="1100" t="s">
        <v>482</v>
      </c>
      <c r="B5" s="1102" t="s">
        <v>459</v>
      </c>
      <c r="C5" s="1102" t="s">
        <v>465</v>
      </c>
      <c r="D5" s="1102"/>
      <c r="E5" s="1102"/>
      <c r="F5" s="1102"/>
      <c r="G5" s="1102"/>
      <c r="H5" s="1102"/>
      <c r="I5" s="1104" t="s">
        <v>470</v>
      </c>
    </row>
    <row r="6" spans="1:9" s="125" customFormat="1" ht="102.75" customHeight="1">
      <c r="A6" s="1101"/>
      <c r="B6" s="1103"/>
      <c r="C6" s="126" t="s">
        <v>461</v>
      </c>
      <c r="D6" s="126" t="s">
        <v>462</v>
      </c>
      <c r="E6" s="126" t="s">
        <v>471</v>
      </c>
      <c r="F6" s="126" t="s">
        <v>463</v>
      </c>
      <c r="G6" s="126" t="s">
        <v>460</v>
      </c>
      <c r="H6" s="126" t="s">
        <v>464</v>
      </c>
      <c r="I6" s="1105"/>
    </row>
    <row r="7" spans="1:9" s="128" customFormat="1" ht="12">
      <c r="A7" s="1101"/>
      <c r="B7" s="130" t="s">
        <v>476</v>
      </c>
      <c r="C7" s="129" t="s">
        <v>477</v>
      </c>
      <c r="D7" s="129" t="s">
        <v>478</v>
      </c>
      <c r="E7" s="129" t="s">
        <v>479</v>
      </c>
      <c r="F7" s="129" t="s">
        <v>480</v>
      </c>
      <c r="G7" s="129" t="s">
        <v>481</v>
      </c>
      <c r="H7" s="129" t="s">
        <v>483</v>
      </c>
      <c r="I7" s="132" t="s">
        <v>484</v>
      </c>
    </row>
    <row r="8" spans="1:9" s="181" customFormat="1" ht="15.75">
      <c r="A8" s="180">
        <v>1</v>
      </c>
      <c r="B8" s="131" t="s">
        <v>492</v>
      </c>
      <c r="C8" s="570">
        <v>162200000</v>
      </c>
      <c r="D8" s="571">
        <f>192510513+639000+9314000+500000+7102216-1172953-1614100</f>
        <v>207278676</v>
      </c>
      <c r="E8" s="571">
        <v>6000</v>
      </c>
      <c r="F8" s="571"/>
      <c r="G8" s="570">
        <v>560000</v>
      </c>
      <c r="H8" s="571"/>
      <c r="I8" s="572">
        <f aca="true" t="shared" si="0" ref="I8:I13">SUM(C8:H8)</f>
        <v>370044676</v>
      </c>
    </row>
    <row r="9" spans="1:9" ht="15.75">
      <c r="A9" s="127">
        <v>2</v>
      </c>
      <c r="B9" s="131" t="s">
        <v>493</v>
      </c>
      <c r="C9" s="573">
        <v>150000000</v>
      </c>
      <c r="D9" s="574">
        <v>12000000</v>
      </c>
      <c r="E9" s="574">
        <v>300000</v>
      </c>
      <c r="F9" s="574"/>
      <c r="G9" s="573">
        <v>900000</v>
      </c>
      <c r="H9" s="574"/>
      <c r="I9" s="575">
        <f t="shared" si="0"/>
        <v>163200000</v>
      </c>
    </row>
    <row r="10" spans="1:9" ht="15.75">
      <c r="A10" s="127">
        <v>3</v>
      </c>
      <c r="B10" s="131" t="s">
        <v>494</v>
      </c>
      <c r="C10" s="573">
        <v>152000000</v>
      </c>
      <c r="D10" s="574">
        <v>10000000</v>
      </c>
      <c r="E10" s="574">
        <v>250000</v>
      </c>
      <c r="F10" s="574"/>
      <c r="G10" s="573">
        <v>800000</v>
      </c>
      <c r="H10" s="574"/>
      <c r="I10" s="575">
        <f t="shared" si="0"/>
        <v>163050000</v>
      </c>
    </row>
    <row r="11" spans="1:9" ht="15.75">
      <c r="A11" s="127">
        <v>4</v>
      </c>
      <c r="B11" s="131" t="s">
        <v>495</v>
      </c>
      <c r="C11" s="573">
        <v>154000000</v>
      </c>
      <c r="D11" s="574">
        <v>8000000</v>
      </c>
      <c r="E11" s="574">
        <v>200000</v>
      </c>
      <c r="F11" s="574"/>
      <c r="G11" s="573">
        <v>700000</v>
      </c>
      <c r="H11" s="574"/>
      <c r="I11" s="575">
        <f t="shared" si="0"/>
        <v>162900000</v>
      </c>
    </row>
    <row r="12" spans="1:9" ht="15.75">
      <c r="A12" s="127">
        <v>5</v>
      </c>
      <c r="B12" s="131" t="s">
        <v>496</v>
      </c>
      <c r="C12" s="573">
        <v>128585000</v>
      </c>
      <c r="D12" s="574">
        <v>6000000</v>
      </c>
      <c r="E12" s="574">
        <v>266000</v>
      </c>
      <c r="F12" s="574">
        <v>100000</v>
      </c>
      <c r="G12" s="573">
        <v>350000</v>
      </c>
      <c r="H12" s="574"/>
      <c r="I12" s="575">
        <f t="shared" si="0"/>
        <v>135301000</v>
      </c>
    </row>
    <row r="13" spans="1:9" ht="16.5" thickBot="1">
      <c r="A13" s="194">
        <v>6</v>
      </c>
      <c r="B13" s="195" t="s">
        <v>497</v>
      </c>
      <c r="C13" s="576">
        <v>130615000</v>
      </c>
      <c r="D13" s="577">
        <v>6000000</v>
      </c>
      <c r="E13" s="577">
        <v>271000</v>
      </c>
      <c r="F13" s="577">
        <v>100000</v>
      </c>
      <c r="G13" s="576">
        <v>340000</v>
      </c>
      <c r="H13" s="577"/>
      <c r="I13" s="578">
        <f t="shared" si="0"/>
        <v>137326000</v>
      </c>
    </row>
    <row r="15" ht="15.75">
      <c r="E15" s="181"/>
    </row>
  </sheetData>
  <sheetProtection/>
  <mergeCells count="5">
    <mergeCell ref="A3:I3"/>
    <mergeCell ref="A5:A7"/>
    <mergeCell ref="B5:B6"/>
    <mergeCell ref="C5:H5"/>
    <mergeCell ref="I5:I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IV50"/>
  <sheetViews>
    <sheetView zoomScalePageLayoutView="0" workbookViewId="0" topLeftCell="C1">
      <selection activeCell="A2" sqref="A2:K2"/>
    </sheetView>
  </sheetViews>
  <sheetFormatPr defaultColWidth="9.00390625" defaultRowHeight="12.75"/>
  <cols>
    <col min="1" max="1" width="5.125" style="36" bestFit="1" customWidth="1"/>
    <col min="2" max="2" width="8.875" style="32" customWidth="1"/>
    <col min="3" max="3" width="72.25390625" style="32" customWidth="1"/>
    <col min="4" max="4" width="9.75390625" style="32" bestFit="1" customWidth="1"/>
    <col min="5" max="5" width="10.375" style="32" bestFit="1" customWidth="1"/>
    <col min="6" max="6" width="16.125" style="32" bestFit="1" customWidth="1"/>
    <col min="7" max="7" width="9.75390625" style="32" bestFit="1" customWidth="1"/>
    <col min="8" max="8" width="11.25390625" style="32" customWidth="1"/>
    <col min="9" max="9" width="9.625" style="32" customWidth="1"/>
    <col min="10" max="10" width="11.25390625" style="32" customWidth="1"/>
    <col min="11" max="12" width="16.125" style="32" bestFit="1" customWidth="1"/>
    <col min="13" max="13" width="9.125" style="32" customWidth="1"/>
    <col min="14" max="14" width="12.375" style="32" bestFit="1" customWidth="1"/>
    <col min="15" max="16384" width="9.125" style="32" customWidth="1"/>
  </cols>
  <sheetData>
    <row r="1" spans="9:13" ht="15" customHeight="1">
      <c r="I1" s="691" t="s">
        <v>1024</v>
      </c>
      <c r="J1" s="197"/>
      <c r="K1" s="197"/>
      <c r="L1" s="690"/>
      <c r="M1" s="197"/>
    </row>
    <row r="2" spans="1:256" ht="15.75">
      <c r="A2" s="1115" t="s">
        <v>728</v>
      </c>
      <c r="B2" s="1115"/>
      <c r="C2" s="1115"/>
      <c r="D2" s="1115"/>
      <c r="E2" s="1115"/>
      <c r="F2" s="1115"/>
      <c r="G2" s="1115"/>
      <c r="H2" s="1115"/>
      <c r="I2" s="1115"/>
      <c r="J2" s="1115"/>
      <c r="K2" s="1115"/>
      <c r="L2" s="21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  <c r="IV2" s="22"/>
    </row>
    <row r="3" spans="1:256" ht="15.75">
      <c r="A3" s="1116" t="s">
        <v>1004</v>
      </c>
      <c r="B3" s="1116"/>
      <c r="C3" s="1116"/>
      <c r="D3" s="1116"/>
      <c r="E3" s="1116"/>
      <c r="F3" s="1116"/>
      <c r="G3" s="1116"/>
      <c r="H3" s="1116"/>
      <c r="I3" s="1116"/>
      <c r="J3" s="1116"/>
      <c r="K3" s="1116"/>
      <c r="L3" s="23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</row>
    <row r="4" ht="13.5" thickBot="1"/>
    <row r="5" spans="1:256" ht="12.75">
      <c r="A5" s="1117" t="s">
        <v>498</v>
      </c>
      <c r="B5" s="1117"/>
      <c r="C5" s="1118"/>
      <c r="D5" s="1119" t="s">
        <v>491</v>
      </c>
      <c r="E5" s="1117"/>
      <c r="F5" s="1120"/>
      <c r="G5" s="1121" t="s">
        <v>653</v>
      </c>
      <c r="H5" s="1122"/>
      <c r="I5" s="1122"/>
      <c r="J5" s="1123"/>
      <c r="K5" s="1124"/>
      <c r="L5" s="1110" t="s">
        <v>399</v>
      </c>
      <c r="M5" s="29"/>
      <c r="N5" s="29" t="s">
        <v>537</v>
      </c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  <c r="IU5" s="29"/>
      <c r="IV5" s="29"/>
    </row>
    <row r="6" spans="1:256" ht="25.5">
      <c r="A6" s="1112" t="s">
        <v>499</v>
      </c>
      <c r="B6" s="1113"/>
      <c r="C6" s="24" t="s">
        <v>500</v>
      </c>
      <c r="D6" s="25" t="s">
        <v>501</v>
      </c>
      <c r="E6" s="27" t="s">
        <v>502</v>
      </c>
      <c r="F6" s="28" t="s">
        <v>536</v>
      </c>
      <c r="G6" s="25" t="s">
        <v>503</v>
      </c>
      <c r="H6" s="26" t="s">
        <v>515</v>
      </c>
      <c r="I6" s="26" t="s">
        <v>504</v>
      </c>
      <c r="J6" s="26" t="s">
        <v>515</v>
      </c>
      <c r="K6" s="28" t="s">
        <v>720</v>
      </c>
      <c r="L6" s="1111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  <c r="IV6" s="29"/>
    </row>
    <row r="7" spans="1:256" ht="12.75">
      <c r="A7" s="1114" t="s">
        <v>476</v>
      </c>
      <c r="B7" s="1114"/>
      <c r="C7" s="117" t="s">
        <v>477</v>
      </c>
      <c r="D7" s="118" t="s">
        <v>478</v>
      </c>
      <c r="E7" s="119" t="s">
        <v>479</v>
      </c>
      <c r="F7" s="120" t="s">
        <v>480</v>
      </c>
      <c r="G7" s="118" t="s">
        <v>481</v>
      </c>
      <c r="H7" s="121" t="s">
        <v>483</v>
      </c>
      <c r="I7" s="121" t="s">
        <v>484</v>
      </c>
      <c r="J7" s="121" t="s">
        <v>425</v>
      </c>
      <c r="K7" s="120" t="s">
        <v>426</v>
      </c>
      <c r="L7" s="172" t="s">
        <v>427</v>
      </c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2"/>
      <c r="EJ7" s="122"/>
      <c r="EK7" s="122"/>
      <c r="EL7" s="122"/>
      <c r="EM7" s="122"/>
      <c r="EN7" s="122"/>
      <c r="EO7" s="122"/>
      <c r="EP7" s="122"/>
      <c r="EQ7" s="122"/>
      <c r="ER7" s="122"/>
      <c r="ES7" s="122"/>
      <c r="ET7" s="122"/>
      <c r="EU7" s="122"/>
      <c r="EV7" s="122"/>
      <c r="EW7" s="122"/>
      <c r="EX7" s="122"/>
      <c r="EY7" s="122"/>
      <c r="EZ7" s="122"/>
      <c r="FA7" s="122"/>
      <c r="FB7" s="122"/>
      <c r="FC7" s="122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122"/>
      <c r="GZ7" s="122"/>
      <c r="HA7" s="122"/>
      <c r="HB7" s="122"/>
      <c r="HC7" s="122"/>
      <c r="HD7" s="122"/>
      <c r="HE7" s="122"/>
      <c r="HF7" s="122"/>
      <c r="HG7" s="122"/>
      <c r="HH7" s="122"/>
      <c r="HI7" s="122"/>
      <c r="HJ7" s="122"/>
      <c r="HK7" s="122"/>
      <c r="HL7" s="122"/>
      <c r="HM7" s="122"/>
      <c r="HN7" s="122"/>
      <c r="HO7" s="122"/>
      <c r="HP7" s="122"/>
      <c r="HQ7" s="122"/>
      <c r="HR7" s="122"/>
      <c r="HS7" s="122"/>
      <c r="HT7" s="122"/>
      <c r="HU7" s="122"/>
      <c r="HV7" s="122"/>
      <c r="HW7" s="122"/>
      <c r="HX7" s="122"/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  <c r="IS7" s="122"/>
      <c r="IT7" s="122"/>
      <c r="IU7" s="122"/>
      <c r="IV7" s="122"/>
    </row>
    <row r="8" spans="1:256" ht="12.75">
      <c r="A8" s="150" t="s">
        <v>522</v>
      </c>
      <c r="B8" s="151"/>
      <c r="C8" s="152" t="s">
        <v>534</v>
      </c>
      <c r="D8" s="153"/>
      <c r="E8" s="154"/>
      <c r="F8" s="155">
        <f>F9+F10+F15+F16+F17</f>
        <v>199631709</v>
      </c>
      <c r="G8" s="153"/>
      <c r="H8" s="156"/>
      <c r="I8" s="156"/>
      <c r="J8" s="154"/>
      <c r="K8" s="155"/>
      <c r="L8" s="173">
        <f aca="true" t="shared" si="0" ref="L8:L14">F8+K8</f>
        <v>199631709</v>
      </c>
      <c r="M8" s="147"/>
      <c r="N8" s="176">
        <f>SUM(N9:N17)</f>
        <v>199631709</v>
      </c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/>
      <c r="CV8" s="148"/>
      <c r="CW8" s="148"/>
      <c r="CX8" s="148"/>
      <c r="CY8" s="148"/>
      <c r="CZ8" s="148"/>
      <c r="DA8" s="148"/>
      <c r="DB8" s="148"/>
      <c r="DC8" s="148"/>
      <c r="DD8" s="148"/>
      <c r="DE8" s="148"/>
      <c r="DF8" s="148"/>
      <c r="DG8" s="148"/>
      <c r="DH8" s="148"/>
      <c r="DI8" s="148"/>
      <c r="DJ8" s="148"/>
      <c r="DK8" s="148"/>
      <c r="DL8" s="148"/>
      <c r="DM8" s="148"/>
      <c r="DN8" s="148"/>
      <c r="DO8" s="148"/>
      <c r="DP8" s="148"/>
      <c r="DQ8" s="148"/>
      <c r="DR8" s="148"/>
      <c r="DS8" s="148"/>
      <c r="DT8" s="148"/>
      <c r="DU8" s="148"/>
      <c r="DV8" s="148"/>
      <c r="DW8" s="148"/>
      <c r="DX8" s="148"/>
      <c r="DY8" s="148"/>
      <c r="DZ8" s="148"/>
      <c r="EA8" s="148"/>
      <c r="EB8" s="148"/>
      <c r="EC8" s="148"/>
      <c r="ED8" s="148"/>
      <c r="EE8" s="148"/>
      <c r="EF8" s="148"/>
      <c r="EG8" s="148"/>
      <c r="EH8" s="148"/>
      <c r="EI8" s="148"/>
      <c r="EJ8" s="148"/>
      <c r="EK8" s="148"/>
      <c r="EL8" s="148"/>
      <c r="EM8" s="148"/>
      <c r="EN8" s="148"/>
      <c r="EO8" s="148"/>
      <c r="EP8" s="148"/>
      <c r="EQ8" s="148"/>
      <c r="ER8" s="148"/>
      <c r="ES8" s="148"/>
      <c r="ET8" s="148"/>
      <c r="EU8" s="148"/>
      <c r="EV8" s="148"/>
      <c r="EW8" s="148"/>
      <c r="EX8" s="148"/>
      <c r="EY8" s="148"/>
      <c r="EZ8" s="148"/>
      <c r="FA8" s="148"/>
      <c r="FB8" s="148"/>
      <c r="FC8" s="148"/>
      <c r="FD8" s="148"/>
      <c r="FE8" s="148"/>
      <c r="FF8" s="148"/>
      <c r="FG8" s="148"/>
      <c r="FH8" s="148"/>
      <c r="FI8" s="148"/>
      <c r="FJ8" s="148"/>
      <c r="FK8" s="148"/>
      <c r="FL8" s="148"/>
      <c r="FM8" s="148"/>
      <c r="FN8" s="148"/>
      <c r="FO8" s="148"/>
      <c r="FP8" s="148"/>
      <c r="FQ8" s="148"/>
      <c r="FR8" s="148"/>
      <c r="FS8" s="148"/>
      <c r="FT8" s="148"/>
      <c r="FU8" s="148"/>
      <c r="FV8" s="148"/>
      <c r="FW8" s="148"/>
      <c r="FX8" s="148"/>
      <c r="FY8" s="148"/>
      <c r="FZ8" s="148"/>
      <c r="GA8" s="148"/>
      <c r="GB8" s="148"/>
      <c r="GC8" s="148"/>
      <c r="GD8" s="148"/>
      <c r="GE8" s="148"/>
      <c r="GF8" s="148"/>
      <c r="GG8" s="148"/>
      <c r="GH8" s="148"/>
      <c r="GI8" s="148"/>
      <c r="GJ8" s="148"/>
      <c r="GK8" s="148"/>
      <c r="GL8" s="148"/>
      <c r="GM8" s="148"/>
      <c r="GN8" s="148"/>
      <c r="GO8" s="148"/>
      <c r="GP8" s="148"/>
      <c r="GQ8" s="148"/>
      <c r="GR8" s="148"/>
      <c r="GS8" s="148"/>
      <c r="GT8" s="148"/>
      <c r="GU8" s="148"/>
      <c r="GV8" s="148"/>
      <c r="GW8" s="148"/>
      <c r="GX8" s="148"/>
      <c r="GY8" s="148"/>
      <c r="GZ8" s="148"/>
      <c r="HA8" s="148"/>
      <c r="HB8" s="148"/>
      <c r="HC8" s="148"/>
      <c r="HD8" s="148"/>
      <c r="HE8" s="148"/>
      <c r="HF8" s="148"/>
      <c r="HG8" s="148"/>
      <c r="HH8" s="148"/>
      <c r="HI8" s="148"/>
      <c r="HJ8" s="148"/>
      <c r="HK8" s="148"/>
      <c r="HL8" s="148"/>
      <c r="HM8" s="148"/>
      <c r="HN8" s="148"/>
      <c r="HO8" s="148"/>
      <c r="HP8" s="148"/>
      <c r="HQ8" s="148"/>
      <c r="HR8" s="148"/>
      <c r="HS8" s="148"/>
      <c r="HT8" s="148"/>
      <c r="HU8" s="148"/>
      <c r="HV8" s="148"/>
      <c r="HW8" s="148"/>
      <c r="HX8" s="148"/>
      <c r="HY8" s="148"/>
      <c r="HZ8" s="148"/>
      <c r="IA8" s="148"/>
      <c r="IB8" s="148"/>
      <c r="IC8" s="148"/>
      <c r="ID8" s="148"/>
      <c r="IE8" s="148"/>
      <c r="IF8" s="148"/>
      <c r="IG8" s="148"/>
      <c r="IH8" s="148"/>
      <c r="II8" s="148"/>
      <c r="IJ8" s="148"/>
      <c r="IK8" s="148"/>
      <c r="IL8" s="148"/>
      <c r="IM8" s="148"/>
      <c r="IN8" s="148"/>
      <c r="IO8" s="148"/>
      <c r="IP8" s="148"/>
      <c r="IQ8" s="148"/>
      <c r="IR8" s="148"/>
      <c r="IS8" s="148"/>
      <c r="IT8" s="148"/>
      <c r="IU8" s="148"/>
      <c r="IV8" s="148"/>
    </row>
    <row r="9" spans="1:256" ht="12.75">
      <c r="A9" s="141"/>
      <c r="B9" s="142" t="s">
        <v>585</v>
      </c>
      <c r="C9" s="143" t="s">
        <v>516</v>
      </c>
      <c r="D9" s="693">
        <v>26.48</v>
      </c>
      <c r="E9" s="694">
        <v>4580000</v>
      </c>
      <c r="F9" s="695">
        <f>D9*E9</f>
        <v>121278400</v>
      </c>
      <c r="G9" s="696"/>
      <c r="H9" s="697"/>
      <c r="I9" s="697"/>
      <c r="J9" s="694"/>
      <c r="K9" s="695"/>
      <c r="L9" s="698">
        <f t="shared" si="0"/>
        <v>121278400</v>
      </c>
      <c r="M9" s="144"/>
      <c r="N9" s="196">
        <f>SUM(L9)</f>
        <v>121278400</v>
      </c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/>
      <c r="DQ9" s="145"/>
      <c r="DR9" s="145"/>
      <c r="DS9" s="145"/>
      <c r="DT9" s="145"/>
      <c r="DU9" s="145"/>
      <c r="DV9" s="145"/>
      <c r="DW9" s="145"/>
      <c r="DX9" s="145"/>
      <c r="DY9" s="145"/>
      <c r="DZ9" s="145"/>
      <c r="EA9" s="145"/>
      <c r="EB9" s="145"/>
      <c r="EC9" s="145"/>
      <c r="ED9" s="145"/>
      <c r="EE9" s="145"/>
      <c r="EF9" s="145"/>
      <c r="EG9" s="145"/>
      <c r="EH9" s="145"/>
      <c r="EI9" s="145"/>
      <c r="EJ9" s="145"/>
      <c r="EK9" s="145"/>
      <c r="EL9" s="145"/>
      <c r="EM9" s="145"/>
      <c r="EN9" s="145"/>
      <c r="EO9" s="145"/>
      <c r="EP9" s="145"/>
      <c r="EQ9" s="145"/>
      <c r="ER9" s="145"/>
      <c r="ES9" s="145"/>
      <c r="ET9" s="145"/>
      <c r="EU9" s="145"/>
      <c r="EV9" s="145"/>
      <c r="EW9" s="145"/>
      <c r="EX9" s="145"/>
      <c r="EY9" s="145"/>
      <c r="EZ9" s="145"/>
      <c r="FA9" s="145"/>
      <c r="FB9" s="145"/>
      <c r="FC9" s="145"/>
      <c r="FD9" s="145"/>
      <c r="FE9" s="145"/>
      <c r="FF9" s="145"/>
      <c r="FG9" s="145"/>
      <c r="FH9" s="145"/>
      <c r="FI9" s="145"/>
      <c r="FJ9" s="145"/>
      <c r="FK9" s="145"/>
      <c r="FL9" s="145"/>
      <c r="FM9" s="145"/>
      <c r="FN9" s="145"/>
      <c r="FO9" s="145"/>
      <c r="FP9" s="145"/>
      <c r="FQ9" s="145"/>
      <c r="FR9" s="145"/>
      <c r="FS9" s="145"/>
      <c r="FT9" s="145"/>
      <c r="FU9" s="145"/>
      <c r="FV9" s="145"/>
      <c r="FW9" s="145"/>
      <c r="FX9" s="145"/>
      <c r="FY9" s="145"/>
      <c r="FZ9" s="145"/>
      <c r="GA9" s="145"/>
      <c r="GB9" s="145"/>
      <c r="GC9" s="145"/>
      <c r="GD9" s="145"/>
      <c r="GE9" s="145"/>
      <c r="GF9" s="145"/>
      <c r="GG9" s="145"/>
      <c r="GH9" s="145"/>
      <c r="GI9" s="145"/>
      <c r="GJ9" s="145"/>
      <c r="GK9" s="145"/>
      <c r="GL9" s="145"/>
      <c r="GM9" s="145"/>
      <c r="GN9" s="145"/>
      <c r="GO9" s="145"/>
      <c r="GP9" s="145"/>
      <c r="GQ9" s="145"/>
      <c r="GR9" s="145"/>
      <c r="GS9" s="145"/>
      <c r="GT9" s="145"/>
      <c r="GU9" s="145"/>
      <c r="GV9" s="145"/>
      <c r="GW9" s="145"/>
      <c r="GX9" s="145"/>
      <c r="GY9" s="145"/>
      <c r="GZ9" s="145"/>
      <c r="HA9" s="145"/>
      <c r="HB9" s="145"/>
      <c r="HC9" s="145"/>
      <c r="HD9" s="145"/>
      <c r="HE9" s="145"/>
      <c r="HF9" s="145"/>
      <c r="HG9" s="145"/>
      <c r="HH9" s="145"/>
      <c r="HI9" s="145"/>
      <c r="HJ9" s="145"/>
      <c r="HK9" s="145"/>
      <c r="HL9" s="145"/>
      <c r="HM9" s="145"/>
      <c r="HN9" s="145"/>
      <c r="HO9" s="145"/>
      <c r="HP9" s="145"/>
      <c r="HQ9" s="145"/>
      <c r="HR9" s="145"/>
      <c r="HS9" s="145"/>
      <c r="HT9" s="145"/>
      <c r="HU9" s="145"/>
      <c r="HV9" s="145"/>
      <c r="HW9" s="145"/>
      <c r="HX9" s="145"/>
      <c r="HY9" s="145"/>
      <c r="HZ9" s="145"/>
      <c r="IA9" s="145"/>
      <c r="IB9" s="145"/>
      <c r="IC9" s="145"/>
      <c r="ID9" s="145"/>
      <c r="IE9" s="145"/>
      <c r="IF9" s="145"/>
      <c r="IG9" s="145"/>
      <c r="IH9" s="145"/>
      <c r="II9" s="145"/>
      <c r="IJ9" s="145"/>
      <c r="IK9" s="145"/>
      <c r="IL9" s="145"/>
      <c r="IM9" s="145"/>
      <c r="IN9" s="145"/>
      <c r="IO9" s="145"/>
      <c r="IP9" s="145"/>
      <c r="IQ9" s="145"/>
      <c r="IR9" s="145"/>
      <c r="IS9" s="145"/>
      <c r="IT9" s="145"/>
      <c r="IU9" s="145"/>
      <c r="IV9" s="145"/>
    </row>
    <row r="10" spans="1:256" ht="12.75">
      <c r="A10" s="141"/>
      <c r="B10" s="142" t="s">
        <v>586</v>
      </c>
      <c r="C10" s="143" t="s">
        <v>134</v>
      </c>
      <c r="D10" s="696"/>
      <c r="E10" s="694"/>
      <c r="F10" s="695">
        <f>SUM(F11:F14)</f>
        <v>63536320</v>
      </c>
      <c r="G10" s="696"/>
      <c r="H10" s="697"/>
      <c r="I10" s="697"/>
      <c r="J10" s="694"/>
      <c r="K10" s="695"/>
      <c r="L10" s="698">
        <f t="shared" si="0"/>
        <v>63536320</v>
      </c>
      <c r="M10" s="144"/>
      <c r="N10" s="196">
        <f>SUM(L11:L14)</f>
        <v>63536320</v>
      </c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45"/>
      <c r="CN10" s="145"/>
      <c r="CO10" s="145"/>
      <c r="CP10" s="145"/>
      <c r="CQ10" s="145"/>
      <c r="CR10" s="145"/>
      <c r="CS10" s="145"/>
      <c r="CT10" s="145"/>
      <c r="CU10" s="145"/>
      <c r="CV10" s="145"/>
      <c r="CW10" s="145"/>
      <c r="CX10" s="145"/>
      <c r="CY10" s="145"/>
      <c r="CZ10" s="145"/>
      <c r="DA10" s="145"/>
      <c r="DB10" s="145"/>
      <c r="DC10" s="145"/>
      <c r="DD10" s="145"/>
      <c r="DE10" s="145"/>
      <c r="DF10" s="145"/>
      <c r="DG10" s="145"/>
      <c r="DH10" s="145"/>
      <c r="DI10" s="145"/>
      <c r="DJ10" s="145"/>
      <c r="DK10" s="145"/>
      <c r="DL10" s="145"/>
      <c r="DM10" s="145"/>
      <c r="DN10" s="145"/>
      <c r="DO10" s="145"/>
      <c r="DP10" s="145"/>
      <c r="DQ10" s="145"/>
      <c r="DR10" s="145"/>
      <c r="DS10" s="145"/>
      <c r="DT10" s="145"/>
      <c r="DU10" s="145"/>
      <c r="DV10" s="145"/>
      <c r="DW10" s="145"/>
      <c r="DX10" s="145"/>
      <c r="DY10" s="145"/>
      <c r="DZ10" s="145"/>
      <c r="EA10" s="145"/>
      <c r="EB10" s="145"/>
      <c r="EC10" s="145"/>
      <c r="ED10" s="145"/>
      <c r="EE10" s="145"/>
      <c r="EF10" s="145"/>
      <c r="EG10" s="145"/>
      <c r="EH10" s="145"/>
      <c r="EI10" s="145"/>
      <c r="EJ10" s="145"/>
      <c r="EK10" s="145"/>
      <c r="EL10" s="145"/>
      <c r="EM10" s="145"/>
      <c r="EN10" s="145"/>
      <c r="EO10" s="145"/>
      <c r="EP10" s="145"/>
      <c r="EQ10" s="145"/>
      <c r="ER10" s="145"/>
      <c r="ES10" s="145"/>
      <c r="ET10" s="145"/>
      <c r="EU10" s="145"/>
      <c r="EV10" s="145"/>
      <c r="EW10" s="145"/>
      <c r="EX10" s="145"/>
      <c r="EY10" s="145"/>
      <c r="EZ10" s="145"/>
      <c r="FA10" s="145"/>
      <c r="FB10" s="145"/>
      <c r="FC10" s="145"/>
      <c r="FD10" s="145"/>
      <c r="FE10" s="145"/>
      <c r="FF10" s="145"/>
      <c r="FG10" s="145"/>
      <c r="FH10" s="145"/>
      <c r="FI10" s="145"/>
      <c r="FJ10" s="145"/>
      <c r="FK10" s="145"/>
      <c r="FL10" s="145"/>
      <c r="FM10" s="145"/>
      <c r="FN10" s="145"/>
      <c r="FO10" s="145"/>
      <c r="FP10" s="145"/>
      <c r="FQ10" s="145"/>
      <c r="FR10" s="145"/>
      <c r="FS10" s="145"/>
      <c r="FT10" s="145"/>
      <c r="FU10" s="145"/>
      <c r="FV10" s="145"/>
      <c r="FW10" s="145"/>
      <c r="FX10" s="145"/>
      <c r="FY10" s="145"/>
      <c r="FZ10" s="145"/>
      <c r="GA10" s="145"/>
      <c r="GB10" s="145"/>
      <c r="GC10" s="145"/>
      <c r="GD10" s="145"/>
      <c r="GE10" s="145"/>
      <c r="GF10" s="145"/>
      <c r="GG10" s="145"/>
      <c r="GH10" s="145"/>
      <c r="GI10" s="145"/>
      <c r="GJ10" s="145"/>
      <c r="GK10" s="145"/>
      <c r="GL10" s="145"/>
      <c r="GM10" s="145"/>
      <c r="GN10" s="145"/>
      <c r="GO10" s="145"/>
      <c r="GP10" s="145"/>
      <c r="GQ10" s="145"/>
      <c r="GR10" s="145"/>
      <c r="GS10" s="145"/>
      <c r="GT10" s="145"/>
      <c r="GU10" s="145"/>
      <c r="GV10" s="145"/>
      <c r="GW10" s="145"/>
      <c r="GX10" s="145"/>
      <c r="GY10" s="145"/>
      <c r="GZ10" s="145"/>
      <c r="HA10" s="145"/>
      <c r="HB10" s="145"/>
      <c r="HC10" s="145"/>
      <c r="HD10" s="145"/>
      <c r="HE10" s="145"/>
      <c r="HF10" s="145"/>
      <c r="HG10" s="145"/>
      <c r="HH10" s="145"/>
      <c r="HI10" s="145"/>
      <c r="HJ10" s="145"/>
      <c r="HK10" s="145"/>
      <c r="HL10" s="145"/>
      <c r="HM10" s="145"/>
      <c r="HN10" s="145"/>
      <c r="HO10" s="145"/>
      <c r="HP10" s="145"/>
      <c r="HQ10" s="145"/>
      <c r="HR10" s="145"/>
      <c r="HS10" s="145"/>
      <c r="HT10" s="145"/>
      <c r="HU10" s="145"/>
      <c r="HV10" s="145"/>
      <c r="HW10" s="145"/>
      <c r="HX10" s="145"/>
      <c r="HY10" s="145"/>
      <c r="HZ10" s="145"/>
      <c r="IA10" s="145"/>
      <c r="IB10" s="145"/>
      <c r="IC10" s="145"/>
      <c r="ID10" s="145"/>
      <c r="IE10" s="145"/>
      <c r="IF10" s="145"/>
      <c r="IG10" s="145"/>
      <c r="IH10" s="145"/>
      <c r="II10" s="145"/>
      <c r="IJ10" s="145"/>
      <c r="IK10" s="145"/>
      <c r="IL10" s="145"/>
      <c r="IM10" s="145"/>
      <c r="IN10" s="145"/>
      <c r="IO10" s="145"/>
      <c r="IP10" s="145"/>
      <c r="IQ10" s="145"/>
      <c r="IR10" s="145"/>
      <c r="IS10" s="145"/>
      <c r="IT10" s="145"/>
      <c r="IU10" s="145"/>
      <c r="IV10" s="145"/>
    </row>
    <row r="11" spans="1:14" ht="12.75">
      <c r="A11" s="30"/>
      <c r="B11" s="139" t="s">
        <v>587</v>
      </c>
      <c r="C11" s="140" t="s">
        <v>517</v>
      </c>
      <c r="D11" s="699"/>
      <c r="E11" s="700"/>
      <c r="F11" s="701">
        <v>18207950</v>
      </c>
      <c r="G11" s="699"/>
      <c r="H11" s="702"/>
      <c r="I11" s="702"/>
      <c r="J11" s="700"/>
      <c r="K11" s="701"/>
      <c r="L11" s="703">
        <f t="shared" si="0"/>
        <v>18207950</v>
      </c>
      <c r="M11" s="31"/>
      <c r="N11" s="196"/>
    </row>
    <row r="12" spans="1:14" ht="12.75">
      <c r="A12" s="30"/>
      <c r="B12" s="139" t="s">
        <v>588</v>
      </c>
      <c r="C12" s="140" t="s">
        <v>518</v>
      </c>
      <c r="D12" s="699"/>
      <c r="E12" s="700"/>
      <c r="F12" s="701">
        <v>30176000</v>
      </c>
      <c r="G12" s="699"/>
      <c r="H12" s="702"/>
      <c r="I12" s="702"/>
      <c r="J12" s="700"/>
      <c r="K12" s="701"/>
      <c r="L12" s="703">
        <f t="shared" si="0"/>
        <v>30176000</v>
      </c>
      <c r="M12" s="31"/>
      <c r="N12" s="196"/>
    </row>
    <row r="13" spans="1:14" ht="12.75">
      <c r="A13" s="30"/>
      <c r="B13" s="139" t="s">
        <v>589</v>
      </c>
      <c r="C13" s="140" t="s">
        <v>519</v>
      </c>
      <c r="D13" s="699"/>
      <c r="E13" s="700"/>
      <c r="F13" s="701">
        <v>100000</v>
      </c>
      <c r="G13" s="699"/>
      <c r="H13" s="702"/>
      <c r="I13" s="702"/>
      <c r="J13" s="700"/>
      <c r="K13" s="701"/>
      <c r="L13" s="703">
        <f t="shared" si="0"/>
        <v>100000</v>
      </c>
      <c r="M13" s="31"/>
      <c r="N13" s="196"/>
    </row>
    <row r="14" spans="1:14" ht="12.75">
      <c r="A14" s="30"/>
      <c r="B14" s="139" t="s">
        <v>590</v>
      </c>
      <c r="C14" s="140" t="s">
        <v>520</v>
      </c>
      <c r="D14" s="699"/>
      <c r="E14" s="700"/>
      <c r="F14" s="701">
        <v>15052370</v>
      </c>
      <c r="G14" s="699"/>
      <c r="H14" s="702"/>
      <c r="I14" s="702"/>
      <c r="J14" s="700"/>
      <c r="K14" s="701"/>
      <c r="L14" s="703">
        <f t="shared" si="0"/>
        <v>15052370</v>
      </c>
      <c r="M14" s="31"/>
      <c r="N14" s="196"/>
    </row>
    <row r="15" spans="1:256" ht="12.75">
      <c r="A15" s="141"/>
      <c r="B15" s="142" t="s">
        <v>591</v>
      </c>
      <c r="C15" s="146" t="s">
        <v>135</v>
      </c>
      <c r="D15" s="696"/>
      <c r="E15" s="694"/>
      <c r="F15" s="695">
        <v>13776653</v>
      </c>
      <c r="G15" s="696"/>
      <c r="H15" s="697"/>
      <c r="I15" s="697"/>
      <c r="J15" s="694"/>
      <c r="K15" s="695"/>
      <c r="L15" s="698">
        <f>F15+K15</f>
        <v>13776653</v>
      </c>
      <c r="M15" s="144"/>
      <c r="N15" s="196">
        <f>SUM(L15)</f>
        <v>13776653</v>
      </c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  <c r="DA15" s="145"/>
      <c r="DB15" s="145"/>
      <c r="DC15" s="145"/>
      <c r="DD15" s="145"/>
      <c r="DE15" s="145"/>
      <c r="DF15" s="145"/>
      <c r="DG15" s="145"/>
      <c r="DH15" s="145"/>
      <c r="DI15" s="145"/>
      <c r="DJ15" s="145"/>
      <c r="DK15" s="145"/>
      <c r="DL15" s="145"/>
      <c r="DM15" s="145"/>
      <c r="DN15" s="145"/>
      <c r="DO15" s="145"/>
      <c r="DP15" s="145"/>
      <c r="DQ15" s="145"/>
      <c r="DR15" s="145"/>
      <c r="DS15" s="145"/>
      <c r="DT15" s="145"/>
      <c r="DU15" s="145"/>
      <c r="DV15" s="145"/>
      <c r="DW15" s="145"/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5"/>
      <c r="EY15" s="145"/>
      <c r="EZ15" s="145"/>
      <c r="FA15" s="145"/>
      <c r="FB15" s="145"/>
      <c r="FC15" s="145"/>
      <c r="FD15" s="145"/>
      <c r="FE15" s="145"/>
      <c r="FF15" s="145"/>
      <c r="FG15" s="145"/>
      <c r="FH15" s="145"/>
      <c r="FI15" s="145"/>
      <c r="FJ15" s="145"/>
      <c r="FK15" s="145"/>
      <c r="FL15" s="145"/>
      <c r="FM15" s="145"/>
      <c r="FN15" s="145"/>
      <c r="FO15" s="145"/>
      <c r="FP15" s="145"/>
      <c r="FQ15" s="145"/>
      <c r="FR15" s="145"/>
      <c r="FS15" s="145"/>
      <c r="FT15" s="145"/>
      <c r="FU15" s="145"/>
      <c r="FV15" s="145"/>
      <c r="FW15" s="145"/>
      <c r="FX15" s="145"/>
      <c r="FY15" s="145"/>
      <c r="FZ15" s="145"/>
      <c r="GA15" s="145"/>
      <c r="GB15" s="145"/>
      <c r="GC15" s="145"/>
      <c r="GD15" s="145"/>
      <c r="GE15" s="145"/>
      <c r="GF15" s="145"/>
      <c r="GG15" s="145"/>
      <c r="GH15" s="145"/>
      <c r="GI15" s="145"/>
      <c r="GJ15" s="145"/>
      <c r="GK15" s="145"/>
      <c r="GL15" s="145"/>
      <c r="GM15" s="145"/>
      <c r="GN15" s="145"/>
      <c r="GO15" s="145"/>
      <c r="GP15" s="145"/>
      <c r="GQ15" s="145"/>
      <c r="GR15" s="145"/>
      <c r="GS15" s="145"/>
      <c r="GT15" s="145"/>
      <c r="GU15" s="145"/>
      <c r="GV15" s="145"/>
      <c r="GW15" s="145"/>
      <c r="GX15" s="145"/>
      <c r="GY15" s="145"/>
      <c r="GZ15" s="145"/>
      <c r="HA15" s="145"/>
      <c r="HB15" s="145"/>
      <c r="HC15" s="145"/>
      <c r="HD15" s="145"/>
      <c r="HE15" s="145"/>
      <c r="HF15" s="145"/>
      <c r="HG15" s="145"/>
      <c r="HH15" s="145"/>
      <c r="HI15" s="145"/>
      <c r="HJ15" s="145"/>
      <c r="HK15" s="145"/>
      <c r="HL15" s="145"/>
      <c r="HM15" s="145"/>
      <c r="HN15" s="145"/>
      <c r="HO15" s="145"/>
      <c r="HP15" s="145"/>
      <c r="HQ15" s="145"/>
      <c r="HR15" s="145"/>
      <c r="HS15" s="145"/>
      <c r="HT15" s="145"/>
      <c r="HU15" s="145"/>
      <c r="HV15" s="145"/>
      <c r="HW15" s="145"/>
      <c r="HX15" s="145"/>
      <c r="HY15" s="145"/>
      <c r="HZ15" s="145"/>
      <c r="IA15" s="145"/>
      <c r="IB15" s="145"/>
      <c r="IC15" s="145"/>
      <c r="ID15" s="145"/>
      <c r="IE15" s="145"/>
      <c r="IF15" s="145"/>
      <c r="IG15" s="145"/>
      <c r="IH15" s="145"/>
      <c r="II15" s="145"/>
      <c r="IJ15" s="145"/>
      <c r="IK15" s="145"/>
      <c r="IL15" s="145"/>
      <c r="IM15" s="145"/>
      <c r="IN15" s="145"/>
      <c r="IO15" s="145"/>
      <c r="IP15" s="145"/>
      <c r="IQ15" s="145"/>
      <c r="IR15" s="145"/>
      <c r="IS15" s="145"/>
      <c r="IT15" s="145"/>
      <c r="IU15" s="145"/>
      <c r="IV15" s="145"/>
    </row>
    <row r="16" spans="1:256" ht="12.75">
      <c r="A16" s="141"/>
      <c r="B16" s="142" t="s">
        <v>592</v>
      </c>
      <c r="C16" s="146" t="s">
        <v>107</v>
      </c>
      <c r="D16" s="696">
        <v>300</v>
      </c>
      <c r="E16" s="694">
        <v>2550</v>
      </c>
      <c r="F16" s="695">
        <f>D16*E16</f>
        <v>765000</v>
      </c>
      <c r="G16" s="696"/>
      <c r="H16" s="697"/>
      <c r="I16" s="697"/>
      <c r="J16" s="694"/>
      <c r="K16" s="695"/>
      <c r="L16" s="698">
        <f>F16+K16</f>
        <v>765000</v>
      </c>
      <c r="M16" s="144"/>
      <c r="N16" s="196">
        <f>SUM(L16)</f>
        <v>765000</v>
      </c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5"/>
      <c r="CK16" s="145"/>
      <c r="CL16" s="145"/>
      <c r="CM16" s="145"/>
      <c r="CN16" s="145"/>
      <c r="CO16" s="145"/>
      <c r="CP16" s="145"/>
      <c r="CQ16" s="145"/>
      <c r="CR16" s="145"/>
      <c r="CS16" s="145"/>
      <c r="CT16" s="145"/>
      <c r="CU16" s="145"/>
      <c r="CV16" s="145"/>
      <c r="CW16" s="145"/>
      <c r="CX16" s="145"/>
      <c r="CY16" s="145"/>
      <c r="CZ16" s="145"/>
      <c r="DA16" s="145"/>
      <c r="DB16" s="145"/>
      <c r="DC16" s="145"/>
      <c r="DD16" s="145"/>
      <c r="DE16" s="145"/>
      <c r="DF16" s="145"/>
      <c r="DG16" s="145"/>
      <c r="DH16" s="145"/>
      <c r="DI16" s="145"/>
      <c r="DJ16" s="145"/>
      <c r="DK16" s="145"/>
      <c r="DL16" s="145"/>
      <c r="DM16" s="145"/>
      <c r="DN16" s="145"/>
      <c r="DO16" s="145"/>
      <c r="DP16" s="145"/>
      <c r="DQ16" s="145"/>
      <c r="DR16" s="145"/>
      <c r="DS16" s="145"/>
      <c r="DT16" s="145"/>
      <c r="DU16" s="145"/>
      <c r="DV16" s="145"/>
      <c r="DW16" s="145"/>
      <c r="DX16" s="145"/>
      <c r="DY16" s="145"/>
      <c r="DZ16" s="145"/>
      <c r="EA16" s="145"/>
      <c r="EB16" s="145"/>
      <c r="EC16" s="145"/>
      <c r="ED16" s="145"/>
      <c r="EE16" s="145"/>
      <c r="EF16" s="145"/>
      <c r="EG16" s="145"/>
      <c r="EH16" s="145"/>
      <c r="EI16" s="145"/>
      <c r="EJ16" s="145"/>
      <c r="EK16" s="145"/>
      <c r="EL16" s="145"/>
      <c r="EM16" s="145"/>
      <c r="EN16" s="145"/>
      <c r="EO16" s="145"/>
      <c r="EP16" s="145"/>
      <c r="EQ16" s="145"/>
      <c r="ER16" s="145"/>
      <c r="ES16" s="145"/>
      <c r="ET16" s="145"/>
      <c r="EU16" s="145"/>
      <c r="EV16" s="145"/>
      <c r="EW16" s="145"/>
      <c r="EX16" s="145"/>
      <c r="EY16" s="145"/>
      <c r="EZ16" s="145"/>
      <c r="FA16" s="145"/>
      <c r="FB16" s="145"/>
      <c r="FC16" s="145"/>
      <c r="FD16" s="145"/>
      <c r="FE16" s="145"/>
      <c r="FF16" s="145"/>
      <c r="FG16" s="145"/>
      <c r="FH16" s="145"/>
      <c r="FI16" s="145"/>
      <c r="FJ16" s="145"/>
      <c r="FK16" s="145"/>
      <c r="FL16" s="145"/>
      <c r="FM16" s="145"/>
      <c r="FN16" s="145"/>
      <c r="FO16" s="145"/>
      <c r="FP16" s="145"/>
      <c r="FQ16" s="145"/>
      <c r="FR16" s="145"/>
      <c r="FS16" s="145"/>
      <c r="FT16" s="145"/>
      <c r="FU16" s="145"/>
      <c r="FV16" s="145"/>
      <c r="FW16" s="145"/>
      <c r="FX16" s="145"/>
      <c r="FY16" s="145"/>
      <c r="FZ16" s="145"/>
      <c r="GA16" s="145"/>
      <c r="GB16" s="145"/>
      <c r="GC16" s="145"/>
      <c r="GD16" s="145"/>
      <c r="GE16" s="145"/>
      <c r="GF16" s="145"/>
      <c r="GG16" s="145"/>
      <c r="GH16" s="145"/>
      <c r="GI16" s="145"/>
      <c r="GJ16" s="145"/>
      <c r="GK16" s="145"/>
      <c r="GL16" s="145"/>
      <c r="GM16" s="145"/>
      <c r="GN16" s="145"/>
      <c r="GO16" s="145"/>
      <c r="GP16" s="145"/>
      <c r="GQ16" s="145"/>
      <c r="GR16" s="145"/>
      <c r="GS16" s="145"/>
      <c r="GT16" s="145"/>
      <c r="GU16" s="145"/>
      <c r="GV16" s="145"/>
      <c r="GW16" s="145"/>
      <c r="GX16" s="145"/>
      <c r="GY16" s="145"/>
      <c r="GZ16" s="145"/>
      <c r="HA16" s="145"/>
      <c r="HB16" s="145"/>
      <c r="HC16" s="145"/>
      <c r="HD16" s="145"/>
      <c r="HE16" s="145"/>
      <c r="HF16" s="145"/>
      <c r="HG16" s="145"/>
      <c r="HH16" s="145"/>
      <c r="HI16" s="145"/>
      <c r="HJ16" s="145"/>
      <c r="HK16" s="145"/>
      <c r="HL16" s="145"/>
      <c r="HM16" s="145"/>
      <c r="HN16" s="145"/>
      <c r="HO16" s="145"/>
      <c r="HP16" s="145"/>
      <c r="HQ16" s="145"/>
      <c r="HR16" s="145"/>
      <c r="HS16" s="145"/>
      <c r="HT16" s="145"/>
      <c r="HU16" s="145"/>
      <c r="HV16" s="145"/>
      <c r="HW16" s="145"/>
      <c r="HX16" s="145"/>
      <c r="HY16" s="145"/>
      <c r="HZ16" s="145"/>
      <c r="IA16" s="145"/>
      <c r="IB16" s="145"/>
      <c r="IC16" s="145"/>
      <c r="ID16" s="145"/>
      <c r="IE16" s="145"/>
      <c r="IF16" s="145"/>
      <c r="IG16" s="145"/>
      <c r="IH16" s="145"/>
      <c r="II16" s="145"/>
      <c r="IJ16" s="145"/>
      <c r="IK16" s="145"/>
      <c r="IL16" s="145"/>
      <c r="IM16" s="145"/>
      <c r="IN16" s="145"/>
      <c r="IO16" s="145"/>
      <c r="IP16" s="145"/>
      <c r="IQ16" s="145"/>
      <c r="IR16" s="145"/>
      <c r="IS16" s="145"/>
      <c r="IT16" s="145"/>
      <c r="IU16" s="145"/>
      <c r="IV16" s="145"/>
    </row>
    <row r="17" spans="1:256" ht="12.75">
      <c r="A17" s="141"/>
      <c r="B17" s="142" t="s">
        <v>593</v>
      </c>
      <c r="C17" s="146" t="s">
        <v>727</v>
      </c>
      <c r="D17" s="696"/>
      <c r="E17" s="694"/>
      <c r="F17" s="695">
        <v>275336</v>
      </c>
      <c r="G17" s="696"/>
      <c r="H17" s="697"/>
      <c r="I17" s="697"/>
      <c r="J17" s="694"/>
      <c r="K17" s="695"/>
      <c r="L17" s="698">
        <f>F17+K17</f>
        <v>275336</v>
      </c>
      <c r="M17" s="144"/>
      <c r="N17" s="196">
        <f>SUM(L17)</f>
        <v>275336</v>
      </c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145"/>
      <c r="CI17" s="145"/>
      <c r="CJ17" s="145"/>
      <c r="CK17" s="145"/>
      <c r="CL17" s="145"/>
      <c r="CM17" s="145"/>
      <c r="CN17" s="145"/>
      <c r="CO17" s="145"/>
      <c r="CP17" s="145"/>
      <c r="CQ17" s="145"/>
      <c r="CR17" s="145"/>
      <c r="CS17" s="145"/>
      <c r="CT17" s="145"/>
      <c r="CU17" s="145"/>
      <c r="CV17" s="145"/>
      <c r="CW17" s="145"/>
      <c r="CX17" s="145"/>
      <c r="CY17" s="145"/>
      <c r="CZ17" s="145"/>
      <c r="DA17" s="145"/>
      <c r="DB17" s="145"/>
      <c r="DC17" s="145"/>
      <c r="DD17" s="145"/>
      <c r="DE17" s="145"/>
      <c r="DF17" s="145"/>
      <c r="DG17" s="145"/>
      <c r="DH17" s="145"/>
      <c r="DI17" s="145"/>
      <c r="DJ17" s="145"/>
      <c r="DK17" s="145"/>
      <c r="DL17" s="145"/>
      <c r="DM17" s="145"/>
      <c r="DN17" s="145"/>
      <c r="DO17" s="145"/>
      <c r="DP17" s="145"/>
      <c r="DQ17" s="145"/>
      <c r="DR17" s="145"/>
      <c r="DS17" s="145"/>
      <c r="DT17" s="145"/>
      <c r="DU17" s="145"/>
      <c r="DV17" s="145"/>
      <c r="DW17" s="145"/>
      <c r="DX17" s="145"/>
      <c r="DY17" s="145"/>
      <c r="DZ17" s="145"/>
      <c r="EA17" s="145"/>
      <c r="EB17" s="145"/>
      <c r="EC17" s="145"/>
      <c r="ED17" s="145"/>
      <c r="EE17" s="145"/>
      <c r="EF17" s="145"/>
      <c r="EG17" s="145"/>
      <c r="EH17" s="145"/>
      <c r="EI17" s="145"/>
      <c r="EJ17" s="145"/>
      <c r="EK17" s="145"/>
      <c r="EL17" s="145"/>
      <c r="EM17" s="145"/>
      <c r="EN17" s="145"/>
      <c r="EO17" s="145"/>
      <c r="EP17" s="145"/>
      <c r="EQ17" s="145"/>
      <c r="ER17" s="145"/>
      <c r="ES17" s="145"/>
      <c r="ET17" s="145"/>
      <c r="EU17" s="145"/>
      <c r="EV17" s="145"/>
      <c r="EW17" s="145"/>
      <c r="EX17" s="145"/>
      <c r="EY17" s="145"/>
      <c r="EZ17" s="145"/>
      <c r="FA17" s="145"/>
      <c r="FB17" s="145"/>
      <c r="FC17" s="145"/>
      <c r="FD17" s="145"/>
      <c r="FE17" s="145"/>
      <c r="FF17" s="145"/>
      <c r="FG17" s="145"/>
      <c r="FH17" s="145"/>
      <c r="FI17" s="145"/>
      <c r="FJ17" s="145"/>
      <c r="FK17" s="145"/>
      <c r="FL17" s="145"/>
      <c r="FM17" s="145"/>
      <c r="FN17" s="145"/>
      <c r="FO17" s="145"/>
      <c r="FP17" s="145"/>
      <c r="FQ17" s="145"/>
      <c r="FR17" s="145"/>
      <c r="FS17" s="145"/>
      <c r="FT17" s="145"/>
      <c r="FU17" s="145"/>
      <c r="FV17" s="145"/>
      <c r="FW17" s="145"/>
      <c r="FX17" s="145"/>
      <c r="FY17" s="145"/>
      <c r="FZ17" s="145"/>
      <c r="GA17" s="145"/>
      <c r="GB17" s="145"/>
      <c r="GC17" s="145"/>
      <c r="GD17" s="145"/>
      <c r="GE17" s="145"/>
      <c r="GF17" s="145"/>
      <c r="GG17" s="145"/>
      <c r="GH17" s="145"/>
      <c r="GI17" s="145"/>
      <c r="GJ17" s="145"/>
      <c r="GK17" s="145"/>
      <c r="GL17" s="145"/>
      <c r="GM17" s="145"/>
      <c r="GN17" s="145"/>
      <c r="GO17" s="145"/>
      <c r="GP17" s="145"/>
      <c r="GQ17" s="145"/>
      <c r="GR17" s="145"/>
      <c r="GS17" s="145"/>
      <c r="GT17" s="145"/>
      <c r="GU17" s="145"/>
      <c r="GV17" s="145"/>
      <c r="GW17" s="145"/>
      <c r="GX17" s="145"/>
      <c r="GY17" s="145"/>
      <c r="GZ17" s="145"/>
      <c r="HA17" s="145"/>
      <c r="HB17" s="145"/>
      <c r="HC17" s="145"/>
      <c r="HD17" s="145"/>
      <c r="HE17" s="145"/>
      <c r="HF17" s="145"/>
      <c r="HG17" s="145"/>
      <c r="HH17" s="145"/>
      <c r="HI17" s="145"/>
      <c r="HJ17" s="145"/>
      <c r="HK17" s="145"/>
      <c r="HL17" s="145"/>
      <c r="HM17" s="145"/>
      <c r="HN17" s="145"/>
      <c r="HO17" s="145"/>
      <c r="HP17" s="145"/>
      <c r="HQ17" s="145"/>
      <c r="HR17" s="145"/>
      <c r="HS17" s="145"/>
      <c r="HT17" s="145"/>
      <c r="HU17" s="145"/>
      <c r="HV17" s="145"/>
      <c r="HW17" s="145"/>
      <c r="HX17" s="145"/>
      <c r="HY17" s="145"/>
      <c r="HZ17" s="145"/>
      <c r="IA17" s="145"/>
      <c r="IB17" s="145"/>
      <c r="IC17" s="145"/>
      <c r="ID17" s="145"/>
      <c r="IE17" s="145"/>
      <c r="IF17" s="145"/>
      <c r="IG17" s="145"/>
      <c r="IH17" s="145"/>
      <c r="II17" s="145"/>
      <c r="IJ17" s="145"/>
      <c r="IK17" s="145"/>
      <c r="IL17" s="145"/>
      <c r="IM17" s="145"/>
      <c r="IN17" s="145"/>
      <c r="IO17" s="145"/>
      <c r="IP17" s="145"/>
      <c r="IQ17" s="145"/>
      <c r="IR17" s="145"/>
      <c r="IS17" s="145"/>
      <c r="IT17" s="145"/>
      <c r="IU17" s="145"/>
      <c r="IV17" s="145"/>
    </row>
    <row r="18" spans="1:14" ht="12.75">
      <c r="A18" s="150" t="s">
        <v>521</v>
      </c>
      <c r="B18" s="157"/>
      <c r="C18" s="152" t="s">
        <v>136</v>
      </c>
      <c r="D18" s="704"/>
      <c r="E18" s="705"/>
      <c r="F18" s="155"/>
      <c r="G18" s="704"/>
      <c r="H18" s="706"/>
      <c r="I18" s="706"/>
      <c r="J18" s="705"/>
      <c r="K18" s="155">
        <f>K19+K25+K26+K27</f>
        <v>126843602</v>
      </c>
      <c r="L18" s="173">
        <f>F18+K18</f>
        <v>126843602</v>
      </c>
      <c r="M18" s="31"/>
      <c r="N18" s="175">
        <f>SUM(N25:N27,N24+N23+N19)</f>
        <v>126843602</v>
      </c>
    </row>
    <row r="19" spans="1:256" ht="25.5">
      <c r="A19" s="149"/>
      <c r="B19" s="142" t="s">
        <v>523</v>
      </c>
      <c r="C19" s="143" t="s">
        <v>137</v>
      </c>
      <c r="D19" s="696"/>
      <c r="E19" s="694"/>
      <c r="F19" s="695"/>
      <c r="G19" s="696"/>
      <c r="H19" s="697"/>
      <c r="I19" s="697"/>
      <c r="J19" s="694"/>
      <c r="K19" s="695">
        <f>SUM(K20:K24)</f>
        <v>106074369</v>
      </c>
      <c r="L19" s="698">
        <f>SUM(K19,F19)</f>
        <v>106074369</v>
      </c>
      <c r="M19" s="144"/>
      <c r="N19" s="196">
        <f>SUM(L20:L24)</f>
        <v>106074369</v>
      </c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5"/>
      <c r="CG19" s="145"/>
      <c r="CH19" s="145"/>
      <c r="CI19" s="145"/>
      <c r="CJ19" s="145"/>
      <c r="CK19" s="145"/>
      <c r="CL19" s="145"/>
      <c r="CM19" s="145"/>
      <c r="CN19" s="145"/>
      <c r="CO19" s="145"/>
      <c r="CP19" s="145"/>
      <c r="CQ19" s="145"/>
      <c r="CR19" s="145"/>
      <c r="CS19" s="145"/>
      <c r="CT19" s="145"/>
      <c r="CU19" s="145"/>
      <c r="CV19" s="145"/>
      <c r="CW19" s="145"/>
      <c r="CX19" s="145"/>
      <c r="CY19" s="145"/>
      <c r="CZ19" s="145"/>
      <c r="DA19" s="145"/>
      <c r="DB19" s="145"/>
      <c r="DC19" s="145"/>
      <c r="DD19" s="145"/>
      <c r="DE19" s="145"/>
      <c r="DF19" s="145"/>
      <c r="DG19" s="145"/>
      <c r="DH19" s="145"/>
      <c r="DI19" s="145"/>
      <c r="DJ19" s="145"/>
      <c r="DK19" s="145"/>
      <c r="DL19" s="145"/>
      <c r="DM19" s="145"/>
      <c r="DN19" s="145"/>
      <c r="DO19" s="145"/>
      <c r="DP19" s="145"/>
      <c r="DQ19" s="145"/>
      <c r="DR19" s="145"/>
      <c r="DS19" s="145"/>
      <c r="DT19" s="145"/>
      <c r="DU19" s="145"/>
      <c r="DV19" s="145"/>
      <c r="DW19" s="145"/>
      <c r="DX19" s="145"/>
      <c r="DY19" s="145"/>
      <c r="DZ19" s="145"/>
      <c r="EA19" s="145"/>
      <c r="EB19" s="145"/>
      <c r="EC19" s="145"/>
      <c r="ED19" s="145"/>
      <c r="EE19" s="145"/>
      <c r="EF19" s="145"/>
      <c r="EG19" s="145"/>
      <c r="EH19" s="145"/>
      <c r="EI19" s="145"/>
      <c r="EJ19" s="145"/>
      <c r="EK19" s="145"/>
      <c r="EL19" s="145"/>
      <c r="EM19" s="145"/>
      <c r="EN19" s="145"/>
      <c r="EO19" s="145"/>
      <c r="EP19" s="145"/>
      <c r="EQ19" s="145"/>
      <c r="ER19" s="145"/>
      <c r="ES19" s="145"/>
      <c r="ET19" s="145"/>
      <c r="EU19" s="145"/>
      <c r="EV19" s="145"/>
      <c r="EW19" s="145"/>
      <c r="EX19" s="145"/>
      <c r="EY19" s="145"/>
      <c r="EZ19" s="145"/>
      <c r="FA19" s="145"/>
      <c r="FB19" s="145"/>
      <c r="FC19" s="145"/>
      <c r="FD19" s="145"/>
      <c r="FE19" s="145"/>
      <c r="FF19" s="145"/>
      <c r="FG19" s="145"/>
      <c r="FH19" s="145"/>
      <c r="FI19" s="145"/>
      <c r="FJ19" s="145"/>
      <c r="FK19" s="145"/>
      <c r="FL19" s="145"/>
      <c r="FM19" s="145"/>
      <c r="FN19" s="145"/>
      <c r="FO19" s="145"/>
      <c r="FP19" s="145"/>
      <c r="FQ19" s="145"/>
      <c r="FR19" s="145"/>
      <c r="FS19" s="145"/>
      <c r="FT19" s="145"/>
      <c r="FU19" s="145"/>
      <c r="FV19" s="145"/>
      <c r="FW19" s="145"/>
      <c r="FX19" s="145"/>
      <c r="FY19" s="145"/>
      <c r="FZ19" s="145"/>
      <c r="GA19" s="145"/>
      <c r="GB19" s="145"/>
      <c r="GC19" s="145"/>
      <c r="GD19" s="145"/>
      <c r="GE19" s="145"/>
      <c r="GF19" s="145"/>
      <c r="GG19" s="145"/>
      <c r="GH19" s="145"/>
      <c r="GI19" s="145"/>
      <c r="GJ19" s="145"/>
      <c r="GK19" s="145"/>
      <c r="GL19" s="145"/>
      <c r="GM19" s="145"/>
      <c r="GN19" s="145"/>
      <c r="GO19" s="145"/>
      <c r="GP19" s="145"/>
      <c r="GQ19" s="145"/>
      <c r="GR19" s="145"/>
      <c r="GS19" s="145"/>
      <c r="GT19" s="145"/>
      <c r="GU19" s="145"/>
      <c r="GV19" s="145"/>
      <c r="GW19" s="145"/>
      <c r="GX19" s="145"/>
      <c r="GY19" s="145"/>
      <c r="GZ19" s="145"/>
      <c r="HA19" s="145"/>
      <c r="HB19" s="145"/>
      <c r="HC19" s="145"/>
      <c r="HD19" s="145"/>
      <c r="HE19" s="145"/>
      <c r="HF19" s="145"/>
      <c r="HG19" s="145"/>
      <c r="HH19" s="145"/>
      <c r="HI19" s="145"/>
      <c r="HJ19" s="145"/>
      <c r="HK19" s="145"/>
      <c r="HL19" s="145"/>
      <c r="HM19" s="145"/>
      <c r="HN19" s="145"/>
      <c r="HO19" s="145"/>
      <c r="HP19" s="145"/>
      <c r="HQ19" s="145"/>
      <c r="HR19" s="145"/>
      <c r="HS19" s="145"/>
      <c r="HT19" s="145"/>
      <c r="HU19" s="145"/>
      <c r="HV19" s="145"/>
      <c r="HW19" s="145"/>
      <c r="HX19" s="145"/>
      <c r="HY19" s="145"/>
      <c r="HZ19" s="145"/>
      <c r="IA19" s="145"/>
      <c r="IB19" s="145"/>
      <c r="IC19" s="145"/>
      <c r="ID19" s="145"/>
      <c r="IE19" s="145"/>
      <c r="IF19" s="145"/>
      <c r="IG19" s="145"/>
      <c r="IH19" s="145"/>
      <c r="II19" s="145"/>
      <c r="IJ19" s="145"/>
      <c r="IK19" s="145"/>
      <c r="IL19" s="145"/>
      <c r="IM19" s="145"/>
      <c r="IN19" s="145"/>
      <c r="IO19" s="145"/>
      <c r="IP19" s="145"/>
      <c r="IQ19" s="145"/>
      <c r="IR19" s="145"/>
      <c r="IS19" s="145"/>
      <c r="IT19" s="145"/>
      <c r="IU19" s="145"/>
      <c r="IV19" s="145"/>
    </row>
    <row r="20" spans="1:14" ht="12.75">
      <c r="A20" s="30"/>
      <c r="B20" s="139" t="s">
        <v>525</v>
      </c>
      <c r="C20" s="140" t="s">
        <v>524</v>
      </c>
      <c r="D20" s="699"/>
      <c r="E20" s="700"/>
      <c r="F20" s="701"/>
      <c r="G20" s="707">
        <v>18.7</v>
      </c>
      <c r="H20" s="702">
        <v>4469900</v>
      </c>
      <c r="I20" s="708">
        <v>14.9</v>
      </c>
      <c r="J20" s="702">
        <v>4469900</v>
      </c>
      <c r="K20" s="701">
        <f>55724753+22200503</f>
        <v>77925256</v>
      </c>
      <c r="L20" s="703">
        <f aca="true" t="shared" si="1" ref="L20:L42">F20+K20</f>
        <v>77925256</v>
      </c>
      <c r="M20" s="31"/>
      <c r="N20" s="196"/>
    </row>
    <row r="21" spans="1:14" ht="25.5">
      <c r="A21" s="30"/>
      <c r="B21" s="139" t="s">
        <v>526</v>
      </c>
      <c r="C21" s="179" t="s">
        <v>660</v>
      </c>
      <c r="D21" s="699"/>
      <c r="E21" s="700"/>
      <c r="F21" s="701"/>
      <c r="G21" s="699">
        <v>14</v>
      </c>
      <c r="H21" s="702">
        <v>1800000</v>
      </c>
      <c r="I21" s="702">
        <v>13</v>
      </c>
      <c r="J21" s="700">
        <v>1800000</v>
      </c>
      <c r="K21" s="701">
        <f>16800000+7800000</f>
        <v>24600000</v>
      </c>
      <c r="L21" s="703">
        <f t="shared" si="1"/>
        <v>24600000</v>
      </c>
      <c r="M21" s="31"/>
      <c r="N21" s="196"/>
    </row>
    <row r="22" spans="1:14" ht="25.5">
      <c r="A22" s="30"/>
      <c r="B22" s="139" t="s">
        <v>138</v>
      </c>
      <c r="C22" s="179" t="s">
        <v>659</v>
      </c>
      <c r="D22" s="699"/>
      <c r="E22" s="700"/>
      <c r="F22" s="701"/>
      <c r="G22" s="699">
        <v>1</v>
      </c>
      <c r="H22" s="702">
        <v>4469900</v>
      </c>
      <c r="I22" s="702">
        <v>0</v>
      </c>
      <c r="J22" s="700">
        <v>4469900</v>
      </c>
      <c r="K22" s="701">
        <f>2979933+0</f>
        <v>2979933</v>
      </c>
      <c r="L22" s="703">
        <f t="shared" si="1"/>
        <v>2979933</v>
      </c>
      <c r="M22" s="31"/>
      <c r="N22" s="196"/>
    </row>
    <row r="23" spans="1:14" ht="12.75">
      <c r="A23" s="30"/>
      <c r="B23" s="139" t="s">
        <v>656</v>
      </c>
      <c r="C23" s="179" t="s">
        <v>657</v>
      </c>
      <c r="D23" s="699"/>
      <c r="E23" s="700"/>
      <c r="F23" s="701"/>
      <c r="G23" s="699"/>
      <c r="H23" s="702"/>
      <c r="I23" s="708">
        <v>14.9</v>
      </c>
      <c r="J23" s="700">
        <v>38200</v>
      </c>
      <c r="K23" s="701">
        <f>I23*J23</f>
        <v>569180</v>
      </c>
      <c r="L23" s="703">
        <f t="shared" si="1"/>
        <v>569180</v>
      </c>
      <c r="M23" s="31"/>
      <c r="N23" s="196"/>
    </row>
    <row r="24" spans="1:14" ht="25.5">
      <c r="A24" s="30"/>
      <c r="B24" s="139" t="s">
        <v>656</v>
      </c>
      <c r="C24" s="179" t="s">
        <v>658</v>
      </c>
      <c r="D24" s="699"/>
      <c r="E24" s="700"/>
      <c r="F24" s="701"/>
      <c r="G24" s="699"/>
      <c r="H24" s="702"/>
      <c r="I24" s="708">
        <v>0</v>
      </c>
      <c r="J24" s="700">
        <v>35000</v>
      </c>
      <c r="K24" s="701">
        <f>I24*J24</f>
        <v>0</v>
      </c>
      <c r="L24" s="703">
        <f t="shared" si="1"/>
        <v>0</v>
      </c>
      <c r="M24" s="31"/>
      <c r="N24" s="196"/>
    </row>
    <row r="25" spans="1:256" ht="12.75">
      <c r="A25" s="141"/>
      <c r="B25" s="142" t="s">
        <v>527</v>
      </c>
      <c r="C25" s="146" t="s">
        <v>528</v>
      </c>
      <c r="D25" s="709"/>
      <c r="E25" s="710"/>
      <c r="F25" s="695"/>
      <c r="G25" s="711">
        <v>200</v>
      </c>
      <c r="H25" s="697">
        <v>81700</v>
      </c>
      <c r="I25" s="712">
        <v>168</v>
      </c>
      <c r="J25" s="694">
        <v>81700</v>
      </c>
      <c r="K25" s="695">
        <f>10893333+4575200</f>
        <v>15468533</v>
      </c>
      <c r="L25" s="698">
        <f t="shared" si="1"/>
        <v>15468533</v>
      </c>
      <c r="M25" s="144"/>
      <c r="N25" s="196">
        <f>SUM(L25)</f>
        <v>15468533</v>
      </c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5"/>
      <c r="CD25" s="145"/>
      <c r="CE25" s="145"/>
      <c r="CF25" s="145"/>
      <c r="CG25" s="145"/>
      <c r="CH25" s="145"/>
      <c r="CI25" s="145"/>
      <c r="CJ25" s="145"/>
      <c r="CK25" s="145"/>
      <c r="CL25" s="145"/>
      <c r="CM25" s="145"/>
      <c r="CN25" s="145"/>
      <c r="CO25" s="145"/>
      <c r="CP25" s="145"/>
      <c r="CQ25" s="145"/>
      <c r="CR25" s="145"/>
      <c r="CS25" s="145"/>
      <c r="CT25" s="145"/>
      <c r="CU25" s="145"/>
      <c r="CV25" s="145"/>
      <c r="CW25" s="145"/>
      <c r="CX25" s="145"/>
      <c r="CY25" s="145"/>
      <c r="CZ25" s="145"/>
      <c r="DA25" s="145"/>
      <c r="DB25" s="145"/>
      <c r="DC25" s="145"/>
      <c r="DD25" s="145"/>
      <c r="DE25" s="145"/>
      <c r="DF25" s="145"/>
      <c r="DG25" s="145"/>
      <c r="DH25" s="145"/>
      <c r="DI25" s="145"/>
      <c r="DJ25" s="145"/>
      <c r="DK25" s="145"/>
      <c r="DL25" s="145"/>
      <c r="DM25" s="145"/>
      <c r="DN25" s="145"/>
      <c r="DO25" s="145"/>
      <c r="DP25" s="145"/>
      <c r="DQ25" s="145"/>
      <c r="DR25" s="145"/>
      <c r="DS25" s="145"/>
      <c r="DT25" s="145"/>
      <c r="DU25" s="145"/>
      <c r="DV25" s="145"/>
      <c r="DW25" s="145"/>
      <c r="DX25" s="145"/>
      <c r="DY25" s="145"/>
      <c r="DZ25" s="145"/>
      <c r="EA25" s="145"/>
      <c r="EB25" s="145"/>
      <c r="EC25" s="145"/>
      <c r="ED25" s="145"/>
      <c r="EE25" s="145"/>
      <c r="EF25" s="145"/>
      <c r="EG25" s="145"/>
      <c r="EH25" s="145"/>
      <c r="EI25" s="145"/>
      <c r="EJ25" s="145"/>
      <c r="EK25" s="145"/>
      <c r="EL25" s="145"/>
      <c r="EM25" s="145"/>
      <c r="EN25" s="145"/>
      <c r="EO25" s="145"/>
      <c r="EP25" s="145"/>
      <c r="EQ25" s="145"/>
      <c r="ER25" s="145"/>
      <c r="ES25" s="145"/>
      <c r="ET25" s="145"/>
      <c r="EU25" s="145"/>
      <c r="EV25" s="145"/>
      <c r="EW25" s="145"/>
      <c r="EX25" s="145"/>
      <c r="EY25" s="145"/>
      <c r="EZ25" s="145"/>
      <c r="FA25" s="145"/>
      <c r="FB25" s="145"/>
      <c r="FC25" s="145"/>
      <c r="FD25" s="145"/>
      <c r="FE25" s="145"/>
      <c r="FF25" s="145"/>
      <c r="FG25" s="145"/>
      <c r="FH25" s="145"/>
      <c r="FI25" s="145"/>
      <c r="FJ25" s="145"/>
      <c r="FK25" s="145"/>
      <c r="FL25" s="145"/>
      <c r="FM25" s="145"/>
      <c r="FN25" s="145"/>
      <c r="FO25" s="145"/>
      <c r="FP25" s="145"/>
      <c r="FQ25" s="145"/>
      <c r="FR25" s="145"/>
      <c r="FS25" s="145"/>
      <c r="FT25" s="145"/>
      <c r="FU25" s="145"/>
      <c r="FV25" s="145"/>
      <c r="FW25" s="145"/>
      <c r="FX25" s="145"/>
      <c r="FY25" s="145"/>
      <c r="FZ25" s="145"/>
      <c r="GA25" s="145"/>
      <c r="GB25" s="145"/>
      <c r="GC25" s="145"/>
      <c r="GD25" s="145"/>
      <c r="GE25" s="145"/>
      <c r="GF25" s="145"/>
      <c r="GG25" s="145"/>
      <c r="GH25" s="145"/>
      <c r="GI25" s="145"/>
      <c r="GJ25" s="145"/>
      <c r="GK25" s="145"/>
      <c r="GL25" s="145"/>
      <c r="GM25" s="145"/>
      <c r="GN25" s="145"/>
      <c r="GO25" s="145"/>
      <c r="GP25" s="145"/>
      <c r="GQ25" s="145"/>
      <c r="GR25" s="145"/>
      <c r="GS25" s="145"/>
      <c r="GT25" s="145"/>
      <c r="GU25" s="145"/>
      <c r="GV25" s="145"/>
      <c r="GW25" s="145"/>
      <c r="GX25" s="145"/>
      <c r="GY25" s="145"/>
      <c r="GZ25" s="145"/>
      <c r="HA25" s="145"/>
      <c r="HB25" s="145"/>
      <c r="HC25" s="145"/>
      <c r="HD25" s="145"/>
      <c r="HE25" s="145"/>
      <c r="HF25" s="145"/>
      <c r="HG25" s="145"/>
      <c r="HH25" s="145"/>
      <c r="HI25" s="145"/>
      <c r="HJ25" s="145"/>
      <c r="HK25" s="145"/>
      <c r="HL25" s="145"/>
      <c r="HM25" s="145"/>
      <c r="HN25" s="145"/>
      <c r="HO25" s="145"/>
      <c r="HP25" s="145"/>
      <c r="HQ25" s="145"/>
      <c r="HR25" s="145"/>
      <c r="HS25" s="145"/>
      <c r="HT25" s="145"/>
      <c r="HU25" s="145"/>
      <c r="HV25" s="145"/>
      <c r="HW25" s="145"/>
      <c r="HX25" s="145"/>
      <c r="HY25" s="145"/>
      <c r="HZ25" s="145"/>
      <c r="IA25" s="145"/>
      <c r="IB25" s="145"/>
      <c r="IC25" s="145"/>
      <c r="ID25" s="145"/>
      <c r="IE25" s="145"/>
      <c r="IF25" s="145"/>
      <c r="IG25" s="145"/>
      <c r="IH25" s="145"/>
      <c r="II25" s="145"/>
      <c r="IJ25" s="145"/>
      <c r="IK25" s="145"/>
      <c r="IL25" s="145"/>
      <c r="IM25" s="145"/>
      <c r="IN25" s="145"/>
      <c r="IO25" s="145"/>
      <c r="IP25" s="145"/>
      <c r="IQ25" s="145"/>
      <c r="IR25" s="145"/>
      <c r="IS25" s="145"/>
      <c r="IT25" s="145"/>
      <c r="IU25" s="145"/>
      <c r="IV25" s="145"/>
    </row>
    <row r="26" spans="1:256" ht="12.75">
      <c r="A26" s="141"/>
      <c r="B26" s="142" t="s">
        <v>721</v>
      </c>
      <c r="C26" s="146" t="s">
        <v>722</v>
      </c>
      <c r="D26" s="713"/>
      <c r="E26" s="714"/>
      <c r="F26" s="695"/>
      <c r="G26" s="711"/>
      <c r="H26" s="697"/>
      <c r="I26" s="712"/>
      <c r="J26" s="694"/>
      <c r="K26" s="695">
        <v>0</v>
      </c>
      <c r="L26" s="698">
        <f>F26+K26</f>
        <v>0</v>
      </c>
      <c r="M26" s="144"/>
      <c r="N26" s="196">
        <f>SUM(L26)</f>
        <v>0</v>
      </c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45"/>
      <c r="CA26" s="145"/>
      <c r="CB26" s="145"/>
      <c r="CC26" s="145"/>
      <c r="CD26" s="145"/>
      <c r="CE26" s="145"/>
      <c r="CF26" s="145"/>
      <c r="CG26" s="145"/>
      <c r="CH26" s="145"/>
      <c r="CI26" s="145"/>
      <c r="CJ26" s="145"/>
      <c r="CK26" s="145"/>
      <c r="CL26" s="145"/>
      <c r="CM26" s="145"/>
      <c r="CN26" s="145"/>
      <c r="CO26" s="145"/>
      <c r="CP26" s="145"/>
      <c r="CQ26" s="145"/>
      <c r="CR26" s="145"/>
      <c r="CS26" s="145"/>
      <c r="CT26" s="145"/>
      <c r="CU26" s="145"/>
      <c r="CV26" s="145"/>
      <c r="CW26" s="145"/>
      <c r="CX26" s="145"/>
      <c r="CY26" s="145"/>
      <c r="CZ26" s="145"/>
      <c r="DA26" s="145"/>
      <c r="DB26" s="145"/>
      <c r="DC26" s="145"/>
      <c r="DD26" s="145"/>
      <c r="DE26" s="145"/>
      <c r="DF26" s="145"/>
      <c r="DG26" s="145"/>
      <c r="DH26" s="145"/>
      <c r="DI26" s="145"/>
      <c r="DJ26" s="145"/>
      <c r="DK26" s="145"/>
      <c r="DL26" s="145"/>
      <c r="DM26" s="145"/>
      <c r="DN26" s="145"/>
      <c r="DO26" s="145"/>
      <c r="DP26" s="145"/>
      <c r="DQ26" s="145"/>
      <c r="DR26" s="145"/>
      <c r="DS26" s="145"/>
      <c r="DT26" s="145"/>
      <c r="DU26" s="145"/>
      <c r="DV26" s="145"/>
      <c r="DW26" s="145"/>
      <c r="DX26" s="145"/>
      <c r="DY26" s="145"/>
      <c r="DZ26" s="145"/>
      <c r="EA26" s="145"/>
      <c r="EB26" s="145"/>
      <c r="EC26" s="145"/>
      <c r="ED26" s="145"/>
      <c r="EE26" s="145"/>
      <c r="EF26" s="145"/>
      <c r="EG26" s="145"/>
      <c r="EH26" s="145"/>
      <c r="EI26" s="145"/>
      <c r="EJ26" s="145"/>
      <c r="EK26" s="145"/>
      <c r="EL26" s="145"/>
      <c r="EM26" s="145"/>
      <c r="EN26" s="145"/>
      <c r="EO26" s="145"/>
      <c r="EP26" s="145"/>
      <c r="EQ26" s="145"/>
      <c r="ER26" s="145"/>
      <c r="ES26" s="145"/>
      <c r="ET26" s="145"/>
      <c r="EU26" s="145"/>
      <c r="EV26" s="145"/>
      <c r="EW26" s="145"/>
      <c r="EX26" s="145"/>
      <c r="EY26" s="145"/>
      <c r="EZ26" s="145"/>
      <c r="FA26" s="145"/>
      <c r="FB26" s="145"/>
      <c r="FC26" s="145"/>
      <c r="FD26" s="145"/>
      <c r="FE26" s="145"/>
      <c r="FF26" s="145"/>
      <c r="FG26" s="145"/>
      <c r="FH26" s="145"/>
      <c r="FI26" s="145"/>
      <c r="FJ26" s="145"/>
      <c r="FK26" s="145"/>
      <c r="FL26" s="145"/>
      <c r="FM26" s="145"/>
      <c r="FN26" s="145"/>
      <c r="FO26" s="145"/>
      <c r="FP26" s="145"/>
      <c r="FQ26" s="145"/>
      <c r="FR26" s="145"/>
      <c r="FS26" s="145"/>
      <c r="FT26" s="145"/>
      <c r="FU26" s="145"/>
      <c r="FV26" s="145"/>
      <c r="FW26" s="145"/>
      <c r="FX26" s="145"/>
      <c r="FY26" s="145"/>
      <c r="FZ26" s="145"/>
      <c r="GA26" s="145"/>
      <c r="GB26" s="145"/>
      <c r="GC26" s="145"/>
      <c r="GD26" s="145"/>
      <c r="GE26" s="145"/>
      <c r="GF26" s="145"/>
      <c r="GG26" s="145"/>
      <c r="GH26" s="145"/>
      <c r="GI26" s="145"/>
      <c r="GJ26" s="145"/>
      <c r="GK26" s="145"/>
      <c r="GL26" s="145"/>
      <c r="GM26" s="145"/>
      <c r="GN26" s="145"/>
      <c r="GO26" s="145"/>
      <c r="GP26" s="145"/>
      <c r="GQ26" s="145"/>
      <c r="GR26" s="145"/>
      <c r="GS26" s="145"/>
      <c r="GT26" s="145"/>
      <c r="GU26" s="145"/>
      <c r="GV26" s="145"/>
      <c r="GW26" s="145"/>
      <c r="GX26" s="145"/>
      <c r="GY26" s="145"/>
      <c r="GZ26" s="145"/>
      <c r="HA26" s="145"/>
      <c r="HB26" s="145"/>
      <c r="HC26" s="145"/>
      <c r="HD26" s="145"/>
      <c r="HE26" s="145"/>
      <c r="HF26" s="145"/>
      <c r="HG26" s="145"/>
      <c r="HH26" s="145"/>
      <c r="HI26" s="145"/>
      <c r="HJ26" s="145"/>
      <c r="HK26" s="145"/>
      <c r="HL26" s="145"/>
      <c r="HM26" s="145"/>
      <c r="HN26" s="145"/>
      <c r="HO26" s="145"/>
      <c r="HP26" s="145"/>
      <c r="HQ26" s="145"/>
      <c r="HR26" s="145"/>
      <c r="HS26" s="145"/>
      <c r="HT26" s="145"/>
      <c r="HU26" s="145"/>
      <c r="HV26" s="145"/>
      <c r="HW26" s="145"/>
      <c r="HX26" s="145"/>
      <c r="HY26" s="145"/>
      <c r="HZ26" s="145"/>
      <c r="IA26" s="145"/>
      <c r="IB26" s="145"/>
      <c r="IC26" s="145"/>
      <c r="ID26" s="145"/>
      <c r="IE26" s="145"/>
      <c r="IF26" s="145"/>
      <c r="IG26" s="145"/>
      <c r="IH26" s="145"/>
      <c r="II26" s="145"/>
      <c r="IJ26" s="145"/>
      <c r="IK26" s="145"/>
      <c r="IL26" s="145"/>
      <c r="IM26" s="145"/>
      <c r="IN26" s="145"/>
      <c r="IO26" s="145"/>
      <c r="IP26" s="145"/>
      <c r="IQ26" s="145"/>
      <c r="IR26" s="145"/>
      <c r="IS26" s="145"/>
      <c r="IT26" s="145"/>
      <c r="IU26" s="145"/>
      <c r="IV26" s="145"/>
    </row>
    <row r="27" spans="1:256" ht="25.5">
      <c r="A27" s="141"/>
      <c r="B27" s="142" t="s">
        <v>594</v>
      </c>
      <c r="C27" s="143" t="s">
        <v>595</v>
      </c>
      <c r="D27" s="709"/>
      <c r="E27" s="710"/>
      <c r="F27" s="695"/>
      <c r="G27" s="711"/>
      <c r="H27" s="697"/>
      <c r="I27" s="712"/>
      <c r="J27" s="694"/>
      <c r="K27" s="695">
        <f>SUM(K28:K29)</f>
        <v>5300700</v>
      </c>
      <c r="L27" s="698">
        <f>F27+K27</f>
        <v>5300700</v>
      </c>
      <c r="M27" s="144"/>
      <c r="N27" s="196">
        <f>SUM(L28:L29)</f>
        <v>5300700</v>
      </c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5"/>
      <c r="CG27" s="145"/>
      <c r="CH27" s="145"/>
      <c r="CI27" s="145"/>
      <c r="CJ27" s="145"/>
      <c r="CK27" s="145"/>
      <c r="CL27" s="145"/>
      <c r="CM27" s="145"/>
      <c r="CN27" s="145"/>
      <c r="CO27" s="145"/>
      <c r="CP27" s="145"/>
      <c r="CQ27" s="145"/>
      <c r="CR27" s="145"/>
      <c r="CS27" s="145"/>
      <c r="CT27" s="145"/>
      <c r="CU27" s="145"/>
      <c r="CV27" s="145"/>
      <c r="CW27" s="145"/>
      <c r="CX27" s="145"/>
      <c r="CY27" s="145"/>
      <c r="CZ27" s="145"/>
      <c r="DA27" s="145"/>
      <c r="DB27" s="145"/>
      <c r="DC27" s="145"/>
      <c r="DD27" s="145"/>
      <c r="DE27" s="145"/>
      <c r="DF27" s="145"/>
      <c r="DG27" s="145"/>
      <c r="DH27" s="145"/>
      <c r="DI27" s="145"/>
      <c r="DJ27" s="145"/>
      <c r="DK27" s="145"/>
      <c r="DL27" s="145"/>
      <c r="DM27" s="145"/>
      <c r="DN27" s="145"/>
      <c r="DO27" s="145"/>
      <c r="DP27" s="145"/>
      <c r="DQ27" s="145"/>
      <c r="DR27" s="145"/>
      <c r="DS27" s="145"/>
      <c r="DT27" s="145"/>
      <c r="DU27" s="145"/>
      <c r="DV27" s="145"/>
      <c r="DW27" s="145"/>
      <c r="DX27" s="145"/>
      <c r="DY27" s="145"/>
      <c r="DZ27" s="145"/>
      <c r="EA27" s="145"/>
      <c r="EB27" s="145"/>
      <c r="EC27" s="145"/>
      <c r="ED27" s="145"/>
      <c r="EE27" s="145"/>
      <c r="EF27" s="145"/>
      <c r="EG27" s="145"/>
      <c r="EH27" s="145"/>
      <c r="EI27" s="145"/>
      <c r="EJ27" s="145"/>
      <c r="EK27" s="145"/>
      <c r="EL27" s="145"/>
      <c r="EM27" s="145"/>
      <c r="EN27" s="145"/>
      <c r="EO27" s="145"/>
      <c r="EP27" s="145"/>
      <c r="EQ27" s="145"/>
      <c r="ER27" s="145"/>
      <c r="ES27" s="145"/>
      <c r="ET27" s="145"/>
      <c r="EU27" s="145"/>
      <c r="EV27" s="145"/>
      <c r="EW27" s="145"/>
      <c r="EX27" s="145"/>
      <c r="EY27" s="145"/>
      <c r="EZ27" s="145"/>
      <c r="FA27" s="145"/>
      <c r="FB27" s="145"/>
      <c r="FC27" s="145"/>
      <c r="FD27" s="145"/>
      <c r="FE27" s="145"/>
      <c r="FF27" s="145"/>
      <c r="FG27" s="145"/>
      <c r="FH27" s="145"/>
      <c r="FI27" s="145"/>
      <c r="FJ27" s="145"/>
      <c r="FK27" s="145"/>
      <c r="FL27" s="145"/>
      <c r="FM27" s="145"/>
      <c r="FN27" s="145"/>
      <c r="FO27" s="145"/>
      <c r="FP27" s="145"/>
      <c r="FQ27" s="145"/>
      <c r="FR27" s="145"/>
      <c r="FS27" s="145"/>
      <c r="FT27" s="145"/>
      <c r="FU27" s="145"/>
      <c r="FV27" s="145"/>
      <c r="FW27" s="145"/>
      <c r="FX27" s="145"/>
      <c r="FY27" s="145"/>
      <c r="FZ27" s="145"/>
      <c r="GA27" s="145"/>
      <c r="GB27" s="145"/>
      <c r="GC27" s="145"/>
      <c r="GD27" s="145"/>
      <c r="GE27" s="145"/>
      <c r="GF27" s="145"/>
      <c r="GG27" s="145"/>
      <c r="GH27" s="145"/>
      <c r="GI27" s="145"/>
      <c r="GJ27" s="145"/>
      <c r="GK27" s="145"/>
      <c r="GL27" s="145"/>
      <c r="GM27" s="145"/>
      <c r="GN27" s="145"/>
      <c r="GO27" s="145"/>
      <c r="GP27" s="145"/>
      <c r="GQ27" s="145"/>
      <c r="GR27" s="145"/>
      <c r="GS27" s="145"/>
      <c r="GT27" s="145"/>
      <c r="GU27" s="145"/>
      <c r="GV27" s="145"/>
      <c r="GW27" s="145"/>
      <c r="GX27" s="145"/>
      <c r="GY27" s="145"/>
      <c r="GZ27" s="145"/>
      <c r="HA27" s="145"/>
      <c r="HB27" s="145"/>
      <c r="HC27" s="145"/>
      <c r="HD27" s="145"/>
      <c r="HE27" s="145"/>
      <c r="HF27" s="145"/>
      <c r="HG27" s="145"/>
      <c r="HH27" s="145"/>
      <c r="HI27" s="145"/>
      <c r="HJ27" s="145"/>
      <c r="HK27" s="145"/>
      <c r="HL27" s="145"/>
      <c r="HM27" s="145"/>
      <c r="HN27" s="145"/>
      <c r="HO27" s="145"/>
      <c r="HP27" s="145"/>
      <c r="HQ27" s="145"/>
      <c r="HR27" s="145"/>
      <c r="HS27" s="145"/>
      <c r="HT27" s="145"/>
      <c r="HU27" s="145"/>
      <c r="HV27" s="145"/>
      <c r="HW27" s="145"/>
      <c r="HX27" s="145"/>
      <c r="HY27" s="145"/>
      <c r="HZ27" s="145"/>
      <c r="IA27" s="145"/>
      <c r="IB27" s="145"/>
      <c r="IC27" s="145"/>
      <c r="ID27" s="145"/>
      <c r="IE27" s="145"/>
      <c r="IF27" s="145"/>
      <c r="IG27" s="145"/>
      <c r="IH27" s="145"/>
      <c r="II27" s="145"/>
      <c r="IJ27" s="145"/>
      <c r="IK27" s="145"/>
      <c r="IL27" s="145"/>
      <c r="IM27" s="145"/>
      <c r="IN27" s="145"/>
      <c r="IO27" s="145"/>
      <c r="IP27" s="145"/>
      <c r="IQ27" s="145"/>
      <c r="IR27" s="145"/>
      <c r="IS27" s="145"/>
      <c r="IT27" s="145"/>
      <c r="IU27" s="145"/>
      <c r="IV27" s="145"/>
    </row>
    <row r="28" spans="1:14" ht="12.75">
      <c r="A28" s="30"/>
      <c r="B28" s="139" t="s">
        <v>723</v>
      </c>
      <c r="C28" s="140" t="s">
        <v>910</v>
      </c>
      <c r="D28" s="699"/>
      <c r="E28" s="700"/>
      <c r="F28" s="701"/>
      <c r="G28" s="699">
        <v>9</v>
      </c>
      <c r="H28" s="702">
        <v>418900</v>
      </c>
      <c r="I28" s="702"/>
      <c r="J28" s="700"/>
      <c r="K28" s="701">
        <f>G28*H28</f>
        <v>3770100</v>
      </c>
      <c r="L28" s="703">
        <f>SUM(K28)</f>
        <v>3770100</v>
      </c>
      <c r="M28" s="31"/>
      <c r="N28" s="196"/>
    </row>
    <row r="29" spans="1:14" ht="12.75">
      <c r="A29" s="30"/>
      <c r="B29" s="139" t="s">
        <v>724</v>
      </c>
      <c r="C29" s="140" t="s">
        <v>725</v>
      </c>
      <c r="D29" s="699"/>
      <c r="E29" s="700"/>
      <c r="F29" s="701"/>
      <c r="G29" s="699">
        <v>1</v>
      </c>
      <c r="H29" s="702">
        <v>1530600</v>
      </c>
      <c r="I29" s="702"/>
      <c r="J29" s="700"/>
      <c r="K29" s="701">
        <f>G29*H29</f>
        <v>1530600</v>
      </c>
      <c r="L29" s="703">
        <f>SUM(K29)</f>
        <v>1530600</v>
      </c>
      <c r="M29" s="31"/>
      <c r="N29" s="196"/>
    </row>
    <row r="30" spans="1:256" ht="25.5">
      <c r="A30" s="150" t="s">
        <v>529</v>
      </c>
      <c r="B30" s="158"/>
      <c r="C30" s="152" t="s">
        <v>139</v>
      </c>
      <c r="D30" s="153"/>
      <c r="E30" s="154"/>
      <c r="F30" s="155">
        <f>SUM(F31:F33,F36)</f>
        <v>126464459</v>
      </c>
      <c r="G30" s="715"/>
      <c r="H30" s="156"/>
      <c r="I30" s="716"/>
      <c r="J30" s="154"/>
      <c r="K30" s="155">
        <f>SUM(K31:K33,K36)</f>
        <v>23664345</v>
      </c>
      <c r="L30" s="173">
        <f t="shared" si="1"/>
        <v>150128804</v>
      </c>
      <c r="M30" s="144"/>
      <c r="N30" s="175">
        <f>SUM(N31:N33)+N36</f>
        <v>150128804</v>
      </c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5"/>
      <c r="CG30" s="145"/>
      <c r="CH30" s="145"/>
      <c r="CI30" s="145"/>
      <c r="CJ30" s="145"/>
      <c r="CK30" s="145"/>
      <c r="CL30" s="145"/>
      <c r="CM30" s="145"/>
      <c r="CN30" s="145"/>
      <c r="CO30" s="145"/>
      <c r="CP30" s="145"/>
      <c r="CQ30" s="145"/>
      <c r="CR30" s="145"/>
      <c r="CS30" s="145"/>
      <c r="CT30" s="145"/>
      <c r="CU30" s="145"/>
      <c r="CV30" s="145"/>
      <c r="CW30" s="145"/>
      <c r="CX30" s="145"/>
      <c r="CY30" s="145"/>
      <c r="CZ30" s="145"/>
      <c r="DA30" s="145"/>
      <c r="DB30" s="145"/>
      <c r="DC30" s="145"/>
      <c r="DD30" s="145"/>
      <c r="DE30" s="145"/>
      <c r="DF30" s="145"/>
      <c r="DG30" s="145"/>
      <c r="DH30" s="145"/>
      <c r="DI30" s="145"/>
      <c r="DJ30" s="145"/>
      <c r="DK30" s="145"/>
      <c r="DL30" s="145"/>
      <c r="DM30" s="145"/>
      <c r="DN30" s="145"/>
      <c r="DO30" s="145"/>
      <c r="DP30" s="145"/>
      <c r="DQ30" s="145"/>
      <c r="DR30" s="145"/>
      <c r="DS30" s="145"/>
      <c r="DT30" s="145"/>
      <c r="DU30" s="145"/>
      <c r="DV30" s="145"/>
      <c r="DW30" s="145"/>
      <c r="DX30" s="145"/>
      <c r="DY30" s="145"/>
      <c r="DZ30" s="145"/>
      <c r="EA30" s="145"/>
      <c r="EB30" s="145"/>
      <c r="EC30" s="145"/>
      <c r="ED30" s="145"/>
      <c r="EE30" s="145"/>
      <c r="EF30" s="145"/>
      <c r="EG30" s="145"/>
      <c r="EH30" s="145"/>
      <c r="EI30" s="145"/>
      <c r="EJ30" s="145"/>
      <c r="EK30" s="145"/>
      <c r="EL30" s="145"/>
      <c r="EM30" s="145"/>
      <c r="EN30" s="145"/>
      <c r="EO30" s="145"/>
      <c r="EP30" s="145"/>
      <c r="EQ30" s="145"/>
      <c r="ER30" s="145"/>
      <c r="ES30" s="145"/>
      <c r="ET30" s="145"/>
      <c r="EU30" s="145"/>
      <c r="EV30" s="145"/>
      <c r="EW30" s="145"/>
      <c r="EX30" s="145"/>
      <c r="EY30" s="145"/>
      <c r="EZ30" s="145"/>
      <c r="FA30" s="145"/>
      <c r="FB30" s="145"/>
      <c r="FC30" s="145"/>
      <c r="FD30" s="145"/>
      <c r="FE30" s="145"/>
      <c r="FF30" s="145"/>
      <c r="FG30" s="145"/>
      <c r="FH30" s="145"/>
      <c r="FI30" s="145"/>
      <c r="FJ30" s="145"/>
      <c r="FK30" s="145"/>
      <c r="FL30" s="145"/>
      <c r="FM30" s="145"/>
      <c r="FN30" s="145"/>
      <c r="FO30" s="145"/>
      <c r="FP30" s="145"/>
      <c r="FQ30" s="145"/>
      <c r="FR30" s="145"/>
      <c r="FS30" s="145"/>
      <c r="FT30" s="145"/>
      <c r="FU30" s="145"/>
      <c r="FV30" s="145"/>
      <c r="FW30" s="145"/>
      <c r="FX30" s="145"/>
      <c r="FY30" s="145"/>
      <c r="FZ30" s="145"/>
      <c r="GA30" s="145"/>
      <c r="GB30" s="145"/>
      <c r="GC30" s="145"/>
      <c r="GD30" s="145"/>
      <c r="GE30" s="145"/>
      <c r="GF30" s="145"/>
      <c r="GG30" s="145"/>
      <c r="GH30" s="145"/>
      <c r="GI30" s="145"/>
      <c r="GJ30" s="145"/>
      <c r="GK30" s="145"/>
      <c r="GL30" s="145"/>
      <c r="GM30" s="145"/>
      <c r="GN30" s="145"/>
      <c r="GO30" s="145"/>
      <c r="GP30" s="145"/>
      <c r="GQ30" s="145"/>
      <c r="GR30" s="145"/>
      <c r="GS30" s="145"/>
      <c r="GT30" s="145"/>
      <c r="GU30" s="145"/>
      <c r="GV30" s="145"/>
      <c r="GW30" s="145"/>
      <c r="GX30" s="145"/>
      <c r="GY30" s="145"/>
      <c r="GZ30" s="145"/>
      <c r="HA30" s="145"/>
      <c r="HB30" s="145"/>
      <c r="HC30" s="145"/>
      <c r="HD30" s="145"/>
      <c r="HE30" s="145"/>
      <c r="HF30" s="145"/>
      <c r="HG30" s="145"/>
      <c r="HH30" s="145"/>
      <c r="HI30" s="145"/>
      <c r="HJ30" s="145"/>
      <c r="HK30" s="145"/>
      <c r="HL30" s="145"/>
      <c r="HM30" s="145"/>
      <c r="HN30" s="145"/>
      <c r="HO30" s="145"/>
      <c r="HP30" s="145"/>
      <c r="HQ30" s="145"/>
      <c r="HR30" s="145"/>
      <c r="HS30" s="145"/>
      <c r="HT30" s="145"/>
      <c r="HU30" s="145"/>
      <c r="HV30" s="145"/>
      <c r="HW30" s="145"/>
      <c r="HX30" s="145"/>
      <c r="HY30" s="145"/>
      <c r="HZ30" s="145"/>
      <c r="IA30" s="145"/>
      <c r="IB30" s="145"/>
      <c r="IC30" s="145"/>
      <c r="ID30" s="145"/>
      <c r="IE30" s="145"/>
      <c r="IF30" s="145"/>
      <c r="IG30" s="145"/>
      <c r="IH30" s="145"/>
      <c r="II30" s="145"/>
      <c r="IJ30" s="145"/>
      <c r="IK30" s="145"/>
      <c r="IL30" s="145"/>
      <c r="IM30" s="145"/>
      <c r="IN30" s="145"/>
      <c r="IO30" s="145"/>
      <c r="IP30" s="145"/>
      <c r="IQ30" s="145"/>
      <c r="IR30" s="145"/>
      <c r="IS30" s="145"/>
      <c r="IT30" s="145"/>
      <c r="IU30" s="145"/>
      <c r="IV30" s="145"/>
    </row>
    <row r="31" spans="1:256" ht="12.75">
      <c r="A31" s="141"/>
      <c r="B31" s="142" t="s">
        <v>530</v>
      </c>
      <c r="C31" s="146" t="s">
        <v>726</v>
      </c>
      <c r="D31" s="709"/>
      <c r="E31" s="710"/>
      <c r="F31" s="695"/>
      <c r="G31" s="711"/>
      <c r="H31" s="697"/>
      <c r="I31" s="712"/>
      <c r="J31" s="694"/>
      <c r="K31" s="695">
        <v>6864345</v>
      </c>
      <c r="L31" s="698">
        <f t="shared" si="1"/>
        <v>6864345</v>
      </c>
      <c r="M31" s="144"/>
      <c r="N31" s="196">
        <f>SUM(L31)</f>
        <v>6864345</v>
      </c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5"/>
      <c r="BX31" s="145"/>
      <c r="BY31" s="145"/>
      <c r="BZ31" s="145"/>
      <c r="CA31" s="145"/>
      <c r="CB31" s="145"/>
      <c r="CC31" s="145"/>
      <c r="CD31" s="145"/>
      <c r="CE31" s="145"/>
      <c r="CF31" s="145"/>
      <c r="CG31" s="145"/>
      <c r="CH31" s="145"/>
      <c r="CI31" s="145"/>
      <c r="CJ31" s="145"/>
      <c r="CK31" s="145"/>
      <c r="CL31" s="145"/>
      <c r="CM31" s="145"/>
      <c r="CN31" s="145"/>
      <c r="CO31" s="145"/>
      <c r="CP31" s="145"/>
      <c r="CQ31" s="145"/>
      <c r="CR31" s="145"/>
      <c r="CS31" s="145"/>
      <c r="CT31" s="145"/>
      <c r="CU31" s="145"/>
      <c r="CV31" s="145"/>
      <c r="CW31" s="145"/>
      <c r="CX31" s="145"/>
      <c r="CY31" s="145"/>
      <c r="CZ31" s="145"/>
      <c r="DA31" s="145"/>
      <c r="DB31" s="145"/>
      <c r="DC31" s="145"/>
      <c r="DD31" s="145"/>
      <c r="DE31" s="145"/>
      <c r="DF31" s="145"/>
      <c r="DG31" s="145"/>
      <c r="DH31" s="145"/>
      <c r="DI31" s="145"/>
      <c r="DJ31" s="145"/>
      <c r="DK31" s="145"/>
      <c r="DL31" s="145"/>
      <c r="DM31" s="145"/>
      <c r="DN31" s="145"/>
      <c r="DO31" s="145"/>
      <c r="DP31" s="145"/>
      <c r="DQ31" s="145"/>
      <c r="DR31" s="145"/>
      <c r="DS31" s="145"/>
      <c r="DT31" s="145"/>
      <c r="DU31" s="145"/>
      <c r="DV31" s="145"/>
      <c r="DW31" s="145"/>
      <c r="DX31" s="145"/>
      <c r="DY31" s="145"/>
      <c r="DZ31" s="145"/>
      <c r="EA31" s="145"/>
      <c r="EB31" s="145"/>
      <c r="EC31" s="145"/>
      <c r="ED31" s="145"/>
      <c r="EE31" s="145"/>
      <c r="EF31" s="145"/>
      <c r="EG31" s="145"/>
      <c r="EH31" s="145"/>
      <c r="EI31" s="145"/>
      <c r="EJ31" s="145"/>
      <c r="EK31" s="145"/>
      <c r="EL31" s="145"/>
      <c r="EM31" s="145"/>
      <c r="EN31" s="145"/>
      <c r="EO31" s="145"/>
      <c r="EP31" s="145"/>
      <c r="EQ31" s="145"/>
      <c r="ER31" s="145"/>
      <c r="ES31" s="145"/>
      <c r="ET31" s="145"/>
      <c r="EU31" s="145"/>
      <c r="EV31" s="145"/>
      <c r="EW31" s="145"/>
      <c r="EX31" s="145"/>
      <c r="EY31" s="145"/>
      <c r="EZ31" s="145"/>
      <c r="FA31" s="145"/>
      <c r="FB31" s="145"/>
      <c r="FC31" s="145"/>
      <c r="FD31" s="145"/>
      <c r="FE31" s="145"/>
      <c r="FF31" s="145"/>
      <c r="FG31" s="145"/>
      <c r="FH31" s="145"/>
      <c r="FI31" s="145"/>
      <c r="FJ31" s="145"/>
      <c r="FK31" s="145"/>
      <c r="FL31" s="145"/>
      <c r="FM31" s="145"/>
      <c r="FN31" s="145"/>
      <c r="FO31" s="145"/>
      <c r="FP31" s="145"/>
      <c r="FQ31" s="145"/>
      <c r="FR31" s="145"/>
      <c r="FS31" s="145"/>
      <c r="FT31" s="145"/>
      <c r="FU31" s="145"/>
      <c r="FV31" s="145"/>
      <c r="FW31" s="145"/>
      <c r="FX31" s="145"/>
      <c r="FY31" s="145"/>
      <c r="FZ31" s="145"/>
      <c r="GA31" s="145"/>
      <c r="GB31" s="145"/>
      <c r="GC31" s="145"/>
      <c r="GD31" s="145"/>
      <c r="GE31" s="145"/>
      <c r="GF31" s="145"/>
      <c r="GG31" s="145"/>
      <c r="GH31" s="145"/>
      <c r="GI31" s="145"/>
      <c r="GJ31" s="145"/>
      <c r="GK31" s="145"/>
      <c r="GL31" s="145"/>
      <c r="GM31" s="145"/>
      <c r="GN31" s="145"/>
      <c r="GO31" s="145"/>
      <c r="GP31" s="145"/>
      <c r="GQ31" s="145"/>
      <c r="GR31" s="145"/>
      <c r="GS31" s="145"/>
      <c r="GT31" s="145"/>
      <c r="GU31" s="145"/>
      <c r="GV31" s="145"/>
      <c r="GW31" s="145"/>
      <c r="GX31" s="145"/>
      <c r="GY31" s="145"/>
      <c r="GZ31" s="145"/>
      <c r="HA31" s="145"/>
      <c r="HB31" s="145"/>
      <c r="HC31" s="145"/>
      <c r="HD31" s="145"/>
      <c r="HE31" s="145"/>
      <c r="HF31" s="145"/>
      <c r="HG31" s="145"/>
      <c r="HH31" s="145"/>
      <c r="HI31" s="145"/>
      <c r="HJ31" s="145"/>
      <c r="HK31" s="145"/>
      <c r="HL31" s="145"/>
      <c r="HM31" s="145"/>
      <c r="HN31" s="145"/>
      <c r="HO31" s="145"/>
      <c r="HP31" s="145"/>
      <c r="HQ31" s="145"/>
      <c r="HR31" s="145"/>
      <c r="HS31" s="145"/>
      <c r="HT31" s="145"/>
      <c r="HU31" s="145"/>
      <c r="HV31" s="145"/>
      <c r="HW31" s="145"/>
      <c r="HX31" s="145"/>
      <c r="HY31" s="145"/>
      <c r="HZ31" s="145"/>
      <c r="IA31" s="145"/>
      <c r="IB31" s="145"/>
      <c r="IC31" s="145"/>
      <c r="ID31" s="145"/>
      <c r="IE31" s="145"/>
      <c r="IF31" s="145"/>
      <c r="IG31" s="145"/>
      <c r="IH31" s="145"/>
      <c r="II31" s="145"/>
      <c r="IJ31" s="145"/>
      <c r="IK31" s="145"/>
      <c r="IL31" s="145"/>
      <c r="IM31" s="145"/>
      <c r="IN31" s="145"/>
      <c r="IO31" s="145"/>
      <c r="IP31" s="145"/>
      <c r="IQ31" s="145"/>
      <c r="IR31" s="145"/>
      <c r="IS31" s="145"/>
      <c r="IT31" s="145"/>
      <c r="IU31" s="145"/>
      <c r="IV31" s="145"/>
    </row>
    <row r="32" spans="1:256" ht="12.75">
      <c r="A32" s="141"/>
      <c r="B32" s="142" t="s">
        <v>531</v>
      </c>
      <c r="C32" s="146" t="s">
        <v>596</v>
      </c>
      <c r="D32" s="709"/>
      <c r="E32" s="710"/>
      <c r="F32" s="695">
        <v>54007000</v>
      </c>
      <c r="G32" s="711"/>
      <c r="H32" s="697"/>
      <c r="I32" s="712"/>
      <c r="J32" s="694"/>
      <c r="K32" s="695"/>
      <c r="L32" s="698">
        <f t="shared" si="1"/>
        <v>54007000</v>
      </c>
      <c r="M32" s="144"/>
      <c r="N32" s="196">
        <f>SUM(L32)</f>
        <v>54007000</v>
      </c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5"/>
      <c r="BX32" s="145"/>
      <c r="BY32" s="145"/>
      <c r="BZ32" s="145"/>
      <c r="CA32" s="145"/>
      <c r="CB32" s="145"/>
      <c r="CC32" s="145"/>
      <c r="CD32" s="145"/>
      <c r="CE32" s="145"/>
      <c r="CF32" s="145"/>
      <c r="CG32" s="145"/>
      <c r="CH32" s="145"/>
      <c r="CI32" s="145"/>
      <c r="CJ32" s="145"/>
      <c r="CK32" s="145"/>
      <c r="CL32" s="145"/>
      <c r="CM32" s="145"/>
      <c r="CN32" s="145"/>
      <c r="CO32" s="145"/>
      <c r="CP32" s="145"/>
      <c r="CQ32" s="145"/>
      <c r="CR32" s="145"/>
      <c r="CS32" s="145"/>
      <c r="CT32" s="145"/>
      <c r="CU32" s="145"/>
      <c r="CV32" s="145"/>
      <c r="CW32" s="145"/>
      <c r="CX32" s="145"/>
      <c r="CY32" s="145"/>
      <c r="CZ32" s="145"/>
      <c r="DA32" s="145"/>
      <c r="DB32" s="145"/>
      <c r="DC32" s="145"/>
      <c r="DD32" s="145"/>
      <c r="DE32" s="145"/>
      <c r="DF32" s="145"/>
      <c r="DG32" s="145"/>
      <c r="DH32" s="145"/>
      <c r="DI32" s="145"/>
      <c r="DJ32" s="145"/>
      <c r="DK32" s="145"/>
      <c r="DL32" s="145"/>
      <c r="DM32" s="145"/>
      <c r="DN32" s="145"/>
      <c r="DO32" s="145"/>
      <c r="DP32" s="145"/>
      <c r="DQ32" s="145"/>
      <c r="DR32" s="145"/>
      <c r="DS32" s="145"/>
      <c r="DT32" s="145"/>
      <c r="DU32" s="145"/>
      <c r="DV32" s="145"/>
      <c r="DW32" s="145"/>
      <c r="DX32" s="145"/>
      <c r="DY32" s="145"/>
      <c r="DZ32" s="145"/>
      <c r="EA32" s="145"/>
      <c r="EB32" s="145"/>
      <c r="EC32" s="145"/>
      <c r="ED32" s="145"/>
      <c r="EE32" s="145"/>
      <c r="EF32" s="145"/>
      <c r="EG32" s="145"/>
      <c r="EH32" s="145"/>
      <c r="EI32" s="145"/>
      <c r="EJ32" s="145"/>
      <c r="EK32" s="145"/>
      <c r="EL32" s="145"/>
      <c r="EM32" s="145"/>
      <c r="EN32" s="145"/>
      <c r="EO32" s="145"/>
      <c r="EP32" s="145"/>
      <c r="EQ32" s="145"/>
      <c r="ER32" s="145"/>
      <c r="ES32" s="145"/>
      <c r="ET32" s="145"/>
      <c r="EU32" s="145"/>
      <c r="EV32" s="145"/>
      <c r="EW32" s="145"/>
      <c r="EX32" s="145"/>
      <c r="EY32" s="145"/>
      <c r="EZ32" s="145"/>
      <c r="FA32" s="145"/>
      <c r="FB32" s="145"/>
      <c r="FC32" s="145"/>
      <c r="FD32" s="145"/>
      <c r="FE32" s="145"/>
      <c r="FF32" s="145"/>
      <c r="FG32" s="145"/>
      <c r="FH32" s="145"/>
      <c r="FI32" s="145"/>
      <c r="FJ32" s="145"/>
      <c r="FK32" s="145"/>
      <c r="FL32" s="145"/>
      <c r="FM32" s="145"/>
      <c r="FN32" s="145"/>
      <c r="FO32" s="145"/>
      <c r="FP32" s="145"/>
      <c r="FQ32" s="145"/>
      <c r="FR32" s="145"/>
      <c r="FS32" s="145"/>
      <c r="FT32" s="145"/>
      <c r="FU32" s="145"/>
      <c r="FV32" s="145"/>
      <c r="FW32" s="145"/>
      <c r="FX32" s="145"/>
      <c r="FY32" s="145"/>
      <c r="FZ32" s="145"/>
      <c r="GA32" s="145"/>
      <c r="GB32" s="145"/>
      <c r="GC32" s="145"/>
      <c r="GD32" s="145"/>
      <c r="GE32" s="145"/>
      <c r="GF32" s="145"/>
      <c r="GG32" s="145"/>
      <c r="GH32" s="145"/>
      <c r="GI32" s="145"/>
      <c r="GJ32" s="145"/>
      <c r="GK32" s="145"/>
      <c r="GL32" s="145"/>
      <c r="GM32" s="145"/>
      <c r="GN32" s="145"/>
      <c r="GO32" s="145"/>
      <c r="GP32" s="145"/>
      <c r="GQ32" s="145"/>
      <c r="GR32" s="145"/>
      <c r="GS32" s="145"/>
      <c r="GT32" s="145"/>
      <c r="GU32" s="145"/>
      <c r="GV32" s="145"/>
      <c r="GW32" s="145"/>
      <c r="GX32" s="145"/>
      <c r="GY32" s="145"/>
      <c r="GZ32" s="145"/>
      <c r="HA32" s="145"/>
      <c r="HB32" s="145"/>
      <c r="HC32" s="145"/>
      <c r="HD32" s="145"/>
      <c r="HE32" s="145"/>
      <c r="HF32" s="145"/>
      <c r="HG32" s="145"/>
      <c r="HH32" s="145"/>
      <c r="HI32" s="145"/>
      <c r="HJ32" s="145"/>
      <c r="HK32" s="145"/>
      <c r="HL32" s="145"/>
      <c r="HM32" s="145"/>
      <c r="HN32" s="145"/>
      <c r="HO32" s="145"/>
      <c r="HP32" s="145"/>
      <c r="HQ32" s="145"/>
      <c r="HR32" s="145"/>
      <c r="HS32" s="145"/>
      <c r="HT32" s="145"/>
      <c r="HU32" s="145"/>
      <c r="HV32" s="145"/>
      <c r="HW32" s="145"/>
      <c r="HX32" s="145"/>
      <c r="HY32" s="145"/>
      <c r="HZ32" s="145"/>
      <c r="IA32" s="145"/>
      <c r="IB32" s="145"/>
      <c r="IC32" s="145"/>
      <c r="ID32" s="145"/>
      <c r="IE32" s="145"/>
      <c r="IF32" s="145"/>
      <c r="IG32" s="145"/>
      <c r="IH32" s="145"/>
      <c r="II32" s="145"/>
      <c r="IJ32" s="145"/>
      <c r="IK32" s="145"/>
      <c r="IL32" s="145"/>
      <c r="IM32" s="145"/>
      <c r="IN32" s="145"/>
      <c r="IO32" s="145"/>
      <c r="IP32" s="145"/>
      <c r="IQ32" s="145"/>
      <c r="IR32" s="145"/>
      <c r="IS32" s="145"/>
      <c r="IT32" s="145"/>
      <c r="IU32" s="145"/>
      <c r="IV32" s="145"/>
    </row>
    <row r="33" spans="1:256" ht="12.75">
      <c r="A33" s="141"/>
      <c r="B33" s="142" t="s">
        <v>532</v>
      </c>
      <c r="C33" s="146" t="s">
        <v>533</v>
      </c>
      <c r="D33" s="709"/>
      <c r="E33" s="710"/>
      <c r="F33" s="695">
        <f>SUM(F34:F35)</f>
        <v>0</v>
      </c>
      <c r="G33" s="711"/>
      <c r="H33" s="697"/>
      <c r="I33" s="712"/>
      <c r="J33" s="694"/>
      <c r="K33" s="695">
        <f>SUM(K34:K35)</f>
        <v>16800000</v>
      </c>
      <c r="L33" s="698">
        <f t="shared" si="1"/>
        <v>16800000</v>
      </c>
      <c r="M33" s="144"/>
      <c r="N33" s="196">
        <f>SUM(L34:L35)</f>
        <v>16800000</v>
      </c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  <c r="BS33" s="145"/>
      <c r="BT33" s="145"/>
      <c r="BU33" s="145"/>
      <c r="BV33" s="145"/>
      <c r="BW33" s="145"/>
      <c r="BX33" s="145"/>
      <c r="BY33" s="145"/>
      <c r="BZ33" s="145"/>
      <c r="CA33" s="145"/>
      <c r="CB33" s="145"/>
      <c r="CC33" s="145"/>
      <c r="CD33" s="145"/>
      <c r="CE33" s="145"/>
      <c r="CF33" s="145"/>
      <c r="CG33" s="145"/>
      <c r="CH33" s="145"/>
      <c r="CI33" s="145"/>
      <c r="CJ33" s="145"/>
      <c r="CK33" s="145"/>
      <c r="CL33" s="145"/>
      <c r="CM33" s="145"/>
      <c r="CN33" s="145"/>
      <c r="CO33" s="145"/>
      <c r="CP33" s="145"/>
      <c r="CQ33" s="145"/>
      <c r="CR33" s="145"/>
      <c r="CS33" s="145"/>
      <c r="CT33" s="145"/>
      <c r="CU33" s="145"/>
      <c r="CV33" s="145"/>
      <c r="CW33" s="145"/>
      <c r="CX33" s="145"/>
      <c r="CY33" s="145"/>
      <c r="CZ33" s="145"/>
      <c r="DA33" s="145"/>
      <c r="DB33" s="145"/>
      <c r="DC33" s="145"/>
      <c r="DD33" s="145"/>
      <c r="DE33" s="145"/>
      <c r="DF33" s="145"/>
      <c r="DG33" s="145"/>
      <c r="DH33" s="145"/>
      <c r="DI33" s="145"/>
      <c r="DJ33" s="145"/>
      <c r="DK33" s="145"/>
      <c r="DL33" s="145"/>
      <c r="DM33" s="145"/>
      <c r="DN33" s="145"/>
      <c r="DO33" s="145"/>
      <c r="DP33" s="145"/>
      <c r="DQ33" s="145"/>
      <c r="DR33" s="145"/>
      <c r="DS33" s="145"/>
      <c r="DT33" s="145"/>
      <c r="DU33" s="145"/>
      <c r="DV33" s="145"/>
      <c r="DW33" s="145"/>
      <c r="DX33" s="145"/>
      <c r="DY33" s="145"/>
      <c r="DZ33" s="145"/>
      <c r="EA33" s="145"/>
      <c r="EB33" s="145"/>
      <c r="EC33" s="145"/>
      <c r="ED33" s="145"/>
      <c r="EE33" s="145"/>
      <c r="EF33" s="145"/>
      <c r="EG33" s="145"/>
      <c r="EH33" s="145"/>
      <c r="EI33" s="145"/>
      <c r="EJ33" s="145"/>
      <c r="EK33" s="145"/>
      <c r="EL33" s="145"/>
      <c r="EM33" s="145"/>
      <c r="EN33" s="145"/>
      <c r="EO33" s="145"/>
      <c r="EP33" s="145"/>
      <c r="EQ33" s="145"/>
      <c r="ER33" s="145"/>
      <c r="ES33" s="145"/>
      <c r="ET33" s="145"/>
      <c r="EU33" s="145"/>
      <c r="EV33" s="145"/>
      <c r="EW33" s="145"/>
      <c r="EX33" s="145"/>
      <c r="EY33" s="145"/>
      <c r="EZ33" s="145"/>
      <c r="FA33" s="145"/>
      <c r="FB33" s="145"/>
      <c r="FC33" s="145"/>
      <c r="FD33" s="145"/>
      <c r="FE33" s="145"/>
      <c r="FF33" s="145"/>
      <c r="FG33" s="145"/>
      <c r="FH33" s="145"/>
      <c r="FI33" s="145"/>
      <c r="FJ33" s="145"/>
      <c r="FK33" s="145"/>
      <c r="FL33" s="145"/>
      <c r="FM33" s="145"/>
      <c r="FN33" s="145"/>
      <c r="FO33" s="145"/>
      <c r="FP33" s="145"/>
      <c r="FQ33" s="145"/>
      <c r="FR33" s="145"/>
      <c r="FS33" s="145"/>
      <c r="FT33" s="145"/>
      <c r="FU33" s="145"/>
      <c r="FV33" s="145"/>
      <c r="FW33" s="145"/>
      <c r="FX33" s="145"/>
      <c r="FY33" s="145"/>
      <c r="FZ33" s="145"/>
      <c r="GA33" s="145"/>
      <c r="GB33" s="145"/>
      <c r="GC33" s="145"/>
      <c r="GD33" s="145"/>
      <c r="GE33" s="145"/>
      <c r="GF33" s="145"/>
      <c r="GG33" s="145"/>
      <c r="GH33" s="145"/>
      <c r="GI33" s="145"/>
      <c r="GJ33" s="145"/>
      <c r="GK33" s="145"/>
      <c r="GL33" s="145"/>
      <c r="GM33" s="145"/>
      <c r="GN33" s="145"/>
      <c r="GO33" s="145"/>
      <c r="GP33" s="145"/>
      <c r="GQ33" s="145"/>
      <c r="GR33" s="145"/>
      <c r="GS33" s="145"/>
      <c r="GT33" s="145"/>
      <c r="GU33" s="145"/>
      <c r="GV33" s="145"/>
      <c r="GW33" s="145"/>
      <c r="GX33" s="145"/>
      <c r="GY33" s="145"/>
      <c r="GZ33" s="145"/>
      <c r="HA33" s="145"/>
      <c r="HB33" s="145"/>
      <c r="HC33" s="145"/>
      <c r="HD33" s="145"/>
      <c r="HE33" s="145"/>
      <c r="HF33" s="145"/>
      <c r="HG33" s="145"/>
      <c r="HH33" s="145"/>
      <c r="HI33" s="145"/>
      <c r="HJ33" s="145"/>
      <c r="HK33" s="145"/>
      <c r="HL33" s="145"/>
      <c r="HM33" s="145"/>
      <c r="HN33" s="145"/>
      <c r="HO33" s="145"/>
      <c r="HP33" s="145"/>
      <c r="HQ33" s="145"/>
      <c r="HR33" s="145"/>
      <c r="HS33" s="145"/>
      <c r="HT33" s="145"/>
      <c r="HU33" s="145"/>
      <c r="HV33" s="145"/>
      <c r="HW33" s="145"/>
      <c r="HX33" s="145"/>
      <c r="HY33" s="145"/>
      <c r="HZ33" s="145"/>
      <c r="IA33" s="145"/>
      <c r="IB33" s="145"/>
      <c r="IC33" s="145"/>
      <c r="ID33" s="145"/>
      <c r="IE33" s="145"/>
      <c r="IF33" s="145"/>
      <c r="IG33" s="145"/>
      <c r="IH33" s="145"/>
      <c r="II33" s="145"/>
      <c r="IJ33" s="145"/>
      <c r="IK33" s="145"/>
      <c r="IL33" s="145"/>
      <c r="IM33" s="145"/>
      <c r="IN33" s="145"/>
      <c r="IO33" s="145"/>
      <c r="IP33" s="145"/>
      <c r="IQ33" s="145"/>
      <c r="IR33" s="145"/>
      <c r="IS33" s="145"/>
      <c r="IT33" s="145"/>
      <c r="IU33" s="145"/>
      <c r="IV33" s="145"/>
    </row>
    <row r="34" spans="1:14" ht="12.75">
      <c r="A34" s="30"/>
      <c r="B34" s="139" t="s">
        <v>661</v>
      </c>
      <c r="C34" s="140" t="s">
        <v>662</v>
      </c>
      <c r="D34" s="699"/>
      <c r="E34" s="700"/>
      <c r="F34" s="701"/>
      <c r="G34" s="717"/>
      <c r="H34" s="702"/>
      <c r="I34" s="718"/>
      <c r="J34" s="700"/>
      <c r="K34" s="701">
        <v>3300000</v>
      </c>
      <c r="L34" s="703">
        <f t="shared" si="1"/>
        <v>3300000</v>
      </c>
      <c r="M34" s="31"/>
      <c r="N34" s="31"/>
    </row>
    <row r="35" spans="1:14" ht="12.75">
      <c r="A35" s="30"/>
      <c r="B35" s="139" t="s">
        <v>664</v>
      </c>
      <c r="C35" s="140" t="s">
        <v>663</v>
      </c>
      <c r="D35" s="699"/>
      <c r="E35" s="700"/>
      <c r="F35" s="701"/>
      <c r="G35" s="717"/>
      <c r="H35" s="702"/>
      <c r="I35" s="718"/>
      <c r="J35" s="700"/>
      <c r="K35" s="701">
        <v>13500000</v>
      </c>
      <c r="L35" s="703">
        <f t="shared" si="1"/>
        <v>13500000</v>
      </c>
      <c r="M35" s="31"/>
      <c r="N35" s="31"/>
    </row>
    <row r="36" spans="1:256" ht="12.75">
      <c r="A36" s="141"/>
      <c r="B36" s="142" t="s">
        <v>140</v>
      </c>
      <c r="C36" s="146" t="s">
        <v>141</v>
      </c>
      <c r="D36" s="709"/>
      <c r="E36" s="710"/>
      <c r="F36" s="695">
        <f>SUM(F37:F39)</f>
        <v>72457459</v>
      </c>
      <c r="G36" s="711"/>
      <c r="H36" s="697"/>
      <c r="I36" s="712"/>
      <c r="J36" s="694"/>
      <c r="K36" s="695">
        <f>SUM(K37:K39)</f>
        <v>0</v>
      </c>
      <c r="L36" s="698">
        <f t="shared" si="1"/>
        <v>72457459</v>
      </c>
      <c r="M36" s="144"/>
      <c r="N36" s="196">
        <f>SUM(L37:L39)</f>
        <v>72457459</v>
      </c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  <c r="BQ36" s="145"/>
      <c r="BR36" s="145"/>
      <c r="BS36" s="145"/>
      <c r="BT36" s="145"/>
      <c r="BU36" s="145"/>
      <c r="BV36" s="145"/>
      <c r="BW36" s="145"/>
      <c r="BX36" s="145"/>
      <c r="BY36" s="145"/>
      <c r="BZ36" s="145"/>
      <c r="CA36" s="145"/>
      <c r="CB36" s="145"/>
      <c r="CC36" s="145"/>
      <c r="CD36" s="145"/>
      <c r="CE36" s="145"/>
      <c r="CF36" s="145"/>
      <c r="CG36" s="145"/>
      <c r="CH36" s="145"/>
      <c r="CI36" s="145"/>
      <c r="CJ36" s="145"/>
      <c r="CK36" s="145"/>
      <c r="CL36" s="145"/>
      <c r="CM36" s="145"/>
      <c r="CN36" s="145"/>
      <c r="CO36" s="145"/>
      <c r="CP36" s="145"/>
      <c r="CQ36" s="145"/>
      <c r="CR36" s="145"/>
      <c r="CS36" s="145"/>
      <c r="CT36" s="145"/>
      <c r="CU36" s="145"/>
      <c r="CV36" s="145"/>
      <c r="CW36" s="145"/>
      <c r="CX36" s="145"/>
      <c r="CY36" s="145"/>
      <c r="CZ36" s="145"/>
      <c r="DA36" s="145"/>
      <c r="DB36" s="145"/>
      <c r="DC36" s="145"/>
      <c r="DD36" s="145"/>
      <c r="DE36" s="145"/>
      <c r="DF36" s="145"/>
      <c r="DG36" s="145"/>
      <c r="DH36" s="145"/>
      <c r="DI36" s="145"/>
      <c r="DJ36" s="145"/>
      <c r="DK36" s="145"/>
      <c r="DL36" s="145"/>
      <c r="DM36" s="145"/>
      <c r="DN36" s="145"/>
      <c r="DO36" s="145"/>
      <c r="DP36" s="145"/>
      <c r="DQ36" s="145"/>
      <c r="DR36" s="145"/>
      <c r="DS36" s="145"/>
      <c r="DT36" s="145"/>
      <c r="DU36" s="145"/>
      <c r="DV36" s="145"/>
      <c r="DW36" s="145"/>
      <c r="DX36" s="145"/>
      <c r="DY36" s="145"/>
      <c r="DZ36" s="145"/>
      <c r="EA36" s="145"/>
      <c r="EB36" s="145"/>
      <c r="EC36" s="145"/>
      <c r="ED36" s="145"/>
      <c r="EE36" s="145"/>
      <c r="EF36" s="145"/>
      <c r="EG36" s="145"/>
      <c r="EH36" s="145"/>
      <c r="EI36" s="145"/>
      <c r="EJ36" s="145"/>
      <c r="EK36" s="145"/>
      <c r="EL36" s="145"/>
      <c r="EM36" s="145"/>
      <c r="EN36" s="145"/>
      <c r="EO36" s="145"/>
      <c r="EP36" s="145"/>
      <c r="EQ36" s="145"/>
      <c r="ER36" s="145"/>
      <c r="ES36" s="145"/>
      <c r="ET36" s="145"/>
      <c r="EU36" s="145"/>
      <c r="EV36" s="145"/>
      <c r="EW36" s="145"/>
      <c r="EX36" s="145"/>
      <c r="EY36" s="145"/>
      <c r="EZ36" s="145"/>
      <c r="FA36" s="145"/>
      <c r="FB36" s="145"/>
      <c r="FC36" s="145"/>
      <c r="FD36" s="145"/>
      <c r="FE36" s="145"/>
      <c r="FF36" s="145"/>
      <c r="FG36" s="145"/>
      <c r="FH36" s="145"/>
      <c r="FI36" s="145"/>
      <c r="FJ36" s="145"/>
      <c r="FK36" s="145"/>
      <c r="FL36" s="145"/>
      <c r="FM36" s="145"/>
      <c r="FN36" s="145"/>
      <c r="FO36" s="145"/>
      <c r="FP36" s="145"/>
      <c r="FQ36" s="145"/>
      <c r="FR36" s="145"/>
      <c r="FS36" s="145"/>
      <c r="FT36" s="145"/>
      <c r="FU36" s="145"/>
      <c r="FV36" s="145"/>
      <c r="FW36" s="145"/>
      <c r="FX36" s="145"/>
      <c r="FY36" s="145"/>
      <c r="FZ36" s="145"/>
      <c r="GA36" s="145"/>
      <c r="GB36" s="145"/>
      <c r="GC36" s="145"/>
      <c r="GD36" s="145"/>
      <c r="GE36" s="145"/>
      <c r="GF36" s="145"/>
      <c r="GG36" s="145"/>
      <c r="GH36" s="145"/>
      <c r="GI36" s="145"/>
      <c r="GJ36" s="145"/>
      <c r="GK36" s="145"/>
      <c r="GL36" s="145"/>
      <c r="GM36" s="145"/>
      <c r="GN36" s="145"/>
      <c r="GO36" s="145"/>
      <c r="GP36" s="145"/>
      <c r="GQ36" s="145"/>
      <c r="GR36" s="145"/>
      <c r="GS36" s="145"/>
      <c r="GT36" s="145"/>
      <c r="GU36" s="145"/>
      <c r="GV36" s="145"/>
      <c r="GW36" s="145"/>
      <c r="GX36" s="145"/>
      <c r="GY36" s="145"/>
      <c r="GZ36" s="145"/>
      <c r="HA36" s="145"/>
      <c r="HB36" s="145"/>
      <c r="HC36" s="145"/>
      <c r="HD36" s="145"/>
      <c r="HE36" s="145"/>
      <c r="HF36" s="145"/>
      <c r="HG36" s="145"/>
      <c r="HH36" s="145"/>
      <c r="HI36" s="145"/>
      <c r="HJ36" s="145"/>
      <c r="HK36" s="145"/>
      <c r="HL36" s="145"/>
      <c r="HM36" s="145"/>
      <c r="HN36" s="145"/>
      <c r="HO36" s="145"/>
      <c r="HP36" s="145"/>
      <c r="HQ36" s="145"/>
      <c r="HR36" s="145"/>
      <c r="HS36" s="145"/>
      <c r="HT36" s="145"/>
      <c r="HU36" s="145"/>
      <c r="HV36" s="145"/>
      <c r="HW36" s="145"/>
      <c r="HX36" s="145"/>
      <c r="HY36" s="145"/>
      <c r="HZ36" s="145"/>
      <c r="IA36" s="145"/>
      <c r="IB36" s="145"/>
      <c r="IC36" s="145"/>
      <c r="ID36" s="145"/>
      <c r="IE36" s="145"/>
      <c r="IF36" s="145"/>
      <c r="IG36" s="145"/>
      <c r="IH36" s="145"/>
      <c r="II36" s="145"/>
      <c r="IJ36" s="145"/>
      <c r="IK36" s="145"/>
      <c r="IL36" s="145"/>
      <c r="IM36" s="145"/>
      <c r="IN36" s="145"/>
      <c r="IO36" s="145"/>
      <c r="IP36" s="145"/>
      <c r="IQ36" s="145"/>
      <c r="IR36" s="145"/>
      <c r="IS36" s="145"/>
      <c r="IT36" s="145"/>
      <c r="IU36" s="145"/>
      <c r="IV36" s="145"/>
    </row>
    <row r="37" spans="1:14" ht="12.75">
      <c r="A37" s="30"/>
      <c r="B37" s="139" t="s">
        <v>598</v>
      </c>
      <c r="C37" s="179" t="s">
        <v>597</v>
      </c>
      <c r="D37" s="719">
        <v>13.73</v>
      </c>
      <c r="E37" s="720">
        <v>1632000</v>
      </c>
      <c r="F37" s="701">
        <f>E37*D37</f>
        <v>22407360</v>
      </c>
      <c r="G37" s="707"/>
      <c r="H37" s="702"/>
      <c r="I37" s="708"/>
      <c r="J37" s="700"/>
      <c r="K37" s="701"/>
      <c r="L37" s="721">
        <f t="shared" si="1"/>
        <v>22407360</v>
      </c>
      <c r="M37" s="31"/>
      <c r="N37" s="196"/>
    </row>
    <row r="38" spans="1:14" ht="12.75">
      <c r="A38" s="30"/>
      <c r="B38" s="139" t="s">
        <v>142</v>
      </c>
      <c r="C38" s="179" t="s">
        <v>143</v>
      </c>
      <c r="D38" s="719"/>
      <c r="E38" s="700"/>
      <c r="F38" s="701">
        <v>47795749</v>
      </c>
      <c r="G38" s="699"/>
      <c r="H38" s="702"/>
      <c r="I38" s="702"/>
      <c r="J38" s="700"/>
      <c r="K38" s="701"/>
      <c r="L38" s="721">
        <f>F38+K38</f>
        <v>47795749</v>
      </c>
      <c r="M38" s="31"/>
      <c r="N38" s="31"/>
    </row>
    <row r="39" spans="1:14" ht="12.75">
      <c r="A39" s="30"/>
      <c r="B39" s="139" t="s">
        <v>665</v>
      </c>
      <c r="C39" s="179" t="s">
        <v>666</v>
      </c>
      <c r="D39" s="699">
        <v>3955</v>
      </c>
      <c r="E39" s="700">
        <v>570</v>
      </c>
      <c r="F39" s="701">
        <f>D39*E39</f>
        <v>2254350</v>
      </c>
      <c r="G39" s="699"/>
      <c r="H39" s="702"/>
      <c r="I39" s="702"/>
      <c r="J39" s="700"/>
      <c r="K39" s="701"/>
      <c r="L39" s="721">
        <f t="shared" si="1"/>
        <v>2254350</v>
      </c>
      <c r="M39" s="31"/>
      <c r="N39" s="31"/>
    </row>
    <row r="40" spans="1:256" ht="12.75">
      <c r="A40" s="150" t="s">
        <v>535</v>
      </c>
      <c r="B40" s="158"/>
      <c r="C40" s="152" t="s">
        <v>514</v>
      </c>
      <c r="D40" s="153"/>
      <c r="E40" s="154"/>
      <c r="F40" s="155">
        <f>SUM(F42)</f>
        <v>10164240</v>
      </c>
      <c r="G40" s="715"/>
      <c r="H40" s="156"/>
      <c r="I40" s="716"/>
      <c r="J40" s="154"/>
      <c r="K40" s="155"/>
      <c r="L40" s="173">
        <f t="shared" si="1"/>
        <v>10164240</v>
      </c>
      <c r="M40" s="144"/>
      <c r="N40" s="175">
        <f>SUM(L42)</f>
        <v>10164240</v>
      </c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  <c r="BQ40" s="145"/>
      <c r="BR40" s="145"/>
      <c r="BS40" s="145"/>
      <c r="BT40" s="145"/>
      <c r="BU40" s="145"/>
      <c r="BV40" s="145"/>
      <c r="BW40" s="145"/>
      <c r="BX40" s="145"/>
      <c r="BY40" s="145"/>
      <c r="BZ40" s="145"/>
      <c r="CA40" s="145"/>
      <c r="CB40" s="145"/>
      <c r="CC40" s="145"/>
      <c r="CD40" s="145"/>
      <c r="CE40" s="145"/>
      <c r="CF40" s="145"/>
      <c r="CG40" s="145"/>
      <c r="CH40" s="145"/>
      <c r="CI40" s="145"/>
      <c r="CJ40" s="145"/>
      <c r="CK40" s="145"/>
      <c r="CL40" s="145"/>
      <c r="CM40" s="145"/>
      <c r="CN40" s="145"/>
      <c r="CO40" s="145"/>
      <c r="CP40" s="145"/>
      <c r="CQ40" s="145"/>
      <c r="CR40" s="145"/>
      <c r="CS40" s="145"/>
      <c r="CT40" s="145"/>
      <c r="CU40" s="145"/>
      <c r="CV40" s="145"/>
      <c r="CW40" s="145"/>
      <c r="CX40" s="145"/>
      <c r="CY40" s="145"/>
      <c r="CZ40" s="145"/>
      <c r="DA40" s="145"/>
      <c r="DB40" s="145"/>
      <c r="DC40" s="145"/>
      <c r="DD40" s="145"/>
      <c r="DE40" s="145"/>
      <c r="DF40" s="145"/>
      <c r="DG40" s="145"/>
      <c r="DH40" s="145"/>
      <c r="DI40" s="145"/>
      <c r="DJ40" s="145"/>
      <c r="DK40" s="145"/>
      <c r="DL40" s="145"/>
      <c r="DM40" s="145"/>
      <c r="DN40" s="145"/>
      <c r="DO40" s="145"/>
      <c r="DP40" s="145"/>
      <c r="DQ40" s="145"/>
      <c r="DR40" s="145"/>
      <c r="DS40" s="145"/>
      <c r="DT40" s="145"/>
      <c r="DU40" s="145"/>
      <c r="DV40" s="145"/>
      <c r="DW40" s="145"/>
      <c r="DX40" s="145"/>
      <c r="DY40" s="145"/>
      <c r="DZ40" s="145"/>
      <c r="EA40" s="145"/>
      <c r="EB40" s="145"/>
      <c r="EC40" s="145"/>
      <c r="ED40" s="145"/>
      <c r="EE40" s="145"/>
      <c r="EF40" s="145"/>
      <c r="EG40" s="145"/>
      <c r="EH40" s="145"/>
      <c r="EI40" s="145"/>
      <c r="EJ40" s="145"/>
      <c r="EK40" s="145"/>
      <c r="EL40" s="145"/>
      <c r="EM40" s="145"/>
      <c r="EN40" s="145"/>
      <c r="EO40" s="145"/>
      <c r="EP40" s="145"/>
      <c r="EQ40" s="145"/>
      <c r="ER40" s="145"/>
      <c r="ES40" s="145"/>
      <c r="ET40" s="145"/>
      <c r="EU40" s="145"/>
      <c r="EV40" s="145"/>
      <c r="EW40" s="145"/>
      <c r="EX40" s="145"/>
      <c r="EY40" s="145"/>
      <c r="EZ40" s="145"/>
      <c r="FA40" s="145"/>
      <c r="FB40" s="145"/>
      <c r="FC40" s="145"/>
      <c r="FD40" s="145"/>
      <c r="FE40" s="145"/>
      <c r="FF40" s="145"/>
      <c r="FG40" s="145"/>
      <c r="FH40" s="145"/>
      <c r="FI40" s="145"/>
      <c r="FJ40" s="145"/>
      <c r="FK40" s="145"/>
      <c r="FL40" s="145"/>
      <c r="FM40" s="145"/>
      <c r="FN40" s="145"/>
      <c r="FO40" s="145"/>
      <c r="FP40" s="145"/>
      <c r="FQ40" s="145"/>
      <c r="FR40" s="145"/>
      <c r="FS40" s="145"/>
      <c r="FT40" s="145"/>
      <c r="FU40" s="145"/>
      <c r="FV40" s="145"/>
      <c r="FW40" s="145"/>
      <c r="FX40" s="145"/>
      <c r="FY40" s="145"/>
      <c r="FZ40" s="145"/>
      <c r="GA40" s="145"/>
      <c r="GB40" s="145"/>
      <c r="GC40" s="145"/>
      <c r="GD40" s="145"/>
      <c r="GE40" s="145"/>
      <c r="GF40" s="145"/>
      <c r="GG40" s="145"/>
      <c r="GH40" s="145"/>
      <c r="GI40" s="145"/>
      <c r="GJ40" s="145"/>
      <c r="GK40" s="145"/>
      <c r="GL40" s="145"/>
      <c r="GM40" s="145"/>
      <c r="GN40" s="145"/>
      <c r="GO40" s="145"/>
      <c r="GP40" s="145"/>
      <c r="GQ40" s="145"/>
      <c r="GR40" s="145"/>
      <c r="GS40" s="145"/>
      <c r="GT40" s="145"/>
      <c r="GU40" s="145"/>
      <c r="GV40" s="145"/>
      <c r="GW40" s="145"/>
      <c r="GX40" s="145"/>
      <c r="GY40" s="145"/>
      <c r="GZ40" s="145"/>
      <c r="HA40" s="145"/>
      <c r="HB40" s="145"/>
      <c r="HC40" s="145"/>
      <c r="HD40" s="145"/>
      <c r="HE40" s="145"/>
      <c r="HF40" s="145"/>
      <c r="HG40" s="145"/>
      <c r="HH40" s="145"/>
      <c r="HI40" s="145"/>
      <c r="HJ40" s="145"/>
      <c r="HK40" s="145"/>
      <c r="HL40" s="145"/>
      <c r="HM40" s="145"/>
      <c r="HN40" s="145"/>
      <c r="HO40" s="145"/>
      <c r="HP40" s="145"/>
      <c r="HQ40" s="145"/>
      <c r="HR40" s="145"/>
      <c r="HS40" s="145"/>
      <c r="HT40" s="145"/>
      <c r="HU40" s="145"/>
      <c r="HV40" s="145"/>
      <c r="HW40" s="145"/>
      <c r="HX40" s="145"/>
      <c r="HY40" s="145"/>
      <c r="HZ40" s="145"/>
      <c r="IA40" s="145"/>
      <c r="IB40" s="145"/>
      <c r="IC40" s="145"/>
      <c r="ID40" s="145"/>
      <c r="IE40" s="145"/>
      <c r="IF40" s="145"/>
      <c r="IG40" s="145"/>
      <c r="IH40" s="145"/>
      <c r="II40" s="145"/>
      <c r="IJ40" s="145"/>
      <c r="IK40" s="145"/>
      <c r="IL40" s="145"/>
      <c r="IM40" s="145"/>
      <c r="IN40" s="145"/>
      <c r="IO40" s="145"/>
      <c r="IP40" s="145"/>
      <c r="IQ40" s="145"/>
      <c r="IR40" s="145"/>
      <c r="IS40" s="145"/>
      <c r="IT40" s="145"/>
      <c r="IU40" s="145"/>
      <c r="IV40" s="145"/>
    </row>
    <row r="41" spans="1:256" ht="12.75">
      <c r="A41" s="141"/>
      <c r="B41" s="142" t="s">
        <v>600</v>
      </c>
      <c r="C41" s="146" t="s">
        <v>601</v>
      </c>
      <c r="D41" s="709"/>
      <c r="E41" s="710"/>
      <c r="F41" s="695"/>
      <c r="G41" s="711"/>
      <c r="H41" s="697"/>
      <c r="I41" s="712"/>
      <c r="J41" s="694"/>
      <c r="K41" s="695"/>
      <c r="L41" s="698"/>
      <c r="M41" s="144"/>
      <c r="N41" s="196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5"/>
      <c r="BX41" s="145"/>
      <c r="BY41" s="145"/>
      <c r="BZ41" s="145"/>
      <c r="CA41" s="145"/>
      <c r="CB41" s="145"/>
      <c r="CC41" s="145"/>
      <c r="CD41" s="145"/>
      <c r="CE41" s="145"/>
      <c r="CF41" s="145"/>
      <c r="CG41" s="145"/>
      <c r="CH41" s="145"/>
      <c r="CI41" s="145"/>
      <c r="CJ41" s="145"/>
      <c r="CK41" s="145"/>
      <c r="CL41" s="145"/>
      <c r="CM41" s="145"/>
      <c r="CN41" s="145"/>
      <c r="CO41" s="145"/>
      <c r="CP41" s="145"/>
      <c r="CQ41" s="145"/>
      <c r="CR41" s="145"/>
      <c r="CS41" s="145"/>
      <c r="CT41" s="145"/>
      <c r="CU41" s="145"/>
      <c r="CV41" s="145"/>
      <c r="CW41" s="145"/>
      <c r="CX41" s="145"/>
      <c r="CY41" s="145"/>
      <c r="CZ41" s="145"/>
      <c r="DA41" s="145"/>
      <c r="DB41" s="145"/>
      <c r="DC41" s="145"/>
      <c r="DD41" s="145"/>
      <c r="DE41" s="145"/>
      <c r="DF41" s="145"/>
      <c r="DG41" s="145"/>
      <c r="DH41" s="145"/>
      <c r="DI41" s="145"/>
      <c r="DJ41" s="145"/>
      <c r="DK41" s="145"/>
      <c r="DL41" s="145"/>
      <c r="DM41" s="145"/>
      <c r="DN41" s="145"/>
      <c r="DO41" s="145"/>
      <c r="DP41" s="145"/>
      <c r="DQ41" s="145"/>
      <c r="DR41" s="145"/>
      <c r="DS41" s="145"/>
      <c r="DT41" s="145"/>
      <c r="DU41" s="145"/>
      <c r="DV41" s="145"/>
      <c r="DW41" s="145"/>
      <c r="DX41" s="145"/>
      <c r="DY41" s="145"/>
      <c r="DZ41" s="145"/>
      <c r="EA41" s="145"/>
      <c r="EB41" s="145"/>
      <c r="EC41" s="145"/>
      <c r="ED41" s="145"/>
      <c r="EE41" s="145"/>
      <c r="EF41" s="145"/>
      <c r="EG41" s="145"/>
      <c r="EH41" s="145"/>
      <c r="EI41" s="145"/>
      <c r="EJ41" s="145"/>
      <c r="EK41" s="145"/>
      <c r="EL41" s="145"/>
      <c r="EM41" s="145"/>
      <c r="EN41" s="145"/>
      <c r="EO41" s="145"/>
      <c r="EP41" s="145"/>
      <c r="EQ41" s="145"/>
      <c r="ER41" s="145"/>
      <c r="ES41" s="145"/>
      <c r="ET41" s="145"/>
      <c r="EU41" s="145"/>
      <c r="EV41" s="145"/>
      <c r="EW41" s="145"/>
      <c r="EX41" s="145"/>
      <c r="EY41" s="145"/>
      <c r="EZ41" s="145"/>
      <c r="FA41" s="145"/>
      <c r="FB41" s="145"/>
      <c r="FC41" s="145"/>
      <c r="FD41" s="145"/>
      <c r="FE41" s="145"/>
      <c r="FF41" s="145"/>
      <c r="FG41" s="145"/>
      <c r="FH41" s="145"/>
      <c r="FI41" s="145"/>
      <c r="FJ41" s="145"/>
      <c r="FK41" s="145"/>
      <c r="FL41" s="145"/>
      <c r="FM41" s="145"/>
      <c r="FN41" s="145"/>
      <c r="FO41" s="145"/>
      <c r="FP41" s="145"/>
      <c r="FQ41" s="145"/>
      <c r="FR41" s="145"/>
      <c r="FS41" s="145"/>
      <c r="FT41" s="145"/>
      <c r="FU41" s="145"/>
      <c r="FV41" s="145"/>
      <c r="FW41" s="145"/>
      <c r="FX41" s="145"/>
      <c r="FY41" s="145"/>
      <c r="FZ41" s="145"/>
      <c r="GA41" s="145"/>
      <c r="GB41" s="145"/>
      <c r="GC41" s="145"/>
      <c r="GD41" s="145"/>
      <c r="GE41" s="145"/>
      <c r="GF41" s="145"/>
      <c r="GG41" s="145"/>
      <c r="GH41" s="145"/>
      <c r="GI41" s="145"/>
      <c r="GJ41" s="145"/>
      <c r="GK41" s="145"/>
      <c r="GL41" s="145"/>
      <c r="GM41" s="145"/>
      <c r="GN41" s="145"/>
      <c r="GO41" s="145"/>
      <c r="GP41" s="145"/>
      <c r="GQ41" s="145"/>
      <c r="GR41" s="145"/>
      <c r="GS41" s="145"/>
      <c r="GT41" s="145"/>
      <c r="GU41" s="145"/>
      <c r="GV41" s="145"/>
      <c r="GW41" s="145"/>
      <c r="GX41" s="145"/>
      <c r="GY41" s="145"/>
      <c r="GZ41" s="145"/>
      <c r="HA41" s="145"/>
      <c r="HB41" s="145"/>
      <c r="HC41" s="145"/>
      <c r="HD41" s="145"/>
      <c r="HE41" s="145"/>
      <c r="HF41" s="145"/>
      <c r="HG41" s="145"/>
      <c r="HH41" s="145"/>
      <c r="HI41" s="145"/>
      <c r="HJ41" s="145"/>
      <c r="HK41" s="145"/>
      <c r="HL41" s="145"/>
      <c r="HM41" s="145"/>
      <c r="HN41" s="145"/>
      <c r="HO41" s="145"/>
      <c r="HP41" s="145"/>
      <c r="HQ41" s="145"/>
      <c r="HR41" s="145"/>
      <c r="HS41" s="145"/>
      <c r="HT41" s="145"/>
      <c r="HU41" s="145"/>
      <c r="HV41" s="145"/>
      <c r="HW41" s="145"/>
      <c r="HX41" s="145"/>
      <c r="HY41" s="145"/>
      <c r="HZ41" s="145"/>
      <c r="IA41" s="145"/>
      <c r="IB41" s="145"/>
      <c r="IC41" s="145"/>
      <c r="ID41" s="145"/>
      <c r="IE41" s="145"/>
      <c r="IF41" s="145"/>
      <c r="IG41" s="145"/>
      <c r="IH41" s="145"/>
      <c r="II41" s="145"/>
      <c r="IJ41" s="145"/>
      <c r="IK41" s="145"/>
      <c r="IL41" s="145"/>
      <c r="IM41" s="145"/>
      <c r="IN41" s="145"/>
      <c r="IO41" s="145"/>
      <c r="IP41" s="145"/>
      <c r="IQ41" s="145"/>
      <c r="IR41" s="145"/>
      <c r="IS41" s="145"/>
      <c r="IT41" s="145"/>
      <c r="IU41" s="145"/>
      <c r="IV41" s="145"/>
    </row>
    <row r="42" spans="1:14" ht="25.5">
      <c r="A42" s="30"/>
      <c r="B42" s="139" t="s">
        <v>599</v>
      </c>
      <c r="C42" s="179" t="s">
        <v>144</v>
      </c>
      <c r="D42" s="699">
        <v>8916</v>
      </c>
      <c r="E42" s="700">
        <v>1140</v>
      </c>
      <c r="F42" s="701">
        <f>D42*E42</f>
        <v>10164240</v>
      </c>
      <c r="G42" s="722"/>
      <c r="H42" s="723"/>
      <c r="I42" s="718"/>
      <c r="J42" s="720"/>
      <c r="K42" s="701"/>
      <c r="L42" s="703">
        <f t="shared" si="1"/>
        <v>10164240</v>
      </c>
      <c r="M42" s="31"/>
      <c r="N42" s="31"/>
    </row>
    <row r="43" spans="1:256" ht="15">
      <c r="A43" s="1106" t="s">
        <v>538</v>
      </c>
      <c r="B43" s="1106"/>
      <c r="C43" s="1107"/>
      <c r="D43" s="724" t="s">
        <v>505</v>
      </c>
      <c r="E43" s="725" t="s">
        <v>505</v>
      </c>
      <c r="F43" s="726">
        <f>SUM(F40,F30,F18,F8)</f>
        <v>336260408</v>
      </c>
      <c r="G43" s="724" t="s">
        <v>505</v>
      </c>
      <c r="H43" s="727" t="s">
        <v>505</v>
      </c>
      <c r="I43" s="727" t="s">
        <v>505</v>
      </c>
      <c r="J43" s="725" t="s">
        <v>505</v>
      </c>
      <c r="K43" s="726">
        <f>SUM(K40,K30,K18,K8)</f>
        <v>150507947</v>
      </c>
      <c r="L43" s="728">
        <f>SUM(L40,L30,L18,L8)</f>
        <v>486768355</v>
      </c>
      <c r="M43" s="33"/>
      <c r="N43" s="34">
        <f>SUM(N40,N30,N18,N8)</f>
        <v>486768355</v>
      </c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  <c r="IS43" s="35"/>
      <c r="IT43" s="35"/>
      <c r="IU43" s="35"/>
      <c r="IV43" s="35"/>
    </row>
    <row r="44" spans="4:12" ht="12.75">
      <c r="D44" s="729"/>
      <c r="E44" s="729"/>
      <c r="F44" s="729"/>
      <c r="G44" s="729"/>
      <c r="H44" s="729"/>
      <c r="I44" s="729"/>
      <c r="J44" s="729"/>
      <c r="K44" s="729"/>
      <c r="L44" s="729"/>
    </row>
    <row r="45" spans="1:12" ht="12.75">
      <c r="A45" s="765"/>
      <c r="B45" s="766"/>
      <c r="C45" s="768" t="s">
        <v>941</v>
      </c>
      <c r="D45" s="770"/>
      <c r="E45" s="767"/>
      <c r="F45" s="701">
        <v>1835612</v>
      </c>
      <c r="G45" s="769"/>
      <c r="H45" s="767"/>
      <c r="I45" s="767"/>
      <c r="J45" s="767"/>
      <c r="K45" s="771"/>
      <c r="L45" s="703">
        <f>F45+K45</f>
        <v>1835612</v>
      </c>
    </row>
    <row r="46" spans="1:12" ht="12.75">
      <c r="A46" s="765" t="s">
        <v>522</v>
      </c>
      <c r="B46" s="766" t="s">
        <v>986</v>
      </c>
      <c r="C46" s="768" t="s">
        <v>985</v>
      </c>
      <c r="D46" s="770"/>
      <c r="E46" s="767"/>
      <c r="F46" s="701">
        <v>6949788</v>
      </c>
      <c r="G46" s="769"/>
      <c r="H46" s="767"/>
      <c r="I46" s="767"/>
      <c r="J46" s="767"/>
      <c r="K46" s="771"/>
      <c r="L46" s="703">
        <f>F46+K46</f>
        <v>6949788</v>
      </c>
    </row>
    <row r="47" spans="1:12" ht="12.75">
      <c r="A47" s="765"/>
      <c r="B47" s="766"/>
      <c r="C47" s="768" t="s">
        <v>952</v>
      </c>
      <c r="D47" s="770"/>
      <c r="E47" s="767"/>
      <c r="F47" s="701">
        <v>1614100</v>
      </c>
      <c r="G47" s="769"/>
      <c r="H47" s="767"/>
      <c r="I47" s="767"/>
      <c r="J47" s="767"/>
      <c r="K47" s="771"/>
      <c r="L47" s="703">
        <f>F47+K47</f>
        <v>1614100</v>
      </c>
    </row>
    <row r="48" spans="1:256" ht="15">
      <c r="A48" s="1106" t="s">
        <v>987</v>
      </c>
      <c r="B48" s="1106"/>
      <c r="C48" s="1107"/>
      <c r="D48" s="724" t="s">
        <v>505</v>
      </c>
      <c r="E48" s="725" t="s">
        <v>505</v>
      </c>
      <c r="F48" s="726">
        <f>SUM(F45:F47)</f>
        <v>10399500</v>
      </c>
      <c r="G48" s="724" t="s">
        <v>505</v>
      </c>
      <c r="H48" s="727" t="s">
        <v>505</v>
      </c>
      <c r="I48" s="727" t="s">
        <v>505</v>
      </c>
      <c r="J48" s="725" t="s">
        <v>505</v>
      </c>
      <c r="K48" s="772" t="s">
        <v>505</v>
      </c>
      <c r="L48" s="773">
        <f>F48</f>
        <v>10399500</v>
      </c>
      <c r="M48" s="33"/>
      <c r="N48" s="34">
        <f>SUM(L45:L47)</f>
        <v>10399500</v>
      </c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  <c r="IS48" s="35"/>
      <c r="IT48" s="35"/>
      <c r="IU48" s="35"/>
      <c r="IV48" s="35"/>
    </row>
    <row r="49" spans="4:12" ht="12.75">
      <c r="D49" s="729"/>
      <c r="E49" s="729"/>
      <c r="F49" s="701"/>
      <c r="G49" s="729"/>
      <c r="H49" s="729"/>
      <c r="I49" s="729"/>
      <c r="J49" s="729"/>
      <c r="K49" s="729"/>
      <c r="L49" s="729"/>
    </row>
    <row r="50" spans="1:256" ht="16.5">
      <c r="A50" s="1108" t="s">
        <v>145</v>
      </c>
      <c r="B50" s="1108"/>
      <c r="C50" s="1109"/>
      <c r="D50" s="730" t="s">
        <v>505</v>
      </c>
      <c r="E50" s="731" t="s">
        <v>505</v>
      </c>
      <c r="F50" s="732">
        <f>SUM(F43+F48)</f>
        <v>346659908</v>
      </c>
      <c r="G50" s="730" t="s">
        <v>505</v>
      </c>
      <c r="H50" s="733" t="s">
        <v>505</v>
      </c>
      <c r="I50" s="733" t="s">
        <v>505</v>
      </c>
      <c r="J50" s="731" t="s">
        <v>505</v>
      </c>
      <c r="K50" s="732">
        <f>SUM(K43)</f>
        <v>150507947</v>
      </c>
      <c r="L50" s="732">
        <f>SUM(L43+L48)</f>
        <v>497167855</v>
      </c>
      <c r="M50" s="33"/>
      <c r="N50" s="34">
        <f>SUM(K50+F50)</f>
        <v>497167855</v>
      </c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  <c r="IS50" s="35"/>
      <c r="IT50" s="35"/>
      <c r="IU50" s="35"/>
      <c r="IV50" s="35"/>
    </row>
  </sheetData>
  <sheetProtection/>
  <mergeCells count="11">
    <mergeCell ref="A2:K2"/>
    <mergeCell ref="A3:K3"/>
    <mergeCell ref="A5:C5"/>
    <mergeCell ref="D5:F5"/>
    <mergeCell ref="G5:K5"/>
    <mergeCell ref="A48:C48"/>
    <mergeCell ref="A43:C43"/>
    <mergeCell ref="A50:C50"/>
    <mergeCell ref="L5:L6"/>
    <mergeCell ref="A6:B6"/>
    <mergeCell ref="A7:B7"/>
  </mergeCells>
  <printOptions horizontalCentered="1" verticalCentered="1"/>
  <pageMargins left="0.1968503937007874" right="0.1968503937007874" top="0.5118110236220472" bottom="0.5118110236220472" header="0.5118110236220472" footer="0.5118110236220472"/>
  <pageSetup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4.625" style="774" customWidth="1"/>
    <col min="2" max="2" width="36.125" style="206" customWidth="1"/>
    <col min="3" max="3" width="15.00390625" style="206" customWidth="1"/>
    <col min="4" max="4" width="10.00390625" style="206" customWidth="1"/>
    <col min="5" max="5" width="11.875" style="206" customWidth="1"/>
    <col min="6" max="6" width="15.375" style="206" customWidth="1"/>
    <col min="7" max="7" width="16.625" style="206" customWidth="1"/>
  </cols>
  <sheetData>
    <row r="1" spans="2:7" ht="15">
      <c r="B1" s="1140" t="s">
        <v>1025</v>
      </c>
      <c r="C1" s="1140"/>
      <c r="D1" s="1140"/>
      <c r="E1" s="1140"/>
      <c r="F1" s="1140"/>
      <c r="G1" s="1140"/>
    </row>
    <row r="4" spans="2:7" ht="39.75" customHeight="1">
      <c r="B4" s="1141" t="s">
        <v>994</v>
      </c>
      <c r="C4" s="1141"/>
      <c r="D4" s="1141"/>
      <c r="E4" s="1141"/>
      <c r="F4" s="1141"/>
      <c r="G4" s="1141"/>
    </row>
    <row r="7" ht="13.5" thickBot="1"/>
    <row r="8" spans="1:7" ht="12.75">
      <c r="A8" s="1142" t="s">
        <v>482</v>
      </c>
      <c r="B8" s="1145" t="s">
        <v>394</v>
      </c>
      <c r="C8" s="1148" t="s">
        <v>996</v>
      </c>
      <c r="D8" s="1149"/>
      <c r="E8" s="1149"/>
      <c r="F8" s="1150" t="s">
        <v>997</v>
      </c>
      <c r="G8" s="1150" t="s">
        <v>998</v>
      </c>
    </row>
    <row r="9" spans="1:7" ht="12.75">
      <c r="A9" s="1143"/>
      <c r="B9" s="1146"/>
      <c r="C9" s="1153" t="s">
        <v>470</v>
      </c>
      <c r="D9" s="1154" t="s">
        <v>988</v>
      </c>
      <c r="E9" s="1155"/>
      <c r="F9" s="1151"/>
      <c r="G9" s="1151"/>
    </row>
    <row r="10" spans="1:7" ht="36" customHeight="1">
      <c r="A10" s="1144"/>
      <c r="B10" s="1147"/>
      <c r="C10" s="1153"/>
      <c r="D10" s="776" t="s">
        <v>492</v>
      </c>
      <c r="E10" s="808">
        <v>43281</v>
      </c>
      <c r="F10" s="1152"/>
      <c r="G10" s="1152"/>
    </row>
    <row r="11" spans="1:7" ht="13.5" thickBot="1">
      <c r="A11" s="775" t="s">
        <v>476</v>
      </c>
      <c r="B11" s="777" t="s">
        <v>477</v>
      </c>
      <c r="C11" s="778" t="s">
        <v>478</v>
      </c>
      <c r="D11" s="779" t="s">
        <v>479</v>
      </c>
      <c r="E11" s="780" t="s">
        <v>480</v>
      </c>
      <c r="F11" s="781" t="s">
        <v>425</v>
      </c>
      <c r="G11" s="782" t="s">
        <v>426</v>
      </c>
    </row>
    <row r="12" spans="1:7" ht="19.5" thickBot="1" thickTop="1">
      <c r="A12" s="783">
        <v>1</v>
      </c>
      <c r="B12" s="1132" t="s">
        <v>103</v>
      </c>
      <c r="C12" s="1133"/>
      <c r="D12" s="1133"/>
      <c r="E12" s="1133"/>
      <c r="F12" s="1133"/>
      <c r="G12" s="1134"/>
    </row>
    <row r="13" spans="1:7" ht="33.75" customHeight="1" thickBot="1" thickTop="1">
      <c r="A13" s="784">
        <v>2</v>
      </c>
      <c r="B13" s="1125" t="s">
        <v>995</v>
      </c>
      <c r="C13" s="1126"/>
      <c r="D13" s="1126"/>
      <c r="E13" s="1126"/>
      <c r="F13" s="1126"/>
      <c r="G13" s="1127"/>
    </row>
    <row r="14" spans="1:7" ht="12.75">
      <c r="A14" s="786">
        <v>3</v>
      </c>
      <c r="B14" s="787" t="s">
        <v>989</v>
      </c>
      <c r="C14" s="789">
        <f>SUM(D14:E14)</f>
        <v>0</v>
      </c>
      <c r="D14" s="788"/>
      <c r="E14" s="788"/>
      <c r="F14" s="789"/>
      <c r="G14" s="789">
        <v>0</v>
      </c>
    </row>
    <row r="15" spans="1:7" ht="13.5" thickBot="1">
      <c r="A15" s="786">
        <v>4</v>
      </c>
      <c r="B15" s="790" t="s">
        <v>990</v>
      </c>
      <c r="C15" s="793">
        <f>SUM(D15:E15)</f>
        <v>7000000</v>
      </c>
      <c r="D15" s="791">
        <v>7000000</v>
      </c>
      <c r="E15" s="792">
        <v>0</v>
      </c>
      <c r="F15" s="793">
        <v>7000000</v>
      </c>
      <c r="G15" s="793"/>
    </row>
    <row r="16" spans="1:7" ht="13.5" thickBot="1">
      <c r="A16" s="786">
        <v>5</v>
      </c>
      <c r="B16" s="794" t="s">
        <v>991</v>
      </c>
      <c r="C16" s="796">
        <f>SUM(D16:E16)</f>
        <v>7000000</v>
      </c>
      <c r="D16" s="795">
        <f>SUM(D14+D15)</f>
        <v>7000000</v>
      </c>
      <c r="E16" s="795">
        <f>SUM(E14+E15)</f>
        <v>0</v>
      </c>
      <c r="F16" s="796">
        <f>SUM(F14+F15)</f>
        <v>7000000</v>
      </c>
      <c r="G16" s="797">
        <f>SUM(G14+G15)</f>
        <v>0</v>
      </c>
    </row>
    <row r="17" spans="1:7" ht="13.5" thickBot="1">
      <c r="A17" s="786">
        <v>6</v>
      </c>
      <c r="B17" s="1135"/>
      <c r="C17" s="1136"/>
      <c r="D17" s="1137"/>
      <c r="E17" s="1137"/>
      <c r="F17" s="1138"/>
      <c r="G17" s="785"/>
    </row>
    <row r="18" spans="1:7" ht="13.5" thickBot="1">
      <c r="A18" s="798">
        <v>7</v>
      </c>
      <c r="B18" s="799" t="s">
        <v>992</v>
      </c>
      <c r="C18" s="800">
        <f>SUM(D18:E18)</f>
        <v>3150000</v>
      </c>
      <c r="D18" s="1128">
        <v>3150000</v>
      </c>
      <c r="E18" s="1129"/>
      <c r="F18" s="789"/>
      <c r="G18" s="789">
        <v>3150000</v>
      </c>
    </row>
    <row r="19" spans="1:7" ht="13.5" thickBot="1">
      <c r="A19" s="798">
        <v>8</v>
      </c>
      <c r="B19" s="802" t="s">
        <v>993</v>
      </c>
      <c r="C19" s="801">
        <f>SUM(D19:E19)</f>
        <v>3850000</v>
      </c>
      <c r="D19" s="1128">
        <v>3850000</v>
      </c>
      <c r="E19" s="1129"/>
      <c r="F19" s="793"/>
      <c r="G19" s="793">
        <v>3850000</v>
      </c>
    </row>
    <row r="20" spans="1:7" ht="13.5" thickBot="1">
      <c r="A20" s="803">
        <v>9</v>
      </c>
      <c r="B20" s="804" t="s">
        <v>403</v>
      </c>
      <c r="C20" s="805">
        <f>SUM(C18:C19)</f>
        <v>7000000</v>
      </c>
      <c r="D20" s="1130">
        <f>SUM(D18:D19)</f>
        <v>7000000</v>
      </c>
      <c r="E20" s="1131"/>
      <c r="F20" s="806">
        <f>SUM(F18:F19)</f>
        <v>0</v>
      </c>
      <c r="G20" s="807">
        <f>SUM(G18:G19)</f>
        <v>7000000</v>
      </c>
    </row>
    <row r="21" spans="1:7" ht="13.5" thickTop="1">
      <c r="A21" s="809"/>
      <c r="B21" s="1139"/>
      <c r="C21" s="1139"/>
      <c r="D21" s="1139"/>
      <c r="E21" s="1139"/>
      <c r="F21" s="1139"/>
      <c r="G21" s="1139"/>
    </row>
  </sheetData>
  <sheetProtection/>
  <mergeCells count="16">
    <mergeCell ref="B21:G21"/>
    <mergeCell ref="B1:G1"/>
    <mergeCell ref="B4:G4"/>
    <mergeCell ref="A8:A10"/>
    <mergeCell ref="B8:B10"/>
    <mergeCell ref="C8:E8"/>
    <mergeCell ref="F8:F10"/>
    <mergeCell ref="G8:G10"/>
    <mergeCell ref="C9:C10"/>
    <mergeCell ref="D9:E9"/>
    <mergeCell ref="B13:G13"/>
    <mergeCell ref="D18:E18"/>
    <mergeCell ref="D19:E19"/>
    <mergeCell ref="D20:E20"/>
    <mergeCell ref="B12:G12"/>
    <mergeCell ref="B17:F17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78"/>
  <sheetViews>
    <sheetView workbookViewId="0" topLeftCell="A1">
      <selection activeCell="A2" sqref="A2"/>
    </sheetView>
  </sheetViews>
  <sheetFormatPr defaultColWidth="9.00390625" defaultRowHeight="12.75"/>
  <cols>
    <col min="1" max="1" width="6.125" style="206" customWidth="1"/>
    <col min="2" max="4" width="9.125" style="206" customWidth="1"/>
    <col min="5" max="5" width="40.375" style="206" customWidth="1"/>
    <col min="6" max="7" width="14.125" style="206" bestFit="1" customWidth="1"/>
    <col min="8" max="8" width="14.875" style="206" customWidth="1"/>
    <col min="9" max="9" width="16.00390625" style="206" bestFit="1" customWidth="1"/>
    <col min="10" max="16384" width="9.125" style="206" customWidth="1"/>
  </cols>
  <sheetData>
    <row r="1" spans="1:9" s="210" customFormat="1" ht="12.75">
      <c r="A1" s="831" t="s">
        <v>1015</v>
      </c>
      <c r="B1" s="831"/>
      <c r="C1" s="831"/>
      <c r="D1" s="831"/>
      <c r="E1" s="831"/>
      <c r="F1" s="831"/>
      <c r="G1" s="831"/>
      <c r="H1" s="831"/>
      <c r="I1" s="831"/>
    </row>
    <row r="2" spans="1:9" s="210" customFormat="1" ht="9.75" customHeight="1">
      <c r="A2" s="211"/>
      <c r="B2" s="212"/>
      <c r="C2" s="212"/>
      <c r="D2" s="212"/>
      <c r="E2" s="212"/>
      <c r="F2" s="212"/>
      <c r="G2" s="212"/>
      <c r="H2" s="212"/>
      <c r="I2" s="212"/>
    </row>
    <row r="3" spans="1:9" s="210" customFormat="1" ht="16.5">
      <c r="A3" s="832" t="s">
        <v>738</v>
      </c>
      <c r="B3" s="832"/>
      <c r="C3" s="832"/>
      <c r="D3" s="832"/>
      <c r="E3" s="832"/>
      <c r="F3" s="832"/>
      <c r="G3" s="832"/>
      <c r="H3" s="832"/>
      <c r="I3" s="832"/>
    </row>
    <row r="4" spans="1:9" s="210" customFormat="1" ht="12.75">
      <c r="A4" s="211"/>
      <c r="B4" s="212"/>
      <c r="C4" s="212"/>
      <c r="D4" s="212"/>
      <c r="E4" s="212"/>
      <c r="F4" s="212"/>
      <c r="G4" s="212"/>
      <c r="H4" s="212"/>
      <c r="I4" s="212"/>
    </row>
    <row r="5" spans="1:9" ht="78" customHeight="1">
      <c r="A5" s="833" t="s">
        <v>0</v>
      </c>
      <c r="B5" s="834"/>
      <c r="C5" s="834"/>
      <c r="D5" s="834"/>
      <c r="E5" s="835"/>
      <c r="F5" s="213" t="s">
        <v>103</v>
      </c>
      <c r="G5" s="213" t="s">
        <v>405</v>
      </c>
      <c r="H5" s="213" t="s">
        <v>653</v>
      </c>
      <c r="I5" s="214" t="s">
        <v>398</v>
      </c>
    </row>
    <row r="6" spans="1:9" s="217" customFormat="1" ht="15">
      <c r="A6" s="215" t="s">
        <v>476</v>
      </c>
      <c r="B6" s="836" t="s">
        <v>477</v>
      </c>
      <c r="C6" s="837"/>
      <c r="D6" s="837"/>
      <c r="E6" s="838"/>
      <c r="F6" s="216" t="s">
        <v>478</v>
      </c>
      <c r="G6" s="216" t="s">
        <v>479</v>
      </c>
      <c r="H6" s="216" t="s">
        <v>480</v>
      </c>
      <c r="I6" s="216" t="s">
        <v>481</v>
      </c>
    </row>
    <row r="7" spans="1:9" ht="14.25" customHeight="1">
      <c r="A7" s="218" t="s">
        <v>1</v>
      </c>
      <c r="B7" s="839" t="s">
        <v>373</v>
      </c>
      <c r="C7" s="839"/>
      <c r="D7" s="839"/>
      <c r="E7" s="839"/>
      <c r="F7" s="205">
        <f>92387486-146050-511475+110000+169300+13200+89907417+30882431</f>
        <v>212812309</v>
      </c>
      <c r="G7" s="205">
        <f>80677920-2363520+2363520+492700</f>
        <v>81170620</v>
      </c>
      <c r="H7" s="205">
        <f>166158515-4316832-4040568-396235-1002512-1404438-2940488+719400</f>
        <v>152776842</v>
      </c>
      <c r="I7" s="205">
        <f>SUM(F7:H7)</f>
        <v>446759771</v>
      </c>
    </row>
    <row r="8" spans="1:9" ht="13.5" customHeight="1">
      <c r="A8" s="218" t="s">
        <v>3</v>
      </c>
      <c r="B8" s="839" t="s">
        <v>4</v>
      </c>
      <c r="C8" s="839"/>
      <c r="D8" s="839"/>
      <c r="E8" s="839"/>
      <c r="F8" s="205">
        <f>21556765-32131-112525+430000+24200+37246+2904+9889529+3396993</f>
        <v>35192981</v>
      </c>
      <c r="G8" s="205">
        <f>17050148-519974+519974+108394</f>
        <v>17158542</v>
      </c>
      <c r="H8" s="205">
        <f>38950681-905752-967690-89062-220552-308976-638987+158268</f>
        <v>35977930</v>
      </c>
      <c r="I8" s="205">
        <f>SUM(F8:H8)</f>
        <v>88329453</v>
      </c>
    </row>
    <row r="9" spans="1:9" ht="12" customHeight="1">
      <c r="A9" s="218" t="s">
        <v>5</v>
      </c>
      <c r="B9" s="839" t="s">
        <v>6</v>
      </c>
      <c r="C9" s="839"/>
      <c r="D9" s="839"/>
      <c r="E9" s="839"/>
      <c r="F9" s="205">
        <f>218957105-2000000+3850000+500000+178181-1000000-1500000-500000+624000+6762752+1479371+22851+788800+17100+1204560+1176540+214270+608965+379000+255887+237516+8426434+6312014+1686276+1143687+20948+100000+48289-88773</f>
        <v>249905773</v>
      </c>
      <c r="G9" s="205">
        <f>20762878+146050</f>
        <v>20908928</v>
      </c>
      <c r="H9" s="205">
        <f>59134971-100000-302000-1087176-947010</f>
        <v>56698785</v>
      </c>
      <c r="I9" s="205">
        <f>SUM(F9:H9)</f>
        <v>327513486</v>
      </c>
    </row>
    <row r="10" spans="1:9" ht="12.75">
      <c r="A10" s="218" t="s">
        <v>8</v>
      </c>
      <c r="B10" s="839" t="s">
        <v>9</v>
      </c>
      <c r="C10" s="839"/>
      <c r="D10" s="839"/>
      <c r="E10" s="839"/>
      <c r="F10" s="205">
        <f>SUM(F11,F12,F15:F20)</f>
        <v>3804900</v>
      </c>
      <c r="G10" s="205">
        <f>SUM(G11,G12,G15:G20)</f>
        <v>12486120</v>
      </c>
      <c r="H10" s="205">
        <f>SUM(H11,H12,H15:H20)</f>
        <v>0</v>
      </c>
      <c r="I10" s="205">
        <f>SUM(F10:H10)</f>
        <v>16291020</v>
      </c>
    </row>
    <row r="11" spans="1:9" ht="12.75" hidden="1">
      <c r="A11" s="201"/>
      <c r="B11" s="201" t="s">
        <v>10</v>
      </c>
      <c r="C11" s="827" t="s">
        <v>11</v>
      </c>
      <c r="D11" s="829"/>
      <c r="E11" s="828"/>
      <c r="F11" s="204">
        <v>0</v>
      </c>
      <c r="G11" s="204">
        <v>0</v>
      </c>
      <c r="H11" s="204">
        <v>0</v>
      </c>
      <c r="I11" s="205">
        <f>SUM(F11:H11)</f>
        <v>0</v>
      </c>
    </row>
    <row r="12" spans="1:9" ht="12.75">
      <c r="A12" s="201"/>
      <c r="B12" s="201" t="s">
        <v>12</v>
      </c>
      <c r="C12" s="830" t="s">
        <v>13</v>
      </c>
      <c r="D12" s="830"/>
      <c r="E12" s="830"/>
      <c r="F12" s="204">
        <f>SUM(F13:F14)</f>
        <v>0</v>
      </c>
      <c r="G12" s="204">
        <f>SUM(G13:G14)</f>
        <v>12486120</v>
      </c>
      <c r="H12" s="204">
        <f>SUM(H13:H14)</f>
        <v>0</v>
      </c>
      <c r="I12" s="205">
        <f aca="true" t="shared" si="0" ref="I12:I22">SUM(F12:H12)</f>
        <v>12486120</v>
      </c>
    </row>
    <row r="13" spans="1:9" ht="23.25" customHeight="1">
      <c r="A13" s="207"/>
      <c r="B13" s="201"/>
      <c r="C13" s="207"/>
      <c r="D13" s="845" t="s">
        <v>999</v>
      </c>
      <c r="E13" s="846"/>
      <c r="F13" s="208"/>
      <c r="G13" s="208">
        <f>7530000+4680000</f>
        <v>12210000</v>
      </c>
      <c r="H13" s="208">
        <v>0</v>
      </c>
      <c r="I13" s="205">
        <f t="shared" si="0"/>
        <v>12210000</v>
      </c>
    </row>
    <row r="14" spans="1:9" ht="22.5" customHeight="1">
      <c r="A14" s="207"/>
      <c r="B14" s="201"/>
      <c r="C14" s="207"/>
      <c r="D14" s="847" t="s">
        <v>1000</v>
      </c>
      <c r="E14" s="848"/>
      <c r="F14" s="208"/>
      <c r="G14" s="208">
        <f>225720+50400</f>
        <v>276120</v>
      </c>
      <c r="H14" s="208">
        <v>0</v>
      </c>
      <c r="I14" s="205">
        <f t="shared" si="0"/>
        <v>276120</v>
      </c>
    </row>
    <row r="15" spans="1:9" ht="12.75" hidden="1">
      <c r="A15" s="201"/>
      <c r="B15" s="201" t="s">
        <v>155</v>
      </c>
      <c r="C15" s="830" t="s">
        <v>156</v>
      </c>
      <c r="D15" s="830"/>
      <c r="E15" s="830"/>
      <c r="F15" s="204">
        <v>0</v>
      </c>
      <c r="G15" s="204">
        <v>0</v>
      </c>
      <c r="H15" s="204">
        <v>0</v>
      </c>
      <c r="I15" s="205">
        <f t="shared" si="0"/>
        <v>0</v>
      </c>
    </row>
    <row r="16" spans="1:9" ht="12" customHeight="1" hidden="1">
      <c r="A16" s="201"/>
      <c r="B16" s="201" t="s">
        <v>157</v>
      </c>
      <c r="C16" s="827" t="s">
        <v>158</v>
      </c>
      <c r="D16" s="829"/>
      <c r="E16" s="828"/>
      <c r="F16" s="204">
        <f>SUM(F17:F18)</f>
        <v>0</v>
      </c>
      <c r="G16" s="204">
        <f>SUM(G17:G18)</f>
        <v>0</v>
      </c>
      <c r="H16" s="204">
        <f>SUM(H17:H18)</f>
        <v>0</v>
      </c>
      <c r="I16" s="205">
        <f t="shared" si="0"/>
        <v>0</v>
      </c>
    </row>
    <row r="17" spans="1:9" ht="13.5" customHeight="1" hidden="1">
      <c r="A17" s="207"/>
      <c r="B17" s="201" t="s">
        <v>159</v>
      </c>
      <c r="C17" s="201" t="s">
        <v>160</v>
      </c>
      <c r="D17" s="202"/>
      <c r="E17" s="203"/>
      <c r="F17" s="208">
        <v>0</v>
      </c>
      <c r="G17" s="208">
        <v>0</v>
      </c>
      <c r="H17" s="208">
        <v>0</v>
      </c>
      <c r="I17" s="205">
        <f t="shared" si="0"/>
        <v>0</v>
      </c>
    </row>
    <row r="18" spans="1:9" ht="12.75" hidden="1">
      <c r="A18" s="201"/>
      <c r="B18" s="201" t="s">
        <v>161</v>
      </c>
      <c r="C18" s="827" t="s">
        <v>162</v>
      </c>
      <c r="D18" s="829"/>
      <c r="E18" s="828"/>
      <c r="F18" s="204">
        <f>SUM(F19)</f>
        <v>0</v>
      </c>
      <c r="G18" s="204">
        <f>SUM(G19)</f>
        <v>0</v>
      </c>
      <c r="H18" s="204">
        <f>SUM(H19)</f>
        <v>0</v>
      </c>
      <c r="I18" s="205">
        <f t="shared" si="0"/>
        <v>0</v>
      </c>
    </row>
    <row r="19" spans="1:9" ht="12.75" hidden="1">
      <c r="A19" s="201"/>
      <c r="B19" s="201" t="s">
        <v>163</v>
      </c>
      <c r="C19" s="830" t="s">
        <v>14</v>
      </c>
      <c r="D19" s="830"/>
      <c r="E19" s="830"/>
      <c r="F19" s="204">
        <v>0</v>
      </c>
      <c r="G19" s="204">
        <v>0</v>
      </c>
      <c r="H19" s="204">
        <v>0</v>
      </c>
      <c r="I19" s="205">
        <f t="shared" si="0"/>
        <v>0</v>
      </c>
    </row>
    <row r="20" spans="1:9" ht="12.75">
      <c r="A20" s="201"/>
      <c r="B20" s="201" t="s">
        <v>164</v>
      </c>
      <c r="C20" s="827" t="s">
        <v>165</v>
      </c>
      <c r="D20" s="829"/>
      <c r="E20" s="828"/>
      <c r="F20" s="204">
        <f>SUM(F21:F22)</f>
        <v>3804900</v>
      </c>
      <c r="G20" s="204">
        <f>SUM(G21:G22)</f>
        <v>0</v>
      </c>
      <c r="H20" s="204">
        <f>SUM(H21:H22)</f>
        <v>0</v>
      </c>
      <c r="I20" s="205">
        <f t="shared" si="0"/>
        <v>3804900</v>
      </c>
    </row>
    <row r="21" spans="1:9" ht="12.75">
      <c r="A21" s="207"/>
      <c r="B21" s="207"/>
      <c r="C21" s="207"/>
      <c r="D21" s="827" t="s">
        <v>1002</v>
      </c>
      <c r="E21" s="828"/>
      <c r="F21" s="208">
        <v>1500000</v>
      </c>
      <c r="G21" s="208">
        <v>0</v>
      </c>
      <c r="H21" s="208">
        <v>0</v>
      </c>
      <c r="I21" s="205">
        <f t="shared" si="0"/>
        <v>1500000</v>
      </c>
    </row>
    <row r="22" spans="1:9" s="209" customFormat="1" ht="12.75">
      <c r="A22" s="207"/>
      <c r="B22" s="207"/>
      <c r="C22" s="207"/>
      <c r="D22" s="827" t="s">
        <v>1001</v>
      </c>
      <c r="E22" s="828"/>
      <c r="F22" s="208">
        <v>2304900</v>
      </c>
      <c r="G22" s="208">
        <v>0</v>
      </c>
      <c r="H22" s="208">
        <v>0</v>
      </c>
      <c r="I22" s="205">
        <f t="shared" si="0"/>
        <v>2304900</v>
      </c>
    </row>
    <row r="23" spans="1:9" ht="12" customHeight="1">
      <c r="A23" s="218" t="s">
        <v>166</v>
      </c>
      <c r="B23" s="840" t="s">
        <v>167</v>
      </c>
      <c r="C23" s="841"/>
      <c r="D23" s="841"/>
      <c r="E23" s="842"/>
      <c r="F23" s="205">
        <f>SUM(F56+F45+F43+F42+F41+F40+F29+F28+F27+F26+F24+F25)</f>
        <v>300962314</v>
      </c>
      <c r="G23" s="205">
        <f>SUM(G56+G45+G43+G42+G41+G40+G29+G28+G27+G26+G24+G25)</f>
        <v>67767</v>
      </c>
      <c r="H23" s="205">
        <f>SUM(H56+H45+H43+H42+H41+H40+H29+H28+H27+H26+H24+H25)</f>
        <v>1486017</v>
      </c>
      <c r="I23" s="205">
        <f>SUM(F23:H23)</f>
        <v>302516098</v>
      </c>
    </row>
    <row r="24" spans="1:9" ht="12.75" hidden="1">
      <c r="A24" s="207"/>
      <c r="B24" s="207"/>
      <c r="C24" s="207" t="s">
        <v>168</v>
      </c>
      <c r="D24" s="207" t="s">
        <v>169</v>
      </c>
      <c r="E24" s="207"/>
      <c r="F24" s="208">
        <v>0</v>
      </c>
      <c r="G24" s="208">
        <v>0</v>
      </c>
      <c r="H24" s="208">
        <v>0</v>
      </c>
      <c r="I24" s="219">
        <f>SUM(F24:H24)</f>
        <v>0</v>
      </c>
    </row>
    <row r="25" spans="1:9" ht="11.25" customHeight="1">
      <c r="A25" s="207"/>
      <c r="B25" s="207"/>
      <c r="C25" s="207" t="s">
        <v>170</v>
      </c>
      <c r="D25" s="207" t="s">
        <v>171</v>
      </c>
      <c r="E25" s="207"/>
      <c r="F25" s="208">
        <f>25603463+1419433</f>
        <v>27022896</v>
      </c>
      <c r="G25" s="208">
        <v>67767</v>
      </c>
      <c r="H25" s="208">
        <v>1486017</v>
      </c>
      <c r="I25" s="219">
        <f aca="true" t="shared" si="1" ref="I25:I63">SUM(F25:H25)</f>
        <v>28576680</v>
      </c>
    </row>
    <row r="26" spans="1:9" ht="12.75" hidden="1">
      <c r="A26" s="207"/>
      <c r="B26" s="207"/>
      <c r="C26" s="207" t="s">
        <v>172</v>
      </c>
      <c r="D26" s="843" t="s">
        <v>173</v>
      </c>
      <c r="E26" s="844"/>
      <c r="F26" s="208">
        <v>0</v>
      </c>
      <c r="G26" s="208">
        <v>0</v>
      </c>
      <c r="H26" s="208">
        <v>0</v>
      </c>
      <c r="I26" s="219">
        <f t="shared" si="1"/>
        <v>0</v>
      </c>
    </row>
    <row r="27" spans="1:9" ht="12.75" hidden="1">
      <c r="A27" s="207"/>
      <c r="B27" s="207"/>
      <c r="C27" s="207" t="s">
        <v>174</v>
      </c>
      <c r="D27" s="843" t="s">
        <v>175</v>
      </c>
      <c r="E27" s="844"/>
      <c r="F27" s="208">
        <v>0</v>
      </c>
      <c r="G27" s="208">
        <v>0</v>
      </c>
      <c r="H27" s="208">
        <v>0</v>
      </c>
      <c r="I27" s="219">
        <f t="shared" si="1"/>
        <v>0</v>
      </c>
    </row>
    <row r="28" spans="1:9" ht="12.75" hidden="1">
      <c r="A28" s="207"/>
      <c r="B28" s="207"/>
      <c r="C28" s="207" t="s">
        <v>196</v>
      </c>
      <c r="D28" s="843" t="s">
        <v>197</v>
      </c>
      <c r="E28" s="844"/>
      <c r="F28" s="208">
        <v>0</v>
      </c>
      <c r="G28" s="208">
        <v>0</v>
      </c>
      <c r="H28" s="208">
        <v>0</v>
      </c>
      <c r="I28" s="219">
        <f t="shared" si="1"/>
        <v>0</v>
      </c>
    </row>
    <row r="29" spans="1:9" ht="12" customHeight="1">
      <c r="A29" s="207"/>
      <c r="B29" s="207"/>
      <c r="C29" s="207" t="s">
        <v>198</v>
      </c>
      <c r="D29" s="843" t="s">
        <v>199</v>
      </c>
      <c r="E29" s="844"/>
      <c r="F29" s="208">
        <f>SUM(F30:F39)</f>
        <v>40723</v>
      </c>
      <c r="G29" s="208">
        <f>SUM(G30:G39)</f>
        <v>0</v>
      </c>
      <c r="H29" s="208">
        <f>SUM(H30:H39)</f>
        <v>0</v>
      </c>
      <c r="I29" s="219">
        <f t="shared" si="1"/>
        <v>40723</v>
      </c>
    </row>
    <row r="30" spans="1:9" ht="12.75" hidden="1">
      <c r="A30" s="220"/>
      <c r="B30" s="220"/>
      <c r="C30" s="221" t="s">
        <v>2</v>
      </c>
      <c r="D30" s="221" t="s">
        <v>176</v>
      </c>
      <c r="E30" s="221" t="s">
        <v>177</v>
      </c>
      <c r="F30" s="222">
        <v>0</v>
      </c>
      <c r="G30" s="222">
        <v>0</v>
      </c>
      <c r="H30" s="222">
        <v>0</v>
      </c>
      <c r="I30" s="219">
        <f t="shared" si="1"/>
        <v>0</v>
      </c>
    </row>
    <row r="31" spans="1:9" ht="12.75" hidden="1">
      <c r="A31" s="220"/>
      <c r="B31" s="220"/>
      <c r="C31" s="221"/>
      <c r="D31" s="221" t="s">
        <v>178</v>
      </c>
      <c r="E31" s="221" t="s">
        <v>179</v>
      </c>
      <c r="F31" s="222">
        <v>0</v>
      </c>
      <c r="G31" s="222">
        <v>0</v>
      </c>
      <c r="H31" s="222">
        <v>0</v>
      </c>
      <c r="I31" s="219">
        <f t="shared" si="1"/>
        <v>0</v>
      </c>
    </row>
    <row r="32" spans="1:9" ht="12.75" hidden="1">
      <c r="A32" s="220"/>
      <c r="B32" s="220"/>
      <c r="C32" s="221"/>
      <c r="D32" s="221" t="s">
        <v>180</v>
      </c>
      <c r="E32" s="221" t="s">
        <v>181</v>
      </c>
      <c r="F32" s="222">
        <v>0</v>
      </c>
      <c r="G32" s="222">
        <v>0</v>
      </c>
      <c r="H32" s="222">
        <v>0</v>
      </c>
      <c r="I32" s="219">
        <f t="shared" si="1"/>
        <v>0</v>
      </c>
    </row>
    <row r="33" spans="1:9" ht="12.75" hidden="1">
      <c r="A33" s="220"/>
      <c r="B33" s="220"/>
      <c r="C33" s="221"/>
      <c r="D33" s="221" t="s">
        <v>182</v>
      </c>
      <c r="E33" s="221" t="s">
        <v>183</v>
      </c>
      <c r="F33" s="222">
        <v>0</v>
      </c>
      <c r="G33" s="222">
        <v>0</v>
      </c>
      <c r="H33" s="222">
        <v>0</v>
      </c>
      <c r="I33" s="219">
        <f t="shared" si="1"/>
        <v>0</v>
      </c>
    </row>
    <row r="34" spans="1:9" ht="12.75" hidden="1">
      <c r="A34" s="220"/>
      <c r="B34" s="220"/>
      <c r="C34" s="221"/>
      <c r="D34" s="221" t="s">
        <v>184</v>
      </c>
      <c r="E34" s="221" t="s">
        <v>185</v>
      </c>
      <c r="F34" s="222">
        <v>0</v>
      </c>
      <c r="G34" s="222">
        <v>0</v>
      </c>
      <c r="H34" s="222">
        <v>0</v>
      </c>
      <c r="I34" s="219">
        <f t="shared" si="1"/>
        <v>0</v>
      </c>
    </row>
    <row r="35" spans="1:9" ht="12.75" hidden="1">
      <c r="A35" s="220"/>
      <c r="B35" s="220"/>
      <c r="C35" s="221"/>
      <c r="D35" s="221" t="s">
        <v>186</v>
      </c>
      <c r="E35" s="221" t="s">
        <v>187</v>
      </c>
      <c r="F35" s="222">
        <v>0</v>
      </c>
      <c r="G35" s="222">
        <v>0</v>
      </c>
      <c r="H35" s="222">
        <v>0</v>
      </c>
      <c r="I35" s="219">
        <f t="shared" si="1"/>
        <v>0</v>
      </c>
    </row>
    <row r="36" spans="1:9" ht="12.75" hidden="1">
      <c r="A36" s="220"/>
      <c r="B36" s="220"/>
      <c r="C36" s="221"/>
      <c r="D36" s="221" t="s">
        <v>188</v>
      </c>
      <c r="E36" s="221" t="s">
        <v>189</v>
      </c>
      <c r="F36" s="222">
        <v>0</v>
      </c>
      <c r="G36" s="222">
        <v>0</v>
      </c>
      <c r="H36" s="222">
        <v>0</v>
      </c>
      <c r="I36" s="219">
        <f t="shared" si="1"/>
        <v>0</v>
      </c>
    </row>
    <row r="37" spans="1:9" ht="12.75" hidden="1">
      <c r="A37" s="220"/>
      <c r="B37" s="220"/>
      <c r="C37" s="221"/>
      <c r="D37" s="221" t="s">
        <v>190</v>
      </c>
      <c r="E37" s="221" t="s">
        <v>191</v>
      </c>
      <c r="F37" s="222">
        <v>40723</v>
      </c>
      <c r="G37" s="222">
        <v>0</v>
      </c>
      <c r="H37" s="222">
        <v>0</v>
      </c>
      <c r="I37" s="219">
        <f t="shared" si="1"/>
        <v>40723</v>
      </c>
    </row>
    <row r="38" spans="1:9" ht="12.75" hidden="1">
      <c r="A38" s="220"/>
      <c r="B38" s="220"/>
      <c r="C38" s="221"/>
      <c r="D38" s="221" t="s">
        <v>192</v>
      </c>
      <c r="E38" s="221" t="s">
        <v>193</v>
      </c>
      <c r="F38" s="222">
        <v>0</v>
      </c>
      <c r="G38" s="222">
        <v>0</v>
      </c>
      <c r="H38" s="222">
        <v>0</v>
      </c>
      <c r="I38" s="219">
        <f t="shared" si="1"/>
        <v>0</v>
      </c>
    </row>
    <row r="39" spans="1:9" ht="12.75" hidden="1">
      <c r="A39" s="220"/>
      <c r="B39" s="220"/>
      <c r="C39" s="221"/>
      <c r="D39" s="221" t="s">
        <v>194</v>
      </c>
      <c r="E39" s="221" t="s">
        <v>195</v>
      </c>
      <c r="F39" s="222">
        <v>0</v>
      </c>
      <c r="G39" s="222">
        <v>0</v>
      </c>
      <c r="H39" s="222">
        <v>0</v>
      </c>
      <c r="I39" s="219">
        <f t="shared" si="1"/>
        <v>0</v>
      </c>
    </row>
    <row r="40" spans="1:9" ht="12.75" hidden="1">
      <c r="A40" s="207"/>
      <c r="B40" s="207"/>
      <c r="C40" s="207" t="s">
        <v>200</v>
      </c>
      <c r="D40" s="843" t="s">
        <v>201</v>
      </c>
      <c r="E40" s="844"/>
      <c r="F40" s="208">
        <v>0</v>
      </c>
      <c r="G40" s="208">
        <v>0</v>
      </c>
      <c r="H40" s="208">
        <v>0</v>
      </c>
      <c r="I40" s="219">
        <f t="shared" si="1"/>
        <v>0</v>
      </c>
    </row>
    <row r="41" spans="1:9" ht="21.75" customHeight="1">
      <c r="A41" s="207"/>
      <c r="B41" s="207"/>
      <c r="C41" s="207" t="s">
        <v>202</v>
      </c>
      <c r="D41" s="843" t="s">
        <v>911</v>
      </c>
      <c r="E41" s="844"/>
      <c r="F41" s="208">
        <v>9314000</v>
      </c>
      <c r="G41" s="208">
        <v>0</v>
      </c>
      <c r="H41" s="208">
        <v>0</v>
      </c>
      <c r="I41" s="219">
        <f t="shared" si="1"/>
        <v>9314000</v>
      </c>
    </row>
    <row r="42" spans="1:9" ht="12.75" hidden="1">
      <c r="A42" s="207"/>
      <c r="B42" s="207"/>
      <c r="C42" s="207" t="s">
        <v>213</v>
      </c>
      <c r="D42" s="843" t="s">
        <v>214</v>
      </c>
      <c r="E42" s="844"/>
      <c r="F42" s="208">
        <v>0</v>
      </c>
      <c r="G42" s="208">
        <v>0</v>
      </c>
      <c r="H42" s="208">
        <v>0</v>
      </c>
      <c r="I42" s="219">
        <f t="shared" si="1"/>
        <v>0</v>
      </c>
    </row>
    <row r="43" spans="1:9" ht="12.75" hidden="1">
      <c r="A43" s="207"/>
      <c r="B43" s="207"/>
      <c r="C43" s="207" t="s">
        <v>215</v>
      </c>
      <c r="D43" s="843" t="s">
        <v>216</v>
      </c>
      <c r="E43" s="844"/>
      <c r="F43" s="208">
        <v>0</v>
      </c>
      <c r="G43" s="208">
        <v>0</v>
      </c>
      <c r="H43" s="208">
        <v>0</v>
      </c>
      <c r="I43" s="219">
        <f t="shared" si="1"/>
        <v>0</v>
      </c>
    </row>
    <row r="44" spans="1:9" ht="12.75" hidden="1">
      <c r="A44" s="207"/>
      <c r="B44" s="207"/>
      <c r="C44" s="207" t="s">
        <v>217</v>
      </c>
      <c r="D44" s="843" t="s">
        <v>648</v>
      </c>
      <c r="E44" s="844"/>
      <c r="F44" s="208">
        <v>0</v>
      </c>
      <c r="G44" s="208">
        <v>0</v>
      </c>
      <c r="H44" s="208">
        <v>0</v>
      </c>
      <c r="I44" s="219">
        <f t="shared" si="1"/>
        <v>0</v>
      </c>
    </row>
    <row r="45" spans="1:9" ht="12.75" customHeight="1">
      <c r="A45" s="207"/>
      <c r="B45" s="207"/>
      <c r="C45" s="207" t="s">
        <v>219</v>
      </c>
      <c r="D45" s="845" t="s">
        <v>218</v>
      </c>
      <c r="E45" s="846"/>
      <c r="F45" s="208">
        <f>SUM(F46:F55)</f>
        <v>255695999</v>
      </c>
      <c r="G45" s="208">
        <f>SUM(G46:G55)</f>
        <v>0</v>
      </c>
      <c r="H45" s="208">
        <f>SUM(H46:H55)</f>
        <v>0</v>
      </c>
      <c r="I45" s="219">
        <f t="shared" si="1"/>
        <v>255695999</v>
      </c>
    </row>
    <row r="46" spans="1:9" ht="12.75" hidden="1">
      <c r="A46" s="223"/>
      <c r="B46" s="223"/>
      <c r="C46" s="221" t="s">
        <v>2</v>
      </c>
      <c r="D46" s="272" t="s">
        <v>176</v>
      </c>
      <c r="E46" s="272" t="s">
        <v>203</v>
      </c>
      <c r="F46" s="222">
        <v>0</v>
      </c>
      <c r="G46" s="222">
        <v>0</v>
      </c>
      <c r="H46" s="222">
        <v>0</v>
      </c>
      <c r="I46" s="219">
        <f t="shared" si="1"/>
        <v>0</v>
      </c>
    </row>
    <row r="47" spans="1:9" ht="12.75" hidden="1">
      <c r="A47" s="223"/>
      <c r="B47" s="223"/>
      <c r="C47" s="221"/>
      <c r="D47" s="272" t="s">
        <v>178</v>
      </c>
      <c r="E47" s="272" t="s">
        <v>645</v>
      </c>
      <c r="F47" s="222">
        <v>0</v>
      </c>
      <c r="G47" s="222"/>
      <c r="H47" s="222"/>
      <c r="I47" s="219">
        <f t="shared" si="1"/>
        <v>0</v>
      </c>
    </row>
    <row r="48" spans="1:9" ht="12.75" hidden="1">
      <c r="A48" s="223"/>
      <c r="B48" s="223"/>
      <c r="C48" s="221"/>
      <c r="D48" s="272" t="s">
        <v>180</v>
      </c>
      <c r="E48" s="272" t="s">
        <v>204</v>
      </c>
      <c r="F48" s="222">
        <f>100000</f>
        <v>100000</v>
      </c>
      <c r="G48" s="222">
        <v>0</v>
      </c>
      <c r="H48" s="222">
        <v>0</v>
      </c>
      <c r="I48" s="219">
        <f t="shared" si="1"/>
        <v>100000</v>
      </c>
    </row>
    <row r="49" spans="1:9" ht="12.75" hidden="1">
      <c r="A49" s="223"/>
      <c r="B49" s="223"/>
      <c r="C49" s="221"/>
      <c r="D49" s="272" t="s">
        <v>182</v>
      </c>
      <c r="E49" s="272" t="s">
        <v>205</v>
      </c>
      <c r="F49" s="222">
        <v>0</v>
      </c>
      <c r="G49" s="222">
        <v>0</v>
      </c>
      <c r="H49" s="222">
        <v>0</v>
      </c>
      <c r="I49" s="219">
        <f t="shared" si="1"/>
        <v>0</v>
      </c>
    </row>
    <row r="50" spans="1:9" ht="12.75" hidden="1">
      <c r="A50" s="223"/>
      <c r="B50" s="223"/>
      <c r="C50" s="221"/>
      <c r="D50" s="272" t="s">
        <v>184</v>
      </c>
      <c r="E50" s="272" t="s">
        <v>206</v>
      </c>
      <c r="F50" s="222">
        <v>0</v>
      </c>
      <c r="G50" s="222">
        <v>0</v>
      </c>
      <c r="H50" s="222">
        <v>0</v>
      </c>
      <c r="I50" s="219">
        <f t="shared" si="1"/>
        <v>0</v>
      </c>
    </row>
    <row r="51" spans="1:9" ht="12.75" hidden="1">
      <c r="A51" s="223"/>
      <c r="B51" s="223"/>
      <c r="C51" s="221"/>
      <c r="D51" s="272" t="s">
        <v>186</v>
      </c>
      <c r="E51" s="272" t="s">
        <v>207</v>
      </c>
      <c r="F51" s="222">
        <v>0</v>
      </c>
      <c r="G51" s="222">
        <v>0</v>
      </c>
      <c r="H51" s="222">
        <v>0</v>
      </c>
      <c r="I51" s="219">
        <f t="shared" si="1"/>
        <v>0</v>
      </c>
    </row>
    <row r="52" spans="1:9" ht="12.75" hidden="1">
      <c r="A52" s="220"/>
      <c r="B52" s="220"/>
      <c r="C52" s="221"/>
      <c r="D52" s="272" t="s">
        <v>188</v>
      </c>
      <c r="E52" s="272" t="s">
        <v>208</v>
      </c>
      <c r="F52" s="222">
        <f>16916206+43528000+9850000+2500000+32626000+18843000+37833000+1100000+3374212+13435298+6711326+25701000+11294000+3419000+5394000+8971000+5744000-782000-854000-8393000-50329-262038-267633-9876000-2249000-653000-1203000-2187000-868000-8000000-1200000+782000+854000-1607000-1500000-788000+4000000-2645132+904841</f>
        <v>210395751</v>
      </c>
      <c r="G52" s="222">
        <v>0</v>
      </c>
      <c r="H52" s="222">
        <v>0</v>
      </c>
      <c r="I52" s="219">
        <f t="shared" si="1"/>
        <v>210395751</v>
      </c>
    </row>
    <row r="53" spans="1:9" ht="12.75" hidden="1">
      <c r="A53" s="220"/>
      <c r="B53" s="220"/>
      <c r="C53" s="221"/>
      <c r="D53" s="272" t="s">
        <v>190</v>
      </c>
      <c r="E53" s="272" t="s">
        <v>209</v>
      </c>
      <c r="F53" s="222">
        <f>3224350+35026110+6949788</f>
        <v>45200248</v>
      </c>
      <c r="G53" s="222">
        <v>0</v>
      </c>
      <c r="H53" s="222">
        <v>0</v>
      </c>
      <c r="I53" s="219">
        <f t="shared" si="1"/>
        <v>45200248</v>
      </c>
    </row>
    <row r="54" spans="1:9" ht="12.75" hidden="1">
      <c r="A54" s="223"/>
      <c r="B54" s="223"/>
      <c r="C54" s="221"/>
      <c r="D54" s="272" t="s">
        <v>192</v>
      </c>
      <c r="E54" s="272" t="s">
        <v>211</v>
      </c>
      <c r="F54" s="222">
        <v>0</v>
      </c>
      <c r="G54" s="222">
        <v>0</v>
      </c>
      <c r="H54" s="222">
        <v>0</v>
      </c>
      <c r="I54" s="219">
        <f t="shared" si="1"/>
        <v>0</v>
      </c>
    </row>
    <row r="55" spans="1:9" ht="12.75" hidden="1">
      <c r="A55" s="223"/>
      <c r="B55" s="223"/>
      <c r="C55" s="221"/>
      <c r="D55" s="272" t="s">
        <v>194</v>
      </c>
      <c r="E55" s="272" t="s">
        <v>212</v>
      </c>
      <c r="F55" s="222">
        <v>0</v>
      </c>
      <c r="G55" s="222">
        <v>0</v>
      </c>
      <c r="H55" s="222">
        <v>0</v>
      </c>
      <c r="I55" s="219">
        <f t="shared" si="1"/>
        <v>0</v>
      </c>
    </row>
    <row r="56" spans="1:9" ht="12.75">
      <c r="A56" s="223"/>
      <c r="B56" s="223"/>
      <c r="C56" s="207" t="s">
        <v>649</v>
      </c>
      <c r="D56" s="845" t="s">
        <v>220</v>
      </c>
      <c r="E56" s="846"/>
      <c r="F56" s="208">
        <f>SUM(F57:F63)</f>
        <v>8888696</v>
      </c>
      <c r="G56" s="208">
        <f>SUM(G57:G63)</f>
        <v>0</v>
      </c>
      <c r="H56" s="208">
        <f>SUM(H57:H63)</f>
        <v>0</v>
      </c>
      <c r="I56" s="219">
        <f t="shared" si="1"/>
        <v>8888696</v>
      </c>
    </row>
    <row r="57" spans="1:9" ht="12.75" hidden="1">
      <c r="A57" s="220"/>
      <c r="B57" s="220"/>
      <c r="C57" s="224" t="s">
        <v>2</v>
      </c>
      <c r="D57" s="225"/>
      <c r="E57" s="226" t="s">
        <v>475</v>
      </c>
      <c r="F57" s="222">
        <f>1000000-1000000</f>
        <v>0</v>
      </c>
      <c r="G57" s="222">
        <v>0</v>
      </c>
      <c r="H57" s="222">
        <v>0</v>
      </c>
      <c r="I57" s="219">
        <f t="shared" si="1"/>
        <v>0</v>
      </c>
    </row>
    <row r="58" spans="1:9" ht="12.75">
      <c r="A58" s="220"/>
      <c r="B58" s="220"/>
      <c r="C58" s="224" t="s">
        <v>2</v>
      </c>
      <c r="D58" s="225"/>
      <c r="E58" s="226" t="s">
        <v>513</v>
      </c>
      <c r="F58" s="222">
        <f>1000000-40723-500000+1553784+750000-668467-1467722-100000</f>
        <v>526872</v>
      </c>
      <c r="G58" s="222">
        <v>0</v>
      </c>
      <c r="H58" s="222">
        <v>0</v>
      </c>
      <c r="I58" s="219">
        <f>SUM(F58:H58)</f>
        <v>526872</v>
      </c>
    </row>
    <row r="59" spans="1:9" ht="12.75" hidden="1">
      <c r="A59" s="220"/>
      <c r="B59" s="220"/>
      <c r="C59" s="221"/>
      <c r="D59" s="225"/>
      <c r="E59" s="226" t="s">
        <v>912</v>
      </c>
      <c r="F59" s="222">
        <f>6865581-6762752-102829</f>
        <v>0</v>
      </c>
      <c r="G59" s="222">
        <v>0</v>
      </c>
      <c r="H59" s="222">
        <v>0</v>
      </c>
      <c r="I59" s="219">
        <v>0</v>
      </c>
    </row>
    <row r="60" spans="1:9" ht="12.75" hidden="1">
      <c r="A60" s="220"/>
      <c r="B60" s="220"/>
      <c r="C60" s="221"/>
      <c r="D60" s="225"/>
      <c r="E60" s="226" t="s">
        <v>913</v>
      </c>
      <c r="F60" s="222">
        <f>30016102-50995-5512457-430000-379000-4649000-255887-18738763</f>
        <v>0</v>
      </c>
      <c r="G60" s="222">
        <v>0</v>
      </c>
      <c r="H60" s="222">
        <v>0</v>
      </c>
      <c r="I60" s="219">
        <v>0</v>
      </c>
    </row>
    <row r="61" spans="1:9" ht="12.75">
      <c r="A61" s="220"/>
      <c r="B61" s="220"/>
      <c r="C61" s="221"/>
      <c r="D61" s="225"/>
      <c r="E61" s="226" t="s">
        <v>806</v>
      </c>
      <c r="F61" s="222">
        <f>300000+153824</f>
        <v>453824</v>
      </c>
      <c r="G61" s="222">
        <v>0</v>
      </c>
      <c r="H61" s="222">
        <v>0</v>
      </c>
      <c r="I61" s="219">
        <f t="shared" si="1"/>
        <v>453824</v>
      </c>
    </row>
    <row r="62" spans="1:9" ht="12.75">
      <c r="A62" s="220"/>
      <c r="B62" s="220"/>
      <c r="C62" s="221"/>
      <c r="D62" s="225"/>
      <c r="E62" s="226" t="s">
        <v>803</v>
      </c>
      <c r="F62" s="222">
        <f>3550000-680000</f>
        <v>2870000</v>
      </c>
      <c r="G62" s="222">
        <v>0</v>
      </c>
      <c r="H62" s="222">
        <v>0</v>
      </c>
      <c r="I62" s="219">
        <f t="shared" si="1"/>
        <v>2870000</v>
      </c>
    </row>
    <row r="63" spans="1:9" ht="12.75">
      <c r="A63" s="220"/>
      <c r="B63" s="220"/>
      <c r="C63" s="221"/>
      <c r="D63" s="225"/>
      <c r="E63" s="226" t="s">
        <v>805</v>
      </c>
      <c r="F63" s="222">
        <f>389000+4649000</f>
        <v>5038000</v>
      </c>
      <c r="G63" s="222">
        <v>0</v>
      </c>
      <c r="H63" s="222">
        <v>0</v>
      </c>
      <c r="I63" s="219">
        <f t="shared" si="1"/>
        <v>5038000</v>
      </c>
    </row>
    <row r="64" spans="1:9" ht="12" customHeight="1">
      <c r="A64" s="218" t="s">
        <v>147</v>
      </c>
      <c r="B64" s="840" t="s">
        <v>400</v>
      </c>
      <c r="C64" s="841"/>
      <c r="D64" s="841"/>
      <c r="E64" s="842"/>
      <c r="F64" s="205">
        <f>44821928-2059095+3150000+500000+9000000+1707563+1398066+100000+88773</f>
        <v>58707235</v>
      </c>
      <c r="G64" s="205">
        <v>500000</v>
      </c>
      <c r="H64" s="205">
        <f>685340-127000</f>
        <v>558340</v>
      </c>
      <c r="I64" s="205">
        <f>SUM(F64:H64)</f>
        <v>59765575</v>
      </c>
    </row>
    <row r="65" spans="1:9" ht="12.75">
      <c r="A65" s="218" t="s">
        <v>149</v>
      </c>
      <c r="B65" s="840" t="s">
        <v>148</v>
      </c>
      <c r="C65" s="841"/>
      <c r="D65" s="841"/>
      <c r="E65" s="842"/>
      <c r="F65" s="205">
        <f>16495909+2645132</f>
        <v>19141041</v>
      </c>
      <c r="G65" s="205">
        <v>0</v>
      </c>
      <c r="H65" s="205">
        <f>704850-508000</f>
        <v>196850</v>
      </c>
      <c r="I65" s="205">
        <f aca="true" t="shared" si="2" ref="I65:I75">SUM(F65:H65)</f>
        <v>19337891</v>
      </c>
    </row>
    <row r="66" spans="1:9" ht="12.75">
      <c r="A66" s="218" t="s">
        <v>151</v>
      </c>
      <c r="B66" s="840" t="s">
        <v>150</v>
      </c>
      <c r="C66" s="841"/>
      <c r="D66" s="841"/>
      <c r="E66" s="842"/>
      <c r="F66" s="205">
        <f>SUM(F67:F75)</f>
        <v>46492179</v>
      </c>
      <c r="G66" s="205">
        <f>SUM(G67:G75)</f>
        <v>0</v>
      </c>
      <c r="H66" s="205">
        <f>SUM(H67:H75)</f>
        <v>0</v>
      </c>
      <c r="I66" s="205">
        <f t="shared" si="2"/>
        <v>46492179</v>
      </c>
    </row>
    <row r="67" spans="1:9" ht="12.75" hidden="1">
      <c r="A67" s="201"/>
      <c r="B67" s="201" t="s">
        <v>222</v>
      </c>
      <c r="C67" s="830" t="s">
        <v>223</v>
      </c>
      <c r="D67" s="830"/>
      <c r="E67" s="830"/>
      <c r="F67" s="204">
        <v>0</v>
      </c>
      <c r="G67" s="204">
        <v>0</v>
      </c>
      <c r="H67" s="204">
        <v>0</v>
      </c>
      <c r="I67" s="205">
        <f t="shared" si="2"/>
        <v>0</v>
      </c>
    </row>
    <row r="68" spans="1:9" ht="12.75" hidden="1">
      <c r="A68" s="201"/>
      <c r="B68" s="201" t="s">
        <v>224</v>
      </c>
      <c r="C68" s="830" t="s">
        <v>225</v>
      </c>
      <c r="D68" s="830"/>
      <c r="E68" s="830"/>
      <c r="F68" s="204">
        <v>0</v>
      </c>
      <c r="G68" s="204">
        <v>0</v>
      </c>
      <c r="H68" s="204">
        <v>0</v>
      </c>
      <c r="I68" s="205">
        <f t="shared" si="2"/>
        <v>0</v>
      </c>
    </row>
    <row r="69" spans="1:9" ht="12.75" hidden="1">
      <c r="A69" s="201" t="s">
        <v>221</v>
      </c>
      <c r="B69" s="201" t="s">
        <v>226</v>
      </c>
      <c r="C69" s="830" t="s">
        <v>227</v>
      </c>
      <c r="D69" s="830"/>
      <c r="E69" s="830"/>
      <c r="F69" s="204">
        <v>0</v>
      </c>
      <c r="G69" s="204">
        <v>0</v>
      </c>
      <c r="H69" s="204">
        <v>0</v>
      </c>
      <c r="I69" s="205">
        <f t="shared" si="2"/>
        <v>0</v>
      </c>
    </row>
    <row r="70" spans="1:9" ht="12.75" hidden="1">
      <c r="A70" s="201"/>
      <c r="B70" s="201" t="s">
        <v>228</v>
      </c>
      <c r="C70" s="830" t="s">
        <v>229</v>
      </c>
      <c r="D70" s="830"/>
      <c r="E70" s="830"/>
      <c r="F70" s="204">
        <v>0</v>
      </c>
      <c r="G70" s="204">
        <v>0</v>
      </c>
      <c r="H70" s="204">
        <v>0</v>
      </c>
      <c r="I70" s="205">
        <f t="shared" si="2"/>
        <v>0</v>
      </c>
    </row>
    <row r="71" spans="1:9" ht="12.75" hidden="1">
      <c r="A71" s="201"/>
      <c r="B71" s="201" t="s">
        <v>230</v>
      </c>
      <c r="C71" s="830" t="s">
        <v>231</v>
      </c>
      <c r="D71" s="830"/>
      <c r="E71" s="830"/>
      <c r="F71" s="204">
        <v>0</v>
      </c>
      <c r="G71" s="204">
        <v>0</v>
      </c>
      <c r="H71" s="204">
        <v>0</v>
      </c>
      <c r="I71" s="205">
        <f t="shared" si="2"/>
        <v>0</v>
      </c>
    </row>
    <row r="72" spans="1:9" ht="12.75" hidden="1">
      <c r="A72" s="201"/>
      <c r="B72" s="201" t="s">
        <v>232</v>
      </c>
      <c r="C72" s="830" t="s">
        <v>233</v>
      </c>
      <c r="D72" s="830"/>
      <c r="E72" s="830"/>
      <c r="F72" s="204">
        <v>0</v>
      </c>
      <c r="G72" s="204">
        <v>0</v>
      </c>
      <c r="H72" s="204">
        <v>0</v>
      </c>
      <c r="I72" s="205">
        <f t="shared" si="2"/>
        <v>0</v>
      </c>
    </row>
    <row r="73" spans="1:9" ht="12.75" hidden="1">
      <c r="A73" s="201"/>
      <c r="B73" s="201" t="s">
        <v>234</v>
      </c>
      <c r="C73" s="830" t="s">
        <v>235</v>
      </c>
      <c r="D73" s="830"/>
      <c r="E73" s="830"/>
      <c r="F73" s="204">
        <v>0</v>
      </c>
      <c r="G73" s="204">
        <v>0</v>
      </c>
      <c r="H73" s="204">
        <v>0</v>
      </c>
      <c r="I73" s="205">
        <f t="shared" si="2"/>
        <v>0</v>
      </c>
    </row>
    <row r="74" spans="1:9" ht="12.75" hidden="1">
      <c r="A74" s="201"/>
      <c r="B74" s="201" t="s">
        <v>236</v>
      </c>
      <c r="C74" s="830" t="s">
        <v>651</v>
      </c>
      <c r="D74" s="830"/>
      <c r="E74" s="830"/>
      <c r="F74" s="204">
        <v>0</v>
      </c>
      <c r="G74" s="204">
        <v>0</v>
      </c>
      <c r="H74" s="204">
        <v>0</v>
      </c>
      <c r="I74" s="205">
        <f>SUM(F74:H74)</f>
        <v>0</v>
      </c>
    </row>
    <row r="75" spans="1:9" ht="12.75">
      <c r="A75" s="201"/>
      <c r="B75" s="201" t="s">
        <v>650</v>
      </c>
      <c r="C75" s="830" t="s">
        <v>804</v>
      </c>
      <c r="D75" s="830"/>
      <c r="E75" s="830"/>
      <c r="F75" s="204">
        <f>1609020+80026110-35026110+788000-904841</f>
        <v>46492179</v>
      </c>
      <c r="G75" s="204">
        <v>0</v>
      </c>
      <c r="H75" s="204">
        <v>0</v>
      </c>
      <c r="I75" s="754">
        <f t="shared" si="2"/>
        <v>46492179</v>
      </c>
    </row>
    <row r="76" spans="1:9" ht="12.75">
      <c r="A76" s="218" t="s">
        <v>153</v>
      </c>
      <c r="B76" s="840" t="s">
        <v>152</v>
      </c>
      <c r="C76" s="841"/>
      <c r="D76" s="841"/>
      <c r="E76" s="842"/>
      <c r="F76" s="205">
        <v>17567323</v>
      </c>
      <c r="G76" s="205">
        <v>0</v>
      </c>
      <c r="H76" s="205">
        <v>0</v>
      </c>
      <c r="I76" s="205">
        <f>SUM(F76:H76)</f>
        <v>17567323</v>
      </c>
    </row>
    <row r="77" spans="1:9" ht="12.75">
      <c r="A77" s="227"/>
      <c r="B77" s="228"/>
      <c r="C77" s="228"/>
      <c r="D77" s="228"/>
      <c r="E77" s="228"/>
      <c r="F77" s="229"/>
      <c r="G77" s="230"/>
      <c r="H77" s="230"/>
      <c r="I77" s="231"/>
    </row>
    <row r="78" spans="1:9" ht="15.75">
      <c r="A78" s="849" t="s">
        <v>237</v>
      </c>
      <c r="B78" s="850"/>
      <c r="C78" s="850"/>
      <c r="D78" s="850"/>
      <c r="E78" s="851"/>
      <c r="F78" s="232">
        <f>SUM(F7+F8+F9+F10+F23+F64+F65+F66+F76)</f>
        <v>944586055</v>
      </c>
      <c r="G78" s="232">
        <f>SUM(G7+G8+G9+G10+G23+G64+G65+G66+G76)</f>
        <v>132291977</v>
      </c>
      <c r="H78" s="232">
        <f>SUM(H7+H8+H9+H10+H23+H64+H65+H66+H76)</f>
        <v>247694764</v>
      </c>
      <c r="I78" s="232">
        <f>SUM(I7+I8+I9+I10+I23+I64+I65+I66+I76)</f>
        <v>1324572796</v>
      </c>
    </row>
  </sheetData>
  <sheetProtection/>
  <mergeCells count="45">
    <mergeCell ref="C75:E75"/>
    <mergeCell ref="B76:E76"/>
    <mergeCell ref="A78:E78"/>
    <mergeCell ref="C69:E69"/>
    <mergeCell ref="C70:E70"/>
    <mergeCell ref="C71:E71"/>
    <mergeCell ref="C72:E72"/>
    <mergeCell ref="C73:E73"/>
    <mergeCell ref="C74:E74"/>
    <mergeCell ref="B66:E66"/>
    <mergeCell ref="C67:E67"/>
    <mergeCell ref="C68:E68"/>
    <mergeCell ref="B65:E65"/>
    <mergeCell ref="D45:E45"/>
    <mergeCell ref="D56:E56"/>
    <mergeCell ref="B64:E64"/>
    <mergeCell ref="D29:E29"/>
    <mergeCell ref="D40:E40"/>
    <mergeCell ref="D41:E41"/>
    <mergeCell ref="D42:E42"/>
    <mergeCell ref="D43:E43"/>
    <mergeCell ref="D44:E44"/>
    <mergeCell ref="B23:E23"/>
    <mergeCell ref="D26:E26"/>
    <mergeCell ref="D27:E27"/>
    <mergeCell ref="D28:E28"/>
    <mergeCell ref="B10:E10"/>
    <mergeCell ref="B8:E8"/>
    <mergeCell ref="B9:E9"/>
    <mergeCell ref="D13:E13"/>
    <mergeCell ref="D14:E14"/>
    <mergeCell ref="C15:E15"/>
    <mergeCell ref="A1:I1"/>
    <mergeCell ref="A3:I3"/>
    <mergeCell ref="A5:E5"/>
    <mergeCell ref="B6:E6"/>
    <mergeCell ref="B7:E7"/>
    <mergeCell ref="C12:E12"/>
    <mergeCell ref="C11:E11"/>
    <mergeCell ref="D21:E21"/>
    <mergeCell ref="D22:E22"/>
    <mergeCell ref="C16:E16"/>
    <mergeCell ref="C18:E18"/>
    <mergeCell ref="C19:E19"/>
    <mergeCell ref="C20:E20"/>
  </mergeCells>
  <printOptions horizontalCentered="1"/>
  <pageMargins left="0.7480314960629921" right="0.7480314960629921" top="0.7874015748031497" bottom="0.5905511811023623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61"/>
  <sheetViews>
    <sheetView zoomScalePageLayoutView="0" workbookViewId="0" topLeftCell="E1">
      <selection activeCell="B2" sqref="B2:I2"/>
    </sheetView>
  </sheetViews>
  <sheetFormatPr defaultColWidth="9.00390625" defaultRowHeight="12.75"/>
  <cols>
    <col min="1" max="1" width="4.125" style="104" bestFit="1" customWidth="1"/>
    <col min="2" max="2" width="55.125" style="38" bestFit="1" customWidth="1"/>
    <col min="3" max="3" width="12.25390625" style="38" bestFit="1" customWidth="1"/>
    <col min="4" max="4" width="12.00390625" style="38" bestFit="1" customWidth="1"/>
    <col min="5" max="5" width="13.375" style="38" bestFit="1" customWidth="1"/>
    <col min="6" max="6" width="53.875" style="38" bestFit="1" customWidth="1"/>
    <col min="7" max="8" width="13.25390625" style="38" bestFit="1" customWidth="1"/>
    <col min="9" max="9" width="13.25390625" style="38" customWidth="1"/>
    <col min="10" max="16384" width="9.125" style="38" customWidth="1"/>
  </cols>
  <sheetData>
    <row r="1" spans="6:10" ht="12.75" customHeight="1">
      <c r="F1" s="855" t="s">
        <v>1016</v>
      </c>
      <c r="G1" s="856"/>
      <c r="H1" s="856"/>
      <c r="I1" s="856"/>
      <c r="J1" s="88"/>
    </row>
    <row r="2" spans="2:9" ht="15.75">
      <c r="B2" s="857" t="s">
        <v>807</v>
      </c>
      <c r="C2" s="857"/>
      <c r="D2" s="857"/>
      <c r="E2" s="857"/>
      <c r="F2" s="857"/>
      <c r="G2" s="857"/>
      <c r="H2" s="857"/>
      <c r="I2" s="857"/>
    </row>
    <row r="3" ht="8.25" customHeight="1"/>
    <row r="4" spans="1:9" s="39" customFormat="1" ht="15" customHeight="1">
      <c r="A4" s="859" t="s">
        <v>482</v>
      </c>
      <c r="B4" s="858" t="s">
        <v>488</v>
      </c>
      <c r="C4" s="858"/>
      <c r="D4" s="858"/>
      <c r="E4" s="858"/>
      <c r="F4" s="858" t="s">
        <v>395</v>
      </c>
      <c r="G4" s="858"/>
      <c r="H4" s="858"/>
      <c r="I4" s="858"/>
    </row>
    <row r="5" spans="1:9" s="42" customFormat="1" ht="14.25">
      <c r="A5" s="859"/>
      <c r="B5" s="40" t="s">
        <v>394</v>
      </c>
      <c r="C5" s="41" t="s">
        <v>366</v>
      </c>
      <c r="D5" s="41" t="s">
        <v>365</v>
      </c>
      <c r="E5" s="41" t="s">
        <v>470</v>
      </c>
      <c r="F5" s="40" t="s">
        <v>394</v>
      </c>
      <c r="G5" s="41" t="s">
        <v>366</v>
      </c>
      <c r="H5" s="41" t="s">
        <v>365</v>
      </c>
      <c r="I5" s="41" t="s">
        <v>470</v>
      </c>
    </row>
    <row r="6" spans="1:9" s="103" customFormat="1" ht="12">
      <c r="A6" s="859"/>
      <c r="B6" s="102" t="s">
        <v>476</v>
      </c>
      <c r="C6" s="102" t="s">
        <v>477</v>
      </c>
      <c r="D6" s="102" t="s">
        <v>478</v>
      </c>
      <c r="E6" s="102" t="s">
        <v>479</v>
      </c>
      <c r="F6" s="102" t="s">
        <v>480</v>
      </c>
      <c r="G6" s="102" t="s">
        <v>481</v>
      </c>
      <c r="H6" s="102" t="s">
        <v>483</v>
      </c>
      <c r="I6" s="102" t="s">
        <v>484</v>
      </c>
    </row>
    <row r="7" spans="1:9" s="64" customFormat="1" ht="14.25">
      <c r="A7" s="102">
        <v>1</v>
      </c>
      <c r="B7" s="63" t="s">
        <v>1005</v>
      </c>
      <c r="C7" s="81">
        <f>SUM(C8)</f>
        <v>987166615</v>
      </c>
      <c r="D7" s="81">
        <f>SUM(D32,D8)</f>
        <v>224895305</v>
      </c>
      <c r="E7" s="81">
        <f aca="true" t="shared" si="0" ref="E7:E30">SUM(C7:D7)</f>
        <v>1212061920</v>
      </c>
      <c r="F7" s="63" t="s">
        <v>1006</v>
      </c>
      <c r="G7" s="81">
        <f>SUM(G8,G32)</f>
        <v>1173501828</v>
      </c>
      <c r="H7" s="81">
        <f>SUM(H8,H32)</f>
        <v>133503645</v>
      </c>
      <c r="I7" s="81">
        <f aca="true" t="shared" si="1" ref="I7:I12">SUM(G7:H7)</f>
        <v>1307005473</v>
      </c>
    </row>
    <row r="8" spans="1:9" s="73" customFormat="1" ht="12.75">
      <c r="A8" s="105">
        <v>2</v>
      </c>
      <c r="B8" s="70" t="s">
        <v>506</v>
      </c>
      <c r="C8" s="71">
        <f>SUM(C28+C18+C14+C9)</f>
        <v>987166615</v>
      </c>
      <c r="D8" s="71">
        <f>SUM(D28+D18+D14+D9)</f>
        <v>0</v>
      </c>
      <c r="E8" s="71">
        <f t="shared" si="0"/>
        <v>987166615</v>
      </c>
      <c r="F8" s="72" t="s">
        <v>510</v>
      </c>
      <c r="G8" s="71">
        <f>SUM(G9:G13)</f>
        <v>1173501828</v>
      </c>
      <c r="H8" s="71">
        <f>SUM(H9:H13)</f>
        <v>7908000</v>
      </c>
      <c r="I8" s="71">
        <f t="shared" si="1"/>
        <v>1181409828</v>
      </c>
    </row>
    <row r="9" spans="1:9" s="45" customFormat="1" ht="12.75">
      <c r="A9" s="105">
        <v>3</v>
      </c>
      <c r="B9" s="79" t="s">
        <v>15</v>
      </c>
      <c r="C9" s="60">
        <f>SUM(C10:C13)</f>
        <v>750069813</v>
      </c>
      <c r="D9" s="60">
        <f>SUM(D10:D13)</f>
        <v>0</v>
      </c>
      <c r="E9" s="60">
        <f t="shared" si="0"/>
        <v>750069813</v>
      </c>
      <c r="F9" s="80" t="s">
        <v>511</v>
      </c>
      <c r="G9" s="60">
        <f>325122848-2363520+2363520-146050-511475+110000+169300+13200+89907417+30882431+492700+719400</f>
        <v>446759771</v>
      </c>
      <c r="H9" s="60">
        <v>0</v>
      </c>
      <c r="I9" s="60">
        <f t="shared" si="1"/>
        <v>446759771</v>
      </c>
    </row>
    <row r="10" spans="1:9" s="45" customFormat="1" ht="12.75">
      <c r="A10" s="102">
        <v>4</v>
      </c>
      <c r="B10" s="57" t="s">
        <v>16</v>
      </c>
      <c r="C10" s="62">
        <f>486768355+1835612+6949788+1614100</f>
        <v>497167855</v>
      </c>
      <c r="D10" s="62">
        <v>0</v>
      </c>
      <c r="E10" s="62">
        <f t="shared" si="0"/>
        <v>497167855</v>
      </c>
      <c r="F10" s="80" t="s">
        <v>820</v>
      </c>
      <c r="G10" s="60">
        <f>74426575-519974+519974-32131-112525+430000+24200+37246+2904+9889529+3396993+108394+158268</f>
        <v>88329453</v>
      </c>
      <c r="H10" s="60">
        <v>0</v>
      </c>
      <c r="I10" s="60">
        <f t="shared" si="1"/>
        <v>88329453</v>
      </c>
    </row>
    <row r="11" spans="1:9" s="45" customFormat="1" ht="12.75">
      <c r="A11" s="105">
        <v>5</v>
      </c>
      <c r="B11" s="57" t="s">
        <v>818</v>
      </c>
      <c r="C11" s="62">
        <v>0</v>
      </c>
      <c r="D11" s="62">
        <v>0</v>
      </c>
      <c r="E11" s="62">
        <f t="shared" si="0"/>
        <v>0</v>
      </c>
      <c r="F11" s="80" t="s">
        <v>39</v>
      </c>
      <c r="G11" s="60">
        <f>297365778-2000000-947010+3850000+500000+178181-1000000-1500000-500000+624000+6762752+1479371+22851+788800+17100+1204560+1176540+214270+608965+379000+255887+237516+8426434+6312014+1686276+1143687+20948+100000+48289-88773+146050</f>
        <v>327513486</v>
      </c>
      <c r="H11" s="60">
        <v>0</v>
      </c>
      <c r="I11" s="60">
        <f t="shared" si="1"/>
        <v>327513486</v>
      </c>
    </row>
    <row r="12" spans="1:9" s="45" customFormat="1" ht="12.75">
      <c r="A12" s="105">
        <v>6</v>
      </c>
      <c r="B12" s="57" t="s">
        <v>17</v>
      </c>
      <c r="C12" s="62">
        <f>93495106+4438250+3850000+108223380+40591438+750000</f>
        <v>251348174</v>
      </c>
      <c r="D12" s="62">
        <v>0</v>
      </c>
      <c r="E12" s="62">
        <f t="shared" si="0"/>
        <v>251348174</v>
      </c>
      <c r="F12" s="80" t="s">
        <v>40</v>
      </c>
      <c r="G12" s="60">
        <v>16291020</v>
      </c>
      <c r="H12" s="60">
        <v>0</v>
      </c>
      <c r="I12" s="60">
        <f t="shared" si="1"/>
        <v>16291020</v>
      </c>
    </row>
    <row r="13" spans="1:9" s="45" customFormat="1" ht="12.75">
      <c r="A13" s="105"/>
      <c r="B13" s="57" t="s">
        <v>915</v>
      </c>
      <c r="C13" s="62">
        <f>1486017+67767</f>
        <v>1553784</v>
      </c>
      <c r="D13" s="62">
        <v>0</v>
      </c>
      <c r="E13" s="62">
        <f t="shared" si="0"/>
        <v>1553784</v>
      </c>
      <c r="F13" s="83" t="s">
        <v>42</v>
      </c>
      <c r="G13" s="60">
        <f>SUM(G14:G18)</f>
        <v>294608098</v>
      </c>
      <c r="H13" s="60">
        <f>SUM(H14:H18)</f>
        <v>7908000</v>
      </c>
      <c r="I13" s="60">
        <f aca="true" t="shared" si="2" ref="I13:I18">SUM(G13:H13)</f>
        <v>302516098</v>
      </c>
    </row>
    <row r="14" spans="1:9" s="45" customFormat="1" ht="12.75">
      <c r="A14" s="102">
        <v>7</v>
      </c>
      <c r="B14" s="79" t="s">
        <v>21</v>
      </c>
      <c r="C14" s="60">
        <f>SUM(C15:C17)</f>
        <v>182010000</v>
      </c>
      <c r="D14" s="60">
        <f>SUM(D15:D17)</f>
        <v>0</v>
      </c>
      <c r="E14" s="60">
        <f t="shared" si="0"/>
        <v>182010000</v>
      </c>
      <c r="F14" s="59" t="s">
        <v>1010</v>
      </c>
      <c r="G14" s="62">
        <v>40723</v>
      </c>
      <c r="H14" s="62">
        <v>0</v>
      </c>
      <c r="I14" s="62">
        <f t="shared" si="2"/>
        <v>40723</v>
      </c>
    </row>
    <row r="15" spans="1:9" s="46" customFormat="1" ht="12.75">
      <c r="A15" s="105">
        <v>8</v>
      </c>
      <c r="B15" s="57" t="s">
        <v>133</v>
      </c>
      <c r="C15" s="62">
        <f>26700000+135800000+50000-50000</f>
        <v>162500000</v>
      </c>
      <c r="D15" s="62">
        <v>0</v>
      </c>
      <c r="E15" s="62">
        <f t="shared" si="0"/>
        <v>162500000</v>
      </c>
      <c r="F15" s="59" t="s">
        <v>819</v>
      </c>
      <c r="G15" s="62">
        <v>9314000</v>
      </c>
      <c r="H15" s="62">
        <v>0</v>
      </c>
      <c r="I15" s="62">
        <f t="shared" si="2"/>
        <v>9314000</v>
      </c>
    </row>
    <row r="16" spans="1:9" s="46" customFormat="1" ht="12.75">
      <c r="A16" s="105">
        <v>9</v>
      </c>
      <c r="B16" s="58" t="s">
        <v>50</v>
      </c>
      <c r="C16" s="62">
        <v>19200000</v>
      </c>
      <c r="D16" s="62">
        <v>0</v>
      </c>
      <c r="E16" s="62">
        <f t="shared" si="0"/>
        <v>19200000</v>
      </c>
      <c r="F16" s="59" t="s">
        <v>41</v>
      </c>
      <c r="G16" s="62">
        <f>222919392-8000000-1200000+35026110+782000+854000-1607000-1500000-788000+4000000-2645132+904841+6949788</f>
        <v>255695999</v>
      </c>
      <c r="H16" s="62">
        <v>0</v>
      </c>
      <c r="I16" s="62">
        <f t="shared" si="2"/>
        <v>255695999</v>
      </c>
    </row>
    <row r="17" spans="1:9" s="46" customFormat="1" ht="12.75">
      <c r="A17" s="102">
        <v>10</v>
      </c>
      <c r="B17" s="57" t="s">
        <v>22</v>
      </c>
      <c r="C17" s="62">
        <v>310000</v>
      </c>
      <c r="D17" s="62">
        <v>0</v>
      </c>
      <c r="E17" s="62">
        <f t="shared" si="0"/>
        <v>310000</v>
      </c>
      <c r="F17" s="59" t="s">
        <v>43</v>
      </c>
      <c r="G17" s="62">
        <f>2300000-40723-500000-1000000+6865581+30016102-6762752+153824-102829-50995-5512457-430000-379000-4649000-255887-18738763+1553784+750000-668467-1467722-100000</f>
        <v>980696</v>
      </c>
      <c r="H17" s="62">
        <f>3550000+389000-680000+4649000</f>
        <v>7908000</v>
      </c>
      <c r="I17" s="62">
        <f t="shared" si="2"/>
        <v>8888696</v>
      </c>
    </row>
    <row r="18" spans="1:9" s="46" customFormat="1" ht="12.75">
      <c r="A18" s="105">
        <v>11</v>
      </c>
      <c r="B18" s="79" t="s">
        <v>23</v>
      </c>
      <c r="C18" s="60">
        <f>SUM(C19:C27)</f>
        <v>55086802</v>
      </c>
      <c r="D18" s="60">
        <f>SUM(D19:D27)</f>
        <v>0</v>
      </c>
      <c r="E18" s="60">
        <f t="shared" si="0"/>
        <v>55086802</v>
      </c>
      <c r="F18" s="59" t="s">
        <v>914</v>
      </c>
      <c r="G18" s="62">
        <f>25603463+1419433+67767+1486017</f>
        <v>28576680</v>
      </c>
      <c r="H18" s="62">
        <v>0</v>
      </c>
      <c r="I18" s="62">
        <f t="shared" si="2"/>
        <v>28576680</v>
      </c>
    </row>
    <row r="19" spans="1:9" s="45" customFormat="1" ht="12.75">
      <c r="A19" s="105">
        <v>12</v>
      </c>
      <c r="B19" s="57" t="s">
        <v>652</v>
      </c>
      <c r="C19" s="62">
        <f>7900000+1850953</f>
        <v>9750953</v>
      </c>
      <c r="D19" s="62">
        <v>0</v>
      </c>
      <c r="E19" s="62">
        <f t="shared" si="0"/>
        <v>9750953</v>
      </c>
      <c r="F19" s="59"/>
      <c r="G19" s="62"/>
      <c r="H19" s="60"/>
      <c r="I19" s="62"/>
    </row>
    <row r="20" spans="1:9" s="45" customFormat="1" ht="12.75">
      <c r="A20" s="102">
        <v>13</v>
      </c>
      <c r="B20" s="57" t="s">
        <v>24</v>
      </c>
      <c r="C20" s="62">
        <f>18796705+4800000+67100</f>
        <v>23663805</v>
      </c>
      <c r="D20" s="62">
        <v>0</v>
      </c>
      <c r="E20" s="62">
        <f t="shared" si="0"/>
        <v>23663805</v>
      </c>
      <c r="F20" s="59"/>
      <c r="G20" s="62"/>
      <c r="H20" s="62"/>
      <c r="I20" s="62"/>
    </row>
    <row r="21" spans="1:9" s="45" customFormat="1" ht="12.75">
      <c r="A21" s="105">
        <v>14</v>
      </c>
      <c r="B21" s="57" t="s">
        <v>25</v>
      </c>
      <c r="C21" s="62">
        <f>7015322+32122+20948+80928</f>
        <v>7149320</v>
      </c>
      <c r="D21" s="62">
        <v>0</v>
      </c>
      <c r="E21" s="62">
        <f t="shared" si="0"/>
        <v>7149320</v>
      </c>
      <c r="F21" s="59"/>
      <c r="G21" s="62"/>
      <c r="H21" s="62"/>
      <c r="I21" s="62"/>
    </row>
    <row r="22" spans="1:9" s="45" customFormat="1" ht="12.75">
      <c r="A22" s="105">
        <v>15</v>
      </c>
      <c r="B22" s="57" t="s">
        <v>604</v>
      </c>
      <c r="C22" s="62">
        <v>639000</v>
      </c>
      <c r="D22" s="62">
        <v>0</v>
      </c>
      <c r="E22" s="62">
        <f t="shared" si="0"/>
        <v>639000</v>
      </c>
      <c r="F22" s="59"/>
      <c r="G22" s="62"/>
      <c r="H22" s="62"/>
      <c r="I22" s="62"/>
    </row>
    <row r="23" spans="1:9" s="45" customFormat="1" ht="12.75">
      <c r="A23" s="102">
        <v>16</v>
      </c>
      <c r="B23" s="57" t="s">
        <v>26</v>
      </c>
      <c r="C23" s="62">
        <v>5289800</v>
      </c>
      <c r="D23" s="62">
        <v>0</v>
      </c>
      <c r="E23" s="62">
        <f t="shared" si="0"/>
        <v>5289800</v>
      </c>
      <c r="F23" s="59"/>
      <c r="G23" s="62"/>
      <c r="H23" s="62"/>
      <c r="I23" s="62"/>
    </row>
    <row r="24" spans="1:9" s="45" customFormat="1" ht="12.75">
      <c r="A24" s="105">
        <v>17</v>
      </c>
      <c r="B24" s="57" t="s">
        <v>27</v>
      </c>
      <c r="C24" s="62">
        <f>5888578+1296000+451243+19072</f>
        <v>7654893</v>
      </c>
      <c r="D24" s="62">
        <v>0</v>
      </c>
      <c r="E24" s="62">
        <f t="shared" si="0"/>
        <v>7654893</v>
      </c>
      <c r="F24" s="44"/>
      <c r="G24" s="62"/>
      <c r="H24" s="61"/>
      <c r="I24" s="61"/>
    </row>
    <row r="25" spans="1:9" s="45" customFormat="1" ht="12.75">
      <c r="A25" s="105">
        <v>18</v>
      </c>
      <c r="B25" s="57" t="s">
        <v>330</v>
      </c>
      <c r="C25" s="62">
        <v>0</v>
      </c>
      <c r="D25" s="62">
        <v>0</v>
      </c>
      <c r="E25" s="62">
        <f t="shared" si="0"/>
        <v>0</v>
      </c>
      <c r="F25" s="44"/>
      <c r="G25" s="62"/>
      <c r="H25" s="61"/>
      <c r="I25" s="61"/>
    </row>
    <row r="26" spans="1:9" s="45" customFormat="1" ht="12.75">
      <c r="A26" s="105">
        <v>19</v>
      </c>
      <c r="B26" s="57" t="s">
        <v>857</v>
      </c>
      <c r="C26" s="62">
        <f>6000</f>
        <v>6000</v>
      </c>
      <c r="D26" s="62">
        <v>0</v>
      </c>
      <c r="E26" s="62">
        <f t="shared" si="0"/>
        <v>6000</v>
      </c>
      <c r="F26" s="44"/>
      <c r="G26" s="62"/>
      <c r="H26" s="61"/>
      <c r="I26" s="61"/>
    </row>
    <row r="27" spans="1:9" s="43" customFormat="1" ht="12.75">
      <c r="A27" s="102">
        <v>20</v>
      </c>
      <c r="B27" s="57" t="s">
        <v>858</v>
      </c>
      <c r="C27" s="62">
        <f>918587+14444</f>
        <v>933031</v>
      </c>
      <c r="D27" s="62">
        <v>0</v>
      </c>
      <c r="E27" s="62">
        <f t="shared" si="0"/>
        <v>933031</v>
      </c>
      <c r="F27" s="44"/>
      <c r="G27" s="61"/>
      <c r="H27" s="61"/>
      <c r="I27" s="61"/>
    </row>
    <row r="28" spans="1:9" s="43" customFormat="1" ht="12.75">
      <c r="A28" s="105">
        <v>21</v>
      </c>
      <c r="B28" s="79" t="s">
        <v>33</v>
      </c>
      <c r="C28" s="60">
        <f>SUM(C29:C30)</f>
        <v>0</v>
      </c>
      <c r="D28" s="60">
        <v>0</v>
      </c>
      <c r="E28" s="60">
        <f t="shared" si="0"/>
        <v>0</v>
      </c>
      <c r="F28" s="44"/>
      <c r="G28" s="61"/>
      <c r="H28" s="61"/>
      <c r="I28" s="61"/>
    </row>
    <row r="29" spans="1:9" s="43" customFormat="1" ht="12.75">
      <c r="A29" s="105">
        <v>22</v>
      </c>
      <c r="B29" s="57" t="s">
        <v>34</v>
      </c>
      <c r="C29" s="62">
        <v>0</v>
      </c>
      <c r="D29" s="62">
        <v>0</v>
      </c>
      <c r="E29" s="62">
        <f t="shared" si="0"/>
        <v>0</v>
      </c>
      <c r="F29" s="44"/>
      <c r="G29" s="61"/>
      <c r="H29" s="61"/>
      <c r="I29" s="61"/>
    </row>
    <row r="30" spans="1:9" s="43" customFormat="1" ht="12.75">
      <c r="A30" s="102">
        <v>23</v>
      </c>
      <c r="B30" s="57" t="s">
        <v>35</v>
      </c>
      <c r="C30" s="62">
        <v>0</v>
      </c>
      <c r="D30" s="62">
        <v>0</v>
      </c>
      <c r="E30" s="62">
        <f t="shared" si="0"/>
        <v>0</v>
      </c>
      <c r="F30" s="44"/>
      <c r="G30" s="61"/>
      <c r="H30" s="61"/>
      <c r="I30" s="61"/>
    </row>
    <row r="31" spans="1:9" s="43" customFormat="1" ht="12.75">
      <c r="A31" s="105">
        <v>24</v>
      </c>
      <c r="B31" s="57"/>
      <c r="C31" s="62"/>
      <c r="D31" s="62"/>
      <c r="E31" s="62"/>
      <c r="F31" s="44"/>
      <c r="G31" s="61"/>
      <c r="H31" s="61"/>
      <c r="I31" s="61"/>
    </row>
    <row r="32" spans="1:9" s="73" customFormat="1" ht="12.75">
      <c r="A32" s="105">
        <v>25</v>
      </c>
      <c r="B32" s="74" t="s">
        <v>509</v>
      </c>
      <c r="C32" s="71">
        <f>SUM(C41+C36+C33)</f>
        <v>0</v>
      </c>
      <c r="D32" s="71">
        <f>SUM(D41+D36+D33)</f>
        <v>224895305</v>
      </c>
      <c r="E32" s="71">
        <f>SUM(D32:D32)</f>
        <v>224895305</v>
      </c>
      <c r="F32" s="72" t="s">
        <v>364</v>
      </c>
      <c r="G32" s="71">
        <f>SUM(G33:G35)</f>
        <v>0</v>
      </c>
      <c r="H32" s="71">
        <f>SUM(H33:H35)</f>
        <v>125595645</v>
      </c>
      <c r="I32" s="71">
        <f aca="true" t="shared" si="3" ref="I32:I40">SUM(G32:H32)</f>
        <v>125595645</v>
      </c>
    </row>
    <row r="33" spans="1:9" s="43" customFormat="1" ht="12.75">
      <c r="A33" s="102">
        <v>26</v>
      </c>
      <c r="B33" s="79" t="s">
        <v>18</v>
      </c>
      <c r="C33" s="60">
        <f>SUM(C34:C35)</f>
        <v>0</v>
      </c>
      <c r="D33" s="60">
        <f>SUM(D34:D35)</f>
        <v>15255629</v>
      </c>
      <c r="E33" s="60">
        <f>SUM(D33:D33)</f>
        <v>15255629</v>
      </c>
      <c r="F33" s="80" t="s">
        <v>44</v>
      </c>
      <c r="G33" s="60">
        <v>0</v>
      </c>
      <c r="H33" s="60">
        <f>46007268-2059095-127000+3150000+500000+9000000+1707563+1398066+100000+88773</f>
        <v>59765575</v>
      </c>
      <c r="I33" s="60">
        <f t="shared" si="3"/>
        <v>59765575</v>
      </c>
    </row>
    <row r="34" spans="1:9" s="43" customFormat="1" ht="12.75">
      <c r="A34" s="105">
        <v>27</v>
      </c>
      <c r="B34" s="57" t="s">
        <v>19</v>
      </c>
      <c r="C34" s="62">
        <v>0</v>
      </c>
      <c r="D34" s="62">
        <v>0</v>
      </c>
      <c r="E34" s="62">
        <f aca="true" t="shared" si="4" ref="E34:E43">SUM(D34:D34)</f>
        <v>0</v>
      </c>
      <c r="F34" s="80" t="s">
        <v>45</v>
      </c>
      <c r="G34" s="60">
        <v>0</v>
      </c>
      <c r="H34" s="60">
        <f>17200759-508000+2645132</f>
        <v>19337891</v>
      </c>
      <c r="I34" s="60">
        <f t="shared" si="3"/>
        <v>19337891</v>
      </c>
    </row>
    <row r="35" spans="1:9" s="43" customFormat="1" ht="12.75">
      <c r="A35" s="105">
        <v>28</v>
      </c>
      <c r="B35" s="57" t="s">
        <v>20</v>
      </c>
      <c r="C35" s="62">
        <v>0</v>
      </c>
      <c r="D35" s="62">
        <f>3150000+9000000+1707563+1398066</f>
        <v>15255629</v>
      </c>
      <c r="E35" s="62">
        <f t="shared" si="4"/>
        <v>15255629</v>
      </c>
      <c r="F35" s="80" t="s">
        <v>46</v>
      </c>
      <c r="G35" s="60">
        <f>SUM(G36:G40)</f>
        <v>0</v>
      </c>
      <c r="H35" s="60">
        <f>SUM(H36:H40)</f>
        <v>46492179</v>
      </c>
      <c r="I35" s="60">
        <f t="shared" si="3"/>
        <v>46492179</v>
      </c>
    </row>
    <row r="36" spans="1:9" s="43" customFormat="1" ht="12.75">
      <c r="A36" s="102">
        <v>29</v>
      </c>
      <c r="B36" s="79" t="s">
        <v>28</v>
      </c>
      <c r="C36" s="60">
        <f>SUM(C37:C40)</f>
        <v>0</v>
      </c>
      <c r="D36" s="60">
        <f>SUM(D37:D40)</f>
        <v>206639676</v>
      </c>
      <c r="E36" s="60">
        <f t="shared" si="4"/>
        <v>206639676</v>
      </c>
      <c r="F36" s="59" t="s">
        <v>47</v>
      </c>
      <c r="G36" s="62">
        <v>0</v>
      </c>
      <c r="H36" s="62">
        <v>0</v>
      </c>
      <c r="I36" s="62">
        <f t="shared" si="3"/>
        <v>0</v>
      </c>
    </row>
    <row r="37" spans="1:9" s="43" customFormat="1" ht="12.75">
      <c r="A37" s="105">
        <v>30</v>
      </c>
      <c r="B37" s="57" t="s">
        <v>29</v>
      </c>
      <c r="C37" s="62">
        <v>0</v>
      </c>
      <c r="D37" s="62">
        <v>0</v>
      </c>
      <c r="E37" s="62">
        <f t="shared" si="4"/>
        <v>0</v>
      </c>
      <c r="F37" s="59" t="s">
        <v>48</v>
      </c>
      <c r="G37" s="62">
        <v>0</v>
      </c>
      <c r="H37" s="62">
        <v>0</v>
      </c>
      <c r="I37" s="62">
        <f t="shared" si="3"/>
        <v>0</v>
      </c>
    </row>
    <row r="38" spans="1:9" s="45" customFormat="1" ht="12.75">
      <c r="A38" s="105">
        <v>31</v>
      </c>
      <c r="B38" s="57" t="s">
        <v>30</v>
      </c>
      <c r="C38" s="62">
        <f>SUM(C39:C40)</f>
        <v>0</v>
      </c>
      <c r="D38" s="62">
        <f>1311000+286688375-44651334-20303278-30534250+9314000+500000+7102216-1172953-1614100</f>
        <v>206639676</v>
      </c>
      <c r="E38" s="62">
        <f t="shared" si="4"/>
        <v>206639676</v>
      </c>
      <c r="F38" s="59" t="s">
        <v>49</v>
      </c>
      <c r="G38" s="62">
        <v>0</v>
      </c>
      <c r="H38" s="62">
        <v>0</v>
      </c>
      <c r="I38" s="62">
        <f t="shared" si="3"/>
        <v>0</v>
      </c>
    </row>
    <row r="39" spans="1:9" s="45" customFormat="1" ht="12.75">
      <c r="A39" s="102">
        <v>32</v>
      </c>
      <c r="B39" s="57" t="s">
        <v>31</v>
      </c>
      <c r="C39" s="62">
        <v>0</v>
      </c>
      <c r="D39" s="62">
        <v>0</v>
      </c>
      <c r="E39" s="62">
        <f t="shared" si="4"/>
        <v>0</v>
      </c>
      <c r="F39" s="59" t="s">
        <v>51</v>
      </c>
      <c r="G39" s="62">
        <v>0</v>
      </c>
      <c r="H39" s="62">
        <v>0</v>
      </c>
      <c r="I39" s="62">
        <f t="shared" si="3"/>
        <v>0</v>
      </c>
    </row>
    <row r="40" spans="1:9" s="47" customFormat="1" ht="13.5">
      <c r="A40" s="105">
        <v>33</v>
      </c>
      <c r="B40" s="57" t="s">
        <v>32</v>
      </c>
      <c r="C40" s="62">
        <v>0</v>
      </c>
      <c r="D40" s="62">
        <v>0</v>
      </c>
      <c r="E40" s="62">
        <f t="shared" si="4"/>
        <v>0</v>
      </c>
      <c r="F40" s="59" t="s">
        <v>52</v>
      </c>
      <c r="G40" s="62">
        <v>0</v>
      </c>
      <c r="H40" s="62">
        <f>81635130-35026110+788000-904841</f>
        <v>46492179</v>
      </c>
      <c r="I40" s="62">
        <f t="shared" si="3"/>
        <v>46492179</v>
      </c>
    </row>
    <row r="41" spans="1:9" s="47" customFormat="1" ht="13.5">
      <c r="A41" s="105">
        <v>34</v>
      </c>
      <c r="B41" s="79" t="s">
        <v>36</v>
      </c>
      <c r="C41" s="60">
        <f>SUM(C42:C43)</f>
        <v>0</v>
      </c>
      <c r="D41" s="60">
        <f>SUM(D42:D43)</f>
        <v>3000000</v>
      </c>
      <c r="E41" s="60">
        <f t="shared" si="4"/>
        <v>3000000</v>
      </c>
      <c r="F41" s="59"/>
      <c r="G41" s="62"/>
      <c r="H41" s="62"/>
      <c r="I41" s="62"/>
    </row>
    <row r="42" spans="1:9" s="47" customFormat="1" ht="13.5">
      <c r="A42" s="102">
        <v>35</v>
      </c>
      <c r="B42" s="57" t="s">
        <v>811</v>
      </c>
      <c r="C42" s="62">
        <v>0</v>
      </c>
      <c r="D42" s="62">
        <v>0</v>
      </c>
      <c r="E42" s="62">
        <f t="shared" si="4"/>
        <v>0</v>
      </c>
      <c r="F42" s="48"/>
      <c r="G42" s="62"/>
      <c r="H42" s="62"/>
      <c r="I42" s="62"/>
    </row>
    <row r="43" spans="1:9" s="47" customFormat="1" ht="13.5">
      <c r="A43" s="105">
        <v>36</v>
      </c>
      <c r="B43" s="57" t="s">
        <v>810</v>
      </c>
      <c r="C43" s="62">
        <v>0</v>
      </c>
      <c r="D43" s="62">
        <v>3000000</v>
      </c>
      <c r="E43" s="62">
        <f t="shared" si="4"/>
        <v>3000000</v>
      </c>
      <c r="F43" s="48"/>
      <c r="G43" s="62"/>
      <c r="H43" s="62"/>
      <c r="I43" s="62"/>
    </row>
    <row r="44" spans="1:9" s="49" customFormat="1" ht="6" customHeight="1">
      <c r="A44" s="860"/>
      <c r="B44" s="861"/>
      <c r="C44" s="861"/>
      <c r="D44" s="861"/>
      <c r="E44" s="861"/>
      <c r="F44" s="861"/>
      <c r="G44" s="861"/>
      <c r="H44" s="861"/>
      <c r="I44" s="862"/>
    </row>
    <row r="45" spans="1:9" s="49" customFormat="1" ht="15">
      <c r="A45" s="105">
        <v>37</v>
      </c>
      <c r="B45" s="863" t="s">
        <v>584</v>
      </c>
      <c r="C45" s="864"/>
      <c r="D45" s="864"/>
      <c r="E45" s="864"/>
      <c r="F45" s="864"/>
      <c r="G45" s="159">
        <f>C7-G7</f>
        <v>-186335213</v>
      </c>
      <c r="H45" s="159">
        <f>D7-H7</f>
        <v>91391660</v>
      </c>
      <c r="I45" s="159">
        <f>SUM(G45:H45)</f>
        <v>-94943553</v>
      </c>
    </row>
    <row r="46" spans="1:9" s="49" customFormat="1" ht="6" customHeight="1">
      <c r="A46" s="852"/>
      <c r="B46" s="853"/>
      <c r="C46" s="853"/>
      <c r="D46" s="853"/>
      <c r="E46" s="853"/>
      <c r="F46" s="853"/>
      <c r="G46" s="853"/>
      <c r="H46" s="853"/>
      <c r="I46" s="854"/>
    </row>
    <row r="47" spans="1:9" s="67" customFormat="1" ht="28.5">
      <c r="A47" s="105">
        <v>38</v>
      </c>
      <c r="B47" s="63" t="s">
        <v>1007</v>
      </c>
      <c r="C47" s="65">
        <f>SUM(C48:C49)</f>
        <v>74723224</v>
      </c>
      <c r="D47" s="65">
        <f>SUM(D48:D49)</f>
        <v>37787652</v>
      </c>
      <c r="E47" s="65">
        <f>SUM(E48:E49)</f>
        <v>112510876</v>
      </c>
      <c r="F47" s="66"/>
      <c r="G47" s="65"/>
      <c r="H47" s="65"/>
      <c r="I47" s="65"/>
    </row>
    <row r="48" spans="1:9" s="76" customFormat="1" ht="13.5">
      <c r="A48" s="102">
        <v>39</v>
      </c>
      <c r="B48" s="77" t="s">
        <v>812</v>
      </c>
      <c r="C48" s="71">
        <f>20790707+20000000+6865581+213817+1486017</f>
        <v>49356122</v>
      </c>
      <c r="D48" s="71">
        <v>33138652</v>
      </c>
      <c r="E48" s="71">
        <f aca="true" t="shared" si="5" ref="E48:E54">SUM(C48:D48)</f>
        <v>82494774</v>
      </c>
      <c r="F48" s="72"/>
      <c r="G48" s="71"/>
      <c r="H48" s="71"/>
      <c r="I48" s="71"/>
    </row>
    <row r="49" spans="1:9" s="76" customFormat="1" ht="13.5">
      <c r="A49" s="102">
        <v>40</v>
      </c>
      <c r="B49" s="77" t="s">
        <v>813</v>
      </c>
      <c r="C49" s="71">
        <v>25367102</v>
      </c>
      <c r="D49" s="71">
        <v>4649000</v>
      </c>
      <c r="E49" s="71">
        <f t="shared" si="5"/>
        <v>30016102</v>
      </c>
      <c r="F49" s="72"/>
      <c r="G49" s="71"/>
      <c r="H49" s="71"/>
      <c r="I49" s="71"/>
    </row>
    <row r="50" spans="1:9" s="67" customFormat="1" ht="42.75">
      <c r="A50" s="105">
        <v>41</v>
      </c>
      <c r="B50" s="63" t="s">
        <v>1009</v>
      </c>
      <c r="C50" s="65">
        <f>SUM(C51:C53)</f>
        <v>0</v>
      </c>
      <c r="D50" s="65">
        <f>SUM(D51:D53)</f>
        <v>0</v>
      </c>
      <c r="E50" s="65">
        <f t="shared" si="5"/>
        <v>0</v>
      </c>
      <c r="F50" s="810" t="s">
        <v>1008</v>
      </c>
      <c r="G50" s="811">
        <f>SUM(G51:G53)</f>
        <v>17567323</v>
      </c>
      <c r="H50" s="811">
        <f>SUM(H51:H53)</f>
        <v>0</v>
      </c>
      <c r="I50" s="811">
        <f>SUM(G50:H50)</f>
        <v>17567323</v>
      </c>
    </row>
    <row r="51" spans="1:9" s="76" customFormat="1" ht="13.5">
      <c r="A51" s="105">
        <v>42</v>
      </c>
      <c r="B51" s="75" t="s">
        <v>814</v>
      </c>
      <c r="C51" s="71">
        <v>0</v>
      </c>
      <c r="D51" s="71">
        <v>0</v>
      </c>
      <c r="E51" s="71">
        <f t="shared" si="5"/>
        <v>0</v>
      </c>
      <c r="F51" s="72" t="s">
        <v>816</v>
      </c>
      <c r="G51" s="71">
        <v>0</v>
      </c>
      <c r="H51" s="71">
        <v>0</v>
      </c>
      <c r="I51" s="71">
        <f>SUM(G51:H51)</f>
        <v>0</v>
      </c>
    </row>
    <row r="52" spans="1:9" s="78" customFormat="1" ht="12.75">
      <c r="A52" s="105">
        <v>43</v>
      </c>
      <c r="B52" s="75" t="s">
        <v>815</v>
      </c>
      <c r="C52" s="71">
        <v>0</v>
      </c>
      <c r="D52" s="71">
        <v>0</v>
      </c>
      <c r="E52" s="71">
        <f>SUM(C52:D52)</f>
        <v>0</v>
      </c>
      <c r="F52" s="72" t="s">
        <v>817</v>
      </c>
      <c r="G52" s="71">
        <v>0</v>
      </c>
      <c r="H52" s="71">
        <v>0</v>
      </c>
      <c r="I52" s="71">
        <f>SUM(G52:H52)</f>
        <v>0</v>
      </c>
    </row>
    <row r="53" spans="1:9" s="78" customFormat="1" ht="12.75">
      <c r="A53" s="105">
        <v>44</v>
      </c>
      <c r="B53" s="75" t="s">
        <v>808</v>
      </c>
      <c r="C53" s="71">
        <v>0</v>
      </c>
      <c r="D53" s="71">
        <v>0</v>
      </c>
      <c r="E53" s="71">
        <f>SUM(C53:D53)</f>
        <v>0</v>
      </c>
      <c r="F53" s="75" t="s">
        <v>809</v>
      </c>
      <c r="G53" s="71">
        <v>17567323</v>
      </c>
      <c r="H53" s="71">
        <v>0</v>
      </c>
      <c r="I53" s="71">
        <f>SUM(G53:H53)</f>
        <v>17567323</v>
      </c>
    </row>
    <row r="54" spans="1:9" s="69" customFormat="1" ht="15.75">
      <c r="A54" s="105">
        <v>45</v>
      </c>
      <c r="B54" s="68" t="s">
        <v>489</v>
      </c>
      <c r="C54" s="82">
        <f>SUM(C7,C47,C50)</f>
        <v>1061889839</v>
      </c>
      <c r="D54" s="82">
        <f>SUM(D7,D47,D50)</f>
        <v>262682957</v>
      </c>
      <c r="E54" s="82">
        <f t="shared" si="5"/>
        <v>1324572796</v>
      </c>
      <c r="F54" s="68" t="s">
        <v>374</v>
      </c>
      <c r="G54" s="82">
        <f>SUM(G7,G50)</f>
        <v>1191069151</v>
      </c>
      <c r="H54" s="82">
        <f>SUM(H7,H50)</f>
        <v>133503645</v>
      </c>
      <c r="I54" s="82">
        <f>SUM(G54:H54)</f>
        <v>1324572796</v>
      </c>
    </row>
    <row r="61" ht="15">
      <c r="B61" s="50"/>
    </row>
  </sheetData>
  <sheetProtection/>
  <mergeCells count="8">
    <mergeCell ref="A46:I46"/>
    <mergeCell ref="F1:I1"/>
    <mergeCell ref="B2:I2"/>
    <mergeCell ref="B4:E4"/>
    <mergeCell ref="F4:I4"/>
    <mergeCell ref="A4:A6"/>
    <mergeCell ref="A44:I44"/>
    <mergeCell ref="B45:F45"/>
  </mergeCells>
  <printOptions horizontalCentered="1"/>
  <pageMargins left="0.15748031496062992" right="0.15748031496062992" top="0.5905511811023623" bottom="0.1968503937007874" header="0.5118110236220472" footer="0.5118110236220472"/>
  <pageSetup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B58"/>
  <sheetViews>
    <sheetView zoomScale="95" zoomScaleNormal="95" zoomScalePageLayoutView="0" workbookViewId="0" topLeftCell="I1">
      <pane ySplit="7" topLeftCell="A46" activePane="bottomLeft" state="frozen"/>
      <selection pane="topLeft" activeCell="A1" sqref="A1"/>
      <selection pane="bottomLeft" activeCell="E2" sqref="E2:Y2"/>
    </sheetView>
  </sheetViews>
  <sheetFormatPr defaultColWidth="8.875" defaultRowHeight="12.75"/>
  <cols>
    <col min="1" max="1" width="1.37890625" style="632" hidden="1" customWidth="1"/>
    <col min="2" max="2" width="8.00390625" style="633" hidden="1" customWidth="1"/>
    <col min="3" max="3" width="8.00390625" style="633" customWidth="1"/>
    <col min="4" max="4" width="4.625" style="634" bestFit="1" customWidth="1"/>
    <col min="5" max="5" width="30.375" style="632" customWidth="1"/>
    <col min="6" max="6" width="9.25390625" style="635" hidden="1" customWidth="1"/>
    <col min="7" max="7" width="11.375" style="632" bestFit="1" customWidth="1"/>
    <col min="8" max="8" width="11.125" style="632" customWidth="1"/>
    <col min="9" max="9" width="11.375" style="632" customWidth="1"/>
    <col min="10" max="11" width="10.25390625" style="632" customWidth="1"/>
    <col min="12" max="12" width="11.375" style="632" bestFit="1" customWidth="1"/>
    <col min="13" max="13" width="11.00390625" style="632" customWidth="1"/>
    <col min="14" max="14" width="9.875" style="632" customWidth="1"/>
    <col min="15" max="15" width="8.25390625" style="632" customWidth="1"/>
    <col min="16" max="18" width="9.625" style="632" customWidth="1"/>
    <col min="19" max="19" width="10.00390625" style="632" customWidth="1"/>
    <col min="20" max="20" width="9.625" style="632" bestFit="1" customWidth="1"/>
    <col min="21" max="21" width="10.75390625" style="632" customWidth="1"/>
    <col min="22" max="22" width="10.625" style="632" customWidth="1"/>
    <col min="23" max="23" width="11.125" style="632" customWidth="1"/>
    <col min="24" max="24" width="10.625" style="632" customWidth="1"/>
    <col min="25" max="25" width="12.00390625" style="688" customWidth="1"/>
    <col min="26" max="26" width="14.375" style="632" customWidth="1"/>
    <col min="27" max="27" width="9.875" style="632" bestFit="1" customWidth="1"/>
    <col min="28" max="16384" width="8.875" style="632" customWidth="1"/>
  </cols>
  <sheetData>
    <row r="1" spans="3:25" ht="15">
      <c r="C1" s="865"/>
      <c r="N1" s="210"/>
      <c r="O1" s="210"/>
      <c r="P1" s="210"/>
      <c r="Q1" s="210"/>
      <c r="R1" s="210"/>
      <c r="S1" s="210"/>
      <c r="T1" s="866" t="s">
        <v>1017</v>
      </c>
      <c r="U1" s="867"/>
      <c r="V1" s="867"/>
      <c r="W1" s="867"/>
      <c r="X1" s="867"/>
      <c r="Y1" s="867"/>
    </row>
    <row r="2" spans="1:25" ht="15.75">
      <c r="A2" s="636"/>
      <c r="B2" s="637"/>
      <c r="C2" s="865"/>
      <c r="D2" s="637"/>
      <c r="E2" s="868" t="s">
        <v>739</v>
      </c>
      <c r="F2" s="868"/>
      <c r="G2" s="868"/>
      <c r="H2" s="868"/>
      <c r="I2" s="868"/>
      <c r="J2" s="868"/>
      <c r="K2" s="868"/>
      <c r="L2" s="868"/>
      <c r="M2" s="868"/>
      <c r="N2" s="868"/>
      <c r="O2" s="868"/>
      <c r="P2" s="868"/>
      <c r="Q2" s="868"/>
      <c r="R2" s="868"/>
      <c r="S2" s="868"/>
      <c r="T2" s="868"/>
      <c r="U2" s="868"/>
      <c r="V2" s="868"/>
      <c r="W2" s="868"/>
      <c r="X2" s="868"/>
      <c r="Y2" s="868"/>
    </row>
    <row r="3" ht="12.75" thickBot="1">
      <c r="Y3" s="638"/>
    </row>
    <row r="4" spans="2:25" s="639" customFormat="1" ht="12.75" customHeight="1">
      <c r="B4" s="640"/>
      <c r="C4" s="640"/>
      <c r="D4" s="869" t="s">
        <v>482</v>
      </c>
      <c r="E4" s="872" t="s">
        <v>394</v>
      </c>
      <c r="F4" s="875" t="s">
        <v>401</v>
      </c>
      <c r="G4" s="878" t="s">
        <v>402</v>
      </c>
      <c r="H4" s="879"/>
      <c r="I4" s="879"/>
      <c r="J4" s="879"/>
      <c r="K4" s="879"/>
      <c r="L4" s="879"/>
      <c r="M4" s="879"/>
      <c r="N4" s="879"/>
      <c r="O4" s="879"/>
      <c r="P4" s="879"/>
      <c r="Q4" s="879"/>
      <c r="R4" s="879"/>
      <c r="S4" s="879"/>
      <c r="T4" s="879"/>
      <c r="U4" s="879"/>
      <c r="V4" s="879"/>
      <c r="W4" s="879"/>
      <c r="X4" s="880"/>
      <c r="Y4" s="881" t="s">
        <v>403</v>
      </c>
    </row>
    <row r="5" spans="2:25" s="641" customFormat="1" ht="12" customHeight="1">
      <c r="B5" s="642"/>
      <c r="C5" s="642"/>
      <c r="D5" s="870"/>
      <c r="E5" s="873"/>
      <c r="F5" s="876"/>
      <c r="G5" s="643" t="s">
        <v>1</v>
      </c>
      <c r="H5" s="643" t="s">
        <v>3</v>
      </c>
      <c r="I5" s="643" t="s">
        <v>5</v>
      </c>
      <c r="J5" s="643" t="s">
        <v>8</v>
      </c>
      <c r="K5" s="734"/>
      <c r="L5" s="888" t="s">
        <v>760</v>
      </c>
      <c r="M5" s="888"/>
      <c r="N5" s="888"/>
      <c r="O5" s="888"/>
      <c r="P5" s="888"/>
      <c r="Q5" s="888"/>
      <c r="R5" s="888"/>
      <c r="S5" s="888"/>
      <c r="T5" s="889"/>
      <c r="U5" s="645" t="s">
        <v>147</v>
      </c>
      <c r="V5" s="645" t="s">
        <v>149</v>
      </c>
      <c r="W5" s="643" t="s">
        <v>151</v>
      </c>
      <c r="X5" s="643" t="s">
        <v>153</v>
      </c>
      <c r="Y5" s="882"/>
    </row>
    <row r="6" spans="2:25" s="641" customFormat="1" ht="53.25" customHeight="1">
      <c r="B6" s="642"/>
      <c r="C6" s="642"/>
      <c r="D6" s="870"/>
      <c r="E6" s="874"/>
      <c r="F6" s="877"/>
      <c r="G6" s="646" t="s">
        <v>373</v>
      </c>
      <c r="H6" s="646" t="s">
        <v>746</v>
      </c>
      <c r="I6" s="646" t="s">
        <v>396</v>
      </c>
      <c r="J6" s="646" t="s">
        <v>9</v>
      </c>
      <c r="K6" s="646" t="s">
        <v>171</v>
      </c>
      <c r="L6" s="646" t="s">
        <v>146</v>
      </c>
      <c r="M6" s="646" t="s">
        <v>918</v>
      </c>
      <c r="N6" s="646" t="s">
        <v>475</v>
      </c>
      <c r="O6" s="646" t="s">
        <v>487</v>
      </c>
      <c r="P6" s="646" t="s">
        <v>513</v>
      </c>
      <c r="Q6" s="646" t="s">
        <v>919</v>
      </c>
      <c r="R6" s="646" t="s">
        <v>920</v>
      </c>
      <c r="S6" s="646" t="s">
        <v>761</v>
      </c>
      <c r="T6" s="646" t="s">
        <v>53</v>
      </c>
      <c r="U6" s="644" t="s">
        <v>369</v>
      </c>
      <c r="V6" s="644" t="s">
        <v>406</v>
      </c>
      <c r="W6" s="646" t="s">
        <v>759</v>
      </c>
      <c r="X6" s="646" t="s">
        <v>152</v>
      </c>
      <c r="Y6" s="883"/>
    </row>
    <row r="7" spans="2:25" s="647" customFormat="1" ht="12">
      <c r="B7" s="648"/>
      <c r="C7" s="648"/>
      <c r="D7" s="871"/>
      <c r="E7" s="649" t="s">
        <v>476</v>
      </c>
      <c r="F7" s="650" t="s">
        <v>477</v>
      </c>
      <c r="G7" s="651" t="s">
        <v>477</v>
      </c>
      <c r="H7" s="651" t="s">
        <v>478</v>
      </c>
      <c r="I7" s="652" t="s">
        <v>479</v>
      </c>
      <c r="J7" s="649" t="s">
        <v>480</v>
      </c>
      <c r="K7" s="649"/>
      <c r="L7" s="652" t="s">
        <v>481</v>
      </c>
      <c r="M7" s="652"/>
      <c r="N7" s="652" t="s">
        <v>483</v>
      </c>
      <c r="O7" s="652" t="s">
        <v>484</v>
      </c>
      <c r="P7" s="652" t="s">
        <v>425</v>
      </c>
      <c r="Q7" s="652"/>
      <c r="R7" s="652"/>
      <c r="S7" s="652" t="s">
        <v>426</v>
      </c>
      <c r="T7" s="651" t="s">
        <v>427</v>
      </c>
      <c r="U7" s="652" t="s">
        <v>428</v>
      </c>
      <c r="V7" s="652" t="s">
        <v>429</v>
      </c>
      <c r="W7" s="653" t="s">
        <v>430</v>
      </c>
      <c r="X7" s="654" t="s">
        <v>431</v>
      </c>
      <c r="Y7" s="655" t="s">
        <v>432</v>
      </c>
    </row>
    <row r="8" spans="1:25" s="663" customFormat="1" ht="24">
      <c r="A8" s="632"/>
      <c r="B8" s="633"/>
      <c r="C8" s="633" t="s">
        <v>65</v>
      </c>
      <c r="D8" s="656" t="s">
        <v>433</v>
      </c>
      <c r="E8" s="657" t="s">
        <v>66</v>
      </c>
      <c r="F8" s="658"/>
      <c r="G8" s="659">
        <v>24532623</v>
      </c>
      <c r="H8" s="659">
        <f>5426893+430000</f>
        <v>5856893</v>
      </c>
      <c r="I8" s="660">
        <f>13291370-240000-64800+3850000+500000-1500000+379000</f>
        <v>16215570</v>
      </c>
      <c r="J8" s="660">
        <v>0</v>
      </c>
      <c r="K8" s="660"/>
      <c r="L8" s="660">
        <f>20240556-8000000+35026110+9314000+4000000+904841</f>
        <v>61485507</v>
      </c>
      <c r="M8" s="660"/>
      <c r="N8" s="660">
        <v>0</v>
      </c>
      <c r="O8" s="660">
        <v>0</v>
      </c>
      <c r="P8" s="660">
        <v>0</v>
      </c>
      <c r="Q8" s="660"/>
      <c r="R8" s="660"/>
      <c r="S8" s="660">
        <v>0</v>
      </c>
      <c r="T8" s="660">
        <v>0</v>
      </c>
      <c r="U8" s="659">
        <f>3000000+3150000+500000</f>
        <v>6650000</v>
      </c>
      <c r="V8" s="660">
        <v>0</v>
      </c>
      <c r="W8" s="661">
        <f>80026110-35026110</f>
        <v>45000000</v>
      </c>
      <c r="X8" s="660">
        <v>0</v>
      </c>
      <c r="Y8" s="662">
        <f aca="true" t="shared" si="0" ref="Y8:Y52">SUM(G8:X8)</f>
        <v>159740593</v>
      </c>
    </row>
    <row r="9" spans="1:25" s="663" customFormat="1" ht="23.25" customHeight="1">
      <c r="A9" s="632"/>
      <c r="B9" s="633"/>
      <c r="C9" s="633" t="s">
        <v>740</v>
      </c>
      <c r="D9" s="664" t="s">
        <v>434</v>
      </c>
      <c r="E9" s="665" t="s">
        <v>741</v>
      </c>
      <c r="F9" s="666"/>
      <c r="G9" s="667">
        <v>0</v>
      </c>
      <c r="H9" s="667">
        <v>0</v>
      </c>
      <c r="I9" s="667">
        <v>100000</v>
      </c>
      <c r="J9" s="667">
        <v>0</v>
      </c>
      <c r="K9" s="667"/>
      <c r="L9" s="667">
        <v>0</v>
      </c>
      <c r="M9" s="667"/>
      <c r="N9" s="667">
        <v>0</v>
      </c>
      <c r="O9" s="667">
        <v>0</v>
      </c>
      <c r="P9" s="667">
        <v>0</v>
      </c>
      <c r="Q9" s="667"/>
      <c r="R9" s="667"/>
      <c r="S9" s="667">
        <v>0</v>
      </c>
      <c r="T9" s="667">
        <v>0</v>
      </c>
      <c r="U9" s="667">
        <v>0</v>
      </c>
      <c r="V9" s="661">
        <v>0</v>
      </c>
      <c r="W9" s="661">
        <v>0</v>
      </c>
      <c r="X9" s="661">
        <v>0</v>
      </c>
      <c r="Y9" s="662">
        <f t="shared" si="0"/>
        <v>100000</v>
      </c>
    </row>
    <row r="10" spans="1:25" s="663" customFormat="1" ht="24">
      <c r="A10" s="632"/>
      <c r="B10" s="633" t="s">
        <v>57</v>
      </c>
      <c r="C10" s="633" t="s">
        <v>60</v>
      </c>
      <c r="D10" s="664" t="s">
        <v>435</v>
      </c>
      <c r="E10" s="665" t="s">
        <v>61</v>
      </c>
      <c r="F10" s="666"/>
      <c r="G10" s="667">
        <v>0</v>
      </c>
      <c r="H10" s="667">
        <v>0</v>
      </c>
      <c r="I10" s="661">
        <f>34752594-250000-67500+6762752</f>
        <v>41197846</v>
      </c>
      <c r="J10" s="661">
        <v>0</v>
      </c>
      <c r="K10" s="661"/>
      <c r="L10" s="661">
        <f>43528000-782000+782000</f>
        <v>43528000</v>
      </c>
      <c r="M10" s="661"/>
      <c r="N10" s="661">
        <v>0</v>
      </c>
      <c r="O10" s="661">
        <v>0</v>
      </c>
      <c r="P10" s="661">
        <v>0</v>
      </c>
      <c r="Q10" s="661"/>
      <c r="R10" s="661"/>
      <c r="S10" s="661">
        <v>0</v>
      </c>
      <c r="T10" s="661">
        <v>0</v>
      </c>
      <c r="U10" s="667">
        <f>3700000+9000000</f>
        <v>12700000</v>
      </c>
      <c r="V10" s="661">
        <v>1000000</v>
      </c>
      <c r="W10" s="661">
        <f>1609020-904841</f>
        <v>704179</v>
      </c>
      <c r="X10" s="661">
        <v>0</v>
      </c>
      <c r="Y10" s="662">
        <f t="shared" si="0"/>
        <v>99130025</v>
      </c>
    </row>
    <row r="11" spans="1:25" s="663" customFormat="1" ht="36">
      <c r="A11" s="632"/>
      <c r="B11" s="633" t="s">
        <v>58</v>
      </c>
      <c r="C11" s="633" t="s">
        <v>62</v>
      </c>
      <c r="D11" s="664" t="s">
        <v>436</v>
      </c>
      <c r="E11" s="665" t="s">
        <v>608</v>
      </c>
      <c r="F11" s="666"/>
      <c r="G11" s="667">
        <v>4288690</v>
      </c>
      <c r="H11" s="667">
        <v>997329</v>
      </c>
      <c r="I11" s="661">
        <f>1016560+1686276</f>
        <v>2702836</v>
      </c>
      <c r="J11" s="661">
        <v>0</v>
      </c>
      <c r="K11" s="661"/>
      <c r="L11" s="661">
        <v>0</v>
      </c>
      <c r="M11" s="661"/>
      <c r="N11" s="661">
        <v>0</v>
      </c>
      <c r="O11" s="661">
        <v>0</v>
      </c>
      <c r="P11" s="661">
        <v>0</v>
      </c>
      <c r="Q11" s="661"/>
      <c r="R11" s="661"/>
      <c r="S11" s="661">
        <v>0</v>
      </c>
      <c r="T11" s="661">
        <v>0</v>
      </c>
      <c r="U11" s="667"/>
      <c r="V11" s="661">
        <v>0</v>
      </c>
      <c r="W11" s="661">
        <v>0</v>
      </c>
      <c r="X11" s="661">
        <v>0</v>
      </c>
      <c r="Y11" s="662">
        <f t="shared" si="0"/>
        <v>7988855</v>
      </c>
    </row>
    <row r="12" spans="1:25" s="663" customFormat="1" ht="24">
      <c r="A12" s="632"/>
      <c r="B12" s="633" t="s">
        <v>59</v>
      </c>
      <c r="C12" s="633" t="s">
        <v>67</v>
      </c>
      <c r="D12" s="664" t="s">
        <v>437</v>
      </c>
      <c r="E12" s="665" t="s">
        <v>412</v>
      </c>
      <c r="F12" s="666"/>
      <c r="G12" s="667">
        <v>1874804</v>
      </c>
      <c r="H12" s="667">
        <v>1214310</v>
      </c>
      <c r="I12" s="661">
        <f>6352096-2000000</f>
        <v>4352096</v>
      </c>
      <c r="J12" s="661">
        <v>0</v>
      </c>
      <c r="K12" s="661"/>
      <c r="L12" s="661">
        <v>0</v>
      </c>
      <c r="M12" s="661"/>
      <c r="N12" s="661">
        <v>0</v>
      </c>
      <c r="O12" s="661">
        <v>0</v>
      </c>
      <c r="P12" s="661">
        <v>0</v>
      </c>
      <c r="Q12" s="661"/>
      <c r="R12" s="661"/>
      <c r="S12" s="661">
        <v>0</v>
      </c>
      <c r="T12" s="661">
        <v>0</v>
      </c>
      <c r="U12" s="667">
        <v>0</v>
      </c>
      <c r="V12" s="661">
        <v>0</v>
      </c>
      <c r="W12" s="661">
        <v>0</v>
      </c>
      <c r="X12" s="661">
        <v>0</v>
      </c>
      <c r="Y12" s="662">
        <f t="shared" si="0"/>
        <v>7441210</v>
      </c>
    </row>
    <row r="13" spans="1:25" s="663" customFormat="1" ht="24">
      <c r="A13" s="632"/>
      <c r="B13" s="633"/>
      <c r="C13" s="633" t="s">
        <v>922</v>
      </c>
      <c r="D13" s="664" t="s">
        <v>438</v>
      </c>
      <c r="E13" s="665" t="s">
        <v>921</v>
      </c>
      <c r="F13" s="666"/>
      <c r="G13" s="667"/>
      <c r="H13" s="667"/>
      <c r="I13" s="667"/>
      <c r="J13" s="667"/>
      <c r="K13" s="667">
        <f>25603463+1419433</f>
        <v>27022896</v>
      </c>
      <c r="L13" s="667"/>
      <c r="M13" s="667"/>
      <c r="N13" s="667"/>
      <c r="O13" s="667"/>
      <c r="P13" s="667"/>
      <c r="Q13" s="667"/>
      <c r="R13" s="667"/>
      <c r="S13" s="667"/>
      <c r="T13" s="667"/>
      <c r="U13" s="667"/>
      <c r="V13" s="661"/>
      <c r="W13" s="661"/>
      <c r="X13" s="661"/>
      <c r="Y13" s="662">
        <f t="shared" si="0"/>
        <v>27022896</v>
      </c>
    </row>
    <row r="14" spans="1:25" s="663" customFormat="1" ht="23.25" customHeight="1">
      <c r="A14" s="632"/>
      <c r="B14" s="633"/>
      <c r="C14" s="633" t="s">
        <v>742</v>
      </c>
      <c r="D14" s="664" t="s">
        <v>439</v>
      </c>
      <c r="E14" s="665" t="s">
        <v>743</v>
      </c>
      <c r="F14" s="666"/>
      <c r="G14" s="667">
        <v>0</v>
      </c>
      <c r="H14" s="667">
        <v>0</v>
      </c>
      <c r="I14" s="667">
        <f>237516+48289</f>
        <v>285805</v>
      </c>
      <c r="J14" s="667">
        <v>0</v>
      </c>
      <c r="K14" s="667"/>
      <c r="L14" s="667">
        <v>0</v>
      </c>
      <c r="M14" s="667"/>
      <c r="N14" s="667">
        <v>0</v>
      </c>
      <c r="O14" s="667">
        <v>0</v>
      </c>
      <c r="P14" s="667">
        <v>0</v>
      </c>
      <c r="Q14" s="667"/>
      <c r="R14" s="667"/>
      <c r="S14" s="667">
        <v>0</v>
      </c>
      <c r="T14" s="667">
        <v>0</v>
      </c>
      <c r="U14" s="667">
        <v>0</v>
      </c>
      <c r="V14" s="661">
        <v>0</v>
      </c>
      <c r="W14" s="661">
        <v>0</v>
      </c>
      <c r="X14" s="661">
        <v>17567323</v>
      </c>
      <c r="Y14" s="662">
        <f t="shared" si="0"/>
        <v>17853128</v>
      </c>
    </row>
    <row r="15" spans="1:25" s="663" customFormat="1" ht="23.25" customHeight="1">
      <c r="A15" s="632"/>
      <c r="B15" s="633"/>
      <c r="C15" s="633" t="s">
        <v>916</v>
      </c>
      <c r="D15" s="664" t="s">
        <v>440</v>
      </c>
      <c r="E15" s="665" t="s">
        <v>917</v>
      </c>
      <c r="F15" s="666"/>
      <c r="G15" s="667"/>
      <c r="H15" s="667"/>
      <c r="I15" s="667"/>
      <c r="J15" s="667"/>
      <c r="K15" s="667"/>
      <c r="L15" s="667"/>
      <c r="M15" s="667">
        <v>40723</v>
      </c>
      <c r="N15" s="667"/>
      <c r="O15" s="667"/>
      <c r="P15" s="667"/>
      <c r="Q15" s="667"/>
      <c r="R15" s="667"/>
      <c r="S15" s="667"/>
      <c r="T15" s="667"/>
      <c r="U15" s="667"/>
      <c r="V15" s="661"/>
      <c r="W15" s="661"/>
      <c r="X15" s="661"/>
      <c r="Y15" s="662">
        <f t="shared" si="0"/>
        <v>40723</v>
      </c>
    </row>
    <row r="16" spans="1:25" s="663" customFormat="1" ht="24">
      <c r="A16" s="632">
        <v>20215</v>
      </c>
      <c r="B16" s="633" t="s">
        <v>60</v>
      </c>
      <c r="C16" s="633" t="s">
        <v>71</v>
      </c>
      <c r="D16" s="664" t="s">
        <v>441</v>
      </c>
      <c r="E16" s="665" t="s">
        <v>72</v>
      </c>
      <c r="F16" s="666"/>
      <c r="G16" s="667">
        <f>31329200+13200</f>
        <v>31342400</v>
      </c>
      <c r="H16" s="667">
        <f>6988684+2904</f>
        <v>6991588</v>
      </c>
      <c r="I16" s="661">
        <f>9066178+22851-88773</f>
        <v>9000256</v>
      </c>
      <c r="J16" s="661">
        <v>0</v>
      </c>
      <c r="K16" s="661"/>
      <c r="L16" s="661">
        <v>0</v>
      </c>
      <c r="M16" s="661"/>
      <c r="N16" s="661">
        <v>0</v>
      </c>
      <c r="O16" s="661">
        <v>0</v>
      </c>
      <c r="P16" s="661">
        <v>0</v>
      </c>
      <c r="Q16" s="661"/>
      <c r="R16" s="661"/>
      <c r="S16" s="661">
        <v>0</v>
      </c>
      <c r="T16" s="661">
        <v>0</v>
      </c>
      <c r="U16" s="667">
        <v>88773</v>
      </c>
      <c r="V16" s="661">
        <v>254000</v>
      </c>
      <c r="W16" s="661">
        <v>0</v>
      </c>
      <c r="X16" s="661">
        <v>0</v>
      </c>
      <c r="Y16" s="662">
        <f t="shared" si="0"/>
        <v>47677017</v>
      </c>
    </row>
    <row r="17" spans="1:25" s="663" customFormat="1" ht="24">
      <c r="A17" s="632"/>
      <c r="B17" s="633"/>
      <c r="C17" s="633" t="s">
        <v>925</v>
      </c>
      <c r="D17" s="664" t="s">
        <v>442</v>
      </c>
      <c r="E17" s="665" t="s">
        <v>926</v>
      </c>
      <c r="F17" s="666"/>
      <c r="G17" s="667">
        <v>30882431</v>
      </c>
      <c r="H17" s="667">
        <v>3396993</v>
      </c>
      <c r="I17" s="667">
        <v>6312014</v>
      </c>
      <c r="J17" s="667"/>
      <c r="K17" s="667"/>
      <c r="L17" s="667"/>
      <c r="M17" s="667"/>
      <c r="N17" s="667"/>
      <c r="O17" s="667"/>
      <c r="P17" s="667"/>
      <c r="Q17" s="667"/>
      <c r="R17" s="667"/>
      <c r="S17" s="667"/>
      <c r="T17" s="667"/>
      <c r="U17" s="667">
        <v>1398066</v>
      </c>
      <c r="V17" s="661"/>
      <c r="W17" s="667"/>
      <c r="X17" s="661"/>
      <c r="Y17" s="662">
        <f t="shared" si="0"/>
        <v>41989504</v>
      </c>
    </row>
    <row r="18" spans="1:25" s="663" customFormat="1" ht="24">
      <c r="A18" s="632"/>
      <c r="B18" s="633"/>
      <c r="C18" s="633" t="s">
        <v>927</v>
      </c>
      <c r="D18" s="664" t="s">
        <v>443</v>
      </c>
      <c r="E18" s="665" t="s">
        <v>928</v>
      </c>
      <c r="F18" s="666"/>
      <c r="G18" s="667">
        <v>89907417</v>
      </c>
      <c r="H18" s="667">
        <v>9889529</v>
      </c>
      <c r="I18" s="667">
        <v>8426434</v>
      </c>
      <c r="J18" s="667"/>
      <c r="K18" s="667"/>
      <c r="L18" s="667"/>
      <c r="M18" s="667"/>
      <c r="N18" s="667"/>
      <c r="O18" s="667"/>
      <c r="P18" s="667"/>
      <c r="Q18" s="667"/>
      <c r="R18" s="667"/>
      <c r="S18" s="667"/>
      <c r="T18" s="667"/>
      <c r="U18" s="667">
        <v>1707563</v>
      </c>
      <c r="V18" s="661"/>
      <c r="W18" s="667"/>
      <c r="X18" s="661"/>
      <c r="Y18" s="662">
        <f t="shared" si="0"/>
        <v>109930943</v>
      </c>
    </row>
    <row r="19" spans="1:25" s="663" customFormat="1" ht="22.5" customHeight="1">
      <c r="A19" s="632"/>
      <c r="B19" s="633"/>
      <c r="C19" s="633" t="s">
        <v>745</v>
      </c>
      <c r="D19" s="664" t="s">
        <v>444</v>
      </c>
      <c r="E19" s="665" t="s">
        <v>744</v>
      </c>
      <c r="F19" s="666"/>
      <c r="G19" s="667">
        <v>0</v>
      </c>
      <c r="H19" s="667">
        <v>0</v>
      </c>
      <c r="I19" s="667">
        <v>0</v>
      </c>
      <c r="J19" s="667">
        <v>0</v>
      </c>
      <c r="K19" s="667"/>
      <c r="L19" s="667">
        <v>0</v>
      </c>
      <c r="M19" s="667"/>
      <c r="N19" s="667">
        <v>0</v>
      </c>
      <c r="O19" s="667">
        <v>0</v>
      </c>
      <c r="P19" s="667">
        <v>0</v>
      </c>
      <c r="Q19" s="667"/>
      <c r="R19" s="667"/>
      <c r="S19" s="667">
        <v>0</v>
      </c>
      <c r="T19" s="667">
        <v>0</v>
      </c>
      <c r="U19" s="667">
        <f>17462500+100000</f>
        <v>17562500</v>
      </c>
      <c r="V19" s="661">
        <v>0</v>
      </c>
      <c r="W19" s="667">
        <v>0</v>
      </c>
      <c r="X19" s="661">
        <v>0</v>
      </c>
      <c r="Y19" s="662">
        <f t="shared" si="0"/>
        <v>17562500</v>
      </c>
    </row>
    <row r="20" spans="2:25" ht="24">
      <c r="B20" s="633" t="s">
        <v>65</v>
      </c>
      <c r="C20" s="633" t="s">
        <v>58</v>
      </c>
      <c r="D20" s="664" t="s">
        <v>445</v>
      </c>
      <c r="E20" s="665" t="s">
        <v>609</v>
      </c>
      <c r="F20" s="666"/>
      <c r="G20" s="667">
        <v>0</v>
      </c>
      <c r="H20" s="667">
        <v>0</v>
      </c>
      <c r="I20" s="661">
        <v>0</v>
      </c>
      <c r="J20" s="661">
        <v>0</v>
      </c>
      <c r="K20" s="661"/>
      <c r="L20" s="661">
        <f>9850000-788000-2645132</f>
        <v>6416868</v>
      </c>
      <c r="M20" s="661"/>
      <c r="N20" s="661">
        <v>0</v>
      </c>
      <c r="O20" s="661">
        <v>0</v>
      </c>
      <c r="P20" s="661">
        <v>0</v>
      </c>
      <c r="Q20" s="661"/>
      <c r="R20" s="661"/>
      <c r="S20" s="661">
        <v>0</v>
      </c>
      <c r="T20" s="661">
        <v>0</v>
      </c>
      <c r="U20" s="661">
        <v>525300</v>
      </c>
      <c r="V20" s="661">
        <v>2645132</v>
      </c>
      <c r="W20" s="661">
        <v>0</v>
      </c>
      <c r="X20" s="661">
        <v>0</v>
      </c>
      <c r="Y20" s="662">
        <f t="shared" si="0"/>
        <v>9587300</v>
      </c>
    </row>
    <row r="21" spans="2:25" ht="24">
      <c r="B21" s="633" t="s">
        <v>67</v>
      </c>
      <c r="C21" s="633" t="s">
        <v>73</v>
      </c>
      <c r="D21" s="664" t="s">
        <v>446</v>
      </c>
      <c r="E21" s="665" t="s">
        <v>74</v>
      </c>
      <c r="F21" s="666"/>
      <c r="G21" s="667">
        <v>0</v>
      </c>
      <c r="H21" s="667">
        <v>0</v>
      </c>
      <c r="I21" s="661">
        <f>1000000-1000000</f>
        <v>0</v>
      </c>
      <c r="J21" s="661">
        <v>0</v>
      </c>
      <c r="K21" s="661"/>
      <c r="L21" s="661">
        <v>0</v>
      </c>
      <c r="M21" s="661"/>
      <c r="N21" s="661">
        <v>0</v>
      </c>
      <c r="O21" s="661">
        <v>0</v>
      </c>
      <c r="P21" s="661">
        <v>0</v>
      </c>
      <c r="Q21" s="661"/>
      <c r="R21" s="661"/>
      <c r="S21" s="661">
        <v>0</v>
      </c>
      <c r="T21" s="661">
        <v>0</v>
      </c>
      <c r="U21" s="661">
        <v>3225085</v>
      </c>
      <c r="V21" s="661">
        <v>0</v>
      </c>
      <c r="W21" s="661">
        <v>0</v>
      </c>
      <c r="X21" s="661">
        <v>0</v>
      </c>
      <c r="Y21" s="662">
        <f t="shared" si="0"/>
        <v>3225085</v>
      </c>
    </row>
    <row r="22" spans="3:25" ht="22.5" customHeight="1">
      <c r="C22" s="633" t="s">
        <v>923</v>
      </c>
      <c r="D22" s="664" t="s">
        <v>447</v>
      </c>
      <c r="E22" s="665" t="s">
        <v>924</v>
      </c>
      <c r="F22" s="668"/>
      <c r="G22" s="667"/>
      <c r="H22" s="667"/>
      <c r="I22" s="661"/>
      <c r="J22" s="661"/>
      <c r="K22" s="661"/>
      <c r="L22" s="661">
        <v>6949788</v>
      </c>
      <c r="M22" s="661"/>
      <c r="N22" s="661"/>
      <c r="O22" s="661"/>
      <c r="P22" s="661"/>
      <c r="Q22" s="661"/>
      <c r="R22" s="661"/>
      <c r="S22" s="661"/>
      <c r="T22" s="661"/>
      <c r="U22" s="661"/>
      <c r="V22" s="661"/>
      <c r="W22" s="661"/>
      <c r="X22" s="661"/>
      <c r="Y22" s="662">
        <f t="shared" si="0"/>
        <v>6949788</v>
      </c>
    </row>
    <row r="23" spans="1:25" ht="24">
      <c r="A23" s="632">
        <v>751791</v>
      </c>
      <c r="B23" s="633" t="s">
        <v>68</v>
      </c>
      <c r="C23" s="633" t="s">
        <v>54</v>
      </c>
      <c r="D23" s="664" t="s">
        <v>448</v>
      </c>
      <c r="E23" s="665" t="s">
        <v>55</v>
      </c>
      <c r="F23" s="668"/>
      <c r="G23" s="661">
        <v>0</v>
      </c>
      <c r="H23" s="667">
        <v>0</v>
      </c>
      <c r="I23" s="661">
        <v>747243</v>
      </c>
      <c r="J23" s="661">
        <v>0</v>
      </c>
      <c r="K23" s="661"/>
      <c r="L23" s="661">
        <v>2500000</v>
      </c>
      <c r="M23" s="661"/>
      <c r="N23" s="661">
        <v>0</v>
      </c>
      <c r="O23" s="661">
        <v>0</v>
      </c>
      <c r="P23" s="661">
        <v>0</v>
      </c>
      <c r="Q23" s="661"/>
      <c r="R23" s="661"/>
      <c r="S23" s="661">
        <v>0</v>
      </c>
      <c r="T23" s="661">
        <v>0</v>
      </c>
      <c r="U23" s="661">
        <v>0</v>
      </c>
      <c r="V23" s="661">
        <v>0</v>
      </c>
      <c r="W23" s="661">
        <v>0</v>
      </c>
      <c r="X23" s="661">
        <v>0</v>
      </c>
      <c r="Y23" s="662">
        <f t="shared" si="0"/>
        <v>3247243</v>
      </c>
    </row>
    <row r="24" spans="1:25" ht="24">
      <c r="A24" s="632">
        <v>751834</v>
      </c>
      <c r="B24" s="633" t="s">
        <v>69</v>
      </c>
      <c r="C24" s="633" t="s">
        <v>56</v>
      </c>
      <c r="D24" s="664" t="s">
        <v>449</v>
      </c>
      <c r="E24" s="665" t="s">
        <v>410</v>
      </c>
      <c r="F24" s="666"/>
      <c r="G24" s="667">
        <v>0</v>
      </c>
      <c r="H24" s="667">
        <v>0</v>
      </c>
      <c r="I24" s="661">
        <f>11455754+608965</f>
        <v>12064719</v>
      </c>
      <c r="J24" s="661">
        <v>0</v>
      </c>
      <c r="K24" s="661"/>
      <c r="L24" s="661">
        <v>0</v>
      </c>
      <c r="M24" s="661"/>
      <c r="N24" s="661">
        <v>0</v>
      </c>
      <c r="O24" s="661">
        <v>0</v>
      </c>
      <c r="P24" s="661">
        <v>0</v>
      </c>
      <c r="Q24" s="661"/>
      <c r="R24" s="661"/>
      <c r="S24" s="661">
        <v>0</v>
      </c>
      <c r="T24" s="661">
        <v>0</v>
      </c>
      <c r="U24" s="661">
        <v>0</v>
      </c>
      <c r="V24" s="661">
        <v>0</v>
      </c>
      <c r="W24" s="661">
        <v>0</v>
      </c>
      <c r="X24" s="661">
        <v>0</v>
      </c>
      <c r="Y24" s="662">
        <f t="shared" si="0"/>
        <v>12064719</v>
      </c>
    </row>
    <row r="25" spans="1:25" ht="24" customHeight="1">
      <c r="A25" s="632">
        <v>751966</v>
      </c>
      <c r="B25" s="633" t="s">
        <v>71</v>
      </c>
      <c r="C25" s="633" t="s">
        <v>68</v>
      </c>
      <c r="D25" s="664" t="s">
        <v>450</v>
      </c>
      <c r="E25" s="665" t="s">
        <v>413</v>
      </c>
      <c r="F25" s="666"/>
      <c r="G25" s="667">
        <v>0</v>
      </c>
      <c r="H25" s="661">
        <v>0</v>
      </c>
      <c r="I25" s="661">
        <v>23114000</v>
      </c>
      <c r="J25" s="661">
        <v>0</v>
      </c>
      <c r="K25" s="661"/>
      <c r="L25" s="661">
        <v>0</v>
      </c>
      <c r="M25" s="661"/>
      <c r="N25" s="661">
        <v>0</v>
      </c>
      <c r="O25" s="661">
        <v>0</v>
      </c>
      <c r="P25" s="661">
        <v>0</v>
      </c>
      <c r="Q25" s="661"/>
      <c r="R25" s="661"/>
      <c r="S25" s="661">
        <v>0</v>
      </c>
      <c r="T25" s="661">
        <v>0</v>
      </c>
      <c r="U25" s="667">
        <v>0</v>
      </c>
      <c r="V25" s="661">
        <v>0</v>
      </c>
      <c r="W25" s="661">
        <v>0</v>
      </c>
      <c r="X25" s="661">
        <v>0</v>
      </c>
      <c r="Y25" s="662">
        <f t="shared" si="0"/>
        <v>23114000</v>
      </c>
    </row>
    <row r="26" spans="1:25" ht="24" customHeight="1">
      <c r="A26" s="632">
        <v>751999</v>
      </c>
      <c r="B26" s="633" t="s">
        <v>73</v>
      </c>
      <c r="C26" s="633" t="s">
        <v>64</v>
      </c>
      <c r="D26" s="664" t="s">
        <v>451</v>
      </c>
      <c r="E26" s="665" t="s">
        <v>610</v>
      </c>
      <c r="F26" s="666"/>
      <c r="G26" s="667">
        <v>0</v>
      </c>
      <c r="H26" s="667">
        <v>0</v>
      </c>
      <c r="I26" s="661">
        <v>170000</v>
      </c>
      <c r="J26" s="661">
        <v>0</v>
      </c>
      <c r="K26" s="661"/>
      <c r="L26" s="661">
        <f>32626000-854000+854000</f>
        <v>32626000</v>
      </c>
      <c r="M26" s="661"/>
      <c r="N26" s="661">
        <v>0</v>
      </c>
      <c r="O26" s="661">
        <v>0</v>
      </c>
      <c r="P26" s="661">
        <v>0</v>
      </c>
      <c r="Q26" s="661"/>
      <c r="R26" s="661"/>
      <c r="S26" s="661">
        <v>0</v>
      </c>
      <c r="T26" s="661">
        <v>0</v>
      </c>
      <c r="U26" s="667">
        <v>0</v>
      </c>
      <c r="V26" s="661">
        <v>0</v>
      </c>
      <c r="W26" s="661">
        <v>0</v>
      </c>
      <c r="X26" s="661">
        <v>0</v>
      </c>
      <c r="Y26" s="662">
        <f t="shared" si="0"/>
        <v>32796000</v>
      </c>
    </row>
    <row r="27" spans="2:26" ht="24">
      <c r="B27" s="633" t="s">
        <v>75</v>
      </c>
      <c r="C27" s="633" t="s">
        <v>69</v>
      </c>
      <c r="D27" s="664" t="s">
        <v>452</v>
      </c>
      <c r="E27" s="665" t="s">
        <v>611</v>
      </c>
      <c r="F27" s="666"/>
      <c r="G27" s="667">
        <v>217000</v>
      </c>
      <c r="H27" s="667">
        <v>43686</v>
      </c>
      <c r="I27" s="661">
        <f>10729014-550000-148500-209790-500000+1204560</f>
        <v>10525284</v>
      </c>
      <c r="J27" s="661">
        <v>0</v>
      </c>
      <c r="K27" s="661"/>
      <c r="L27" s="661">
        <f>18843000-1200000</f>
        <v>17643000</v>
      </c>
      <c r="M27" s="661"/>
      <c r="N27" s="661">
        <v>0</v>
      </c>
      <c r="O27" s="661">
        <v>0</v>
      </c>
      <c r="P27" s="661">
        <v>0</v>
      </c>
      <c r="Q27" s="661"/>
      <c r="R27" s="661"/>
      <c r="S27" s="661">
        <v>0</v>
      </c>
      <c r="T27" s="661">
        <v>0</v>
      </c>
      <c r="U27" s="667">
        <f>10400-10400</f>
        <v>0</v>
      </c>
      <c r="V27" s="661">
        <v>0</v>
      </c>
      <c r="W27" s="661">
        <v>0</v>
      </c>
      <c r="X27" s="661">
        <v>0</v>
      </c>
      <c r="Y27" s="662">
        <f t="shared" si="0"/>
        <v>28428970</v>
      </c>
      <c r="Z27" s="669"/>
    </row>
    <row r="28" spans="2:26" ht="24" customHeight="1">
      <c r="B28" s="633" t="s">
        <v>76</v>
      </c>
      <c r="C28" s="633" t="s">
        <v>76</v>
      </c>
      <c r="D28" s="884" t="s">
        <v>935</v>
      </c>
      <c r="E28" s="665" t="s">
        <v>415</v>
      </c>
      <c r="F28" s="670"/>
      <c r="G28" s="661">
        <v>0</v>
      </c>
      <c r="H28" s="661">
        <v>0</v>
      </c>
      <c r="I28" s="661">
        <v>360000</v>
      </c>
      <c r="J28" s="661">
        <v>0</v>
      </c>
      <c r="K28" s="661"/>
      <c r="L28" s="661">
        <v>0</v>
      </c>
      <c r="M28" s="661"/>
      <c r="N28" s="661">
        <v>0</v>
      </c>
      <c r="O28" s="661">
        <v>0</v>
      </c>
      <c r="P28" s="661">
        <v>0</v>
      </c>
      <c r="Q28" s="661"/>
      <c r="R28" s="661"/>
      <c r="S28" s="661">
        <v>0</v>
      </c>
      <c r="T28" s="661">
        <v>0</v>
      </c>
      <c r="U28" s="661">
        <v>0</v>
      </c>
      <c r="V28" s="661">
        <v>0</v>
      </c>
      <c r="W28" s="661">
        <v>0</v>
      </c>
      <c r="X28" s="661">
        <v>0</v>
      </c>
      <c r="Y28" s="662">
        <f t="shared" si="0"/>
        <v>360000</v>
      </c>
      <c r="Z28" s="669"/>
    </row>
    <row r="29" spans="2:27" ht="24" customHeight="1">
      <c r="B29" s="633" t="s">
        <v>77</v>
      </c>
      <c r="C29" s="633" t="s">
        <v>77</v>
      </c>
      <c r="D29" s="884"/>
      <c r="E29" s="665" t="s">
        <v>416</v>
      </c>
      <c r="F29" s="670"/>
      <c r="G29" s="661">
        <f>11152853-146050-511475+169300</f>
        <v>10664628</v>
      </c>
      <c r="H29" s="661">
        <f>2491715-32131-112525+37246</f>
        <v>2384305</v>
      </c>
      <c r="I29" s="661">
        <f>18737080+178181+624000+788800+255887</f>
        <v>20583948</v>
      </c>
      <c r="J29" s="661">
        <v>0</v>
      </c>
      <c r="K29" s="661"/>
      <c r="L29" s="661">
        <v>0</v>
      </c>
      <c r="M29" s="661"/>
      <c r="N29" s="661">
        <v>0</v>
      </c>
      <c r="O29" s="661">
        <v>0</v>
      </c>
      <c r="P29" s="661">
        <v>0</v>
      </c>
      <c r="Q29" s="661"/>
      <c r="R29" s="661"/>
      <c r="S29" s="661">
        <v>0</v>
      </c>
      <c r="T29" s="661">
        <v>0</v>
      </c>
      <c r="U29" s="661">
        <v>25400</v>
      </c>
      <c r="V29" s="661">
        <v>0</v>
      </c>
      <c r="W29" s="661">
        <v>0</v>
      </c>
      <c r="X29" s="661">
        <v>0</v>
      </c>
      <c r="Y29" s="662">
        <f t="shared" si="0"/>
        <v>33658281</v>
      </c>
      <c r="AA29" s="632" t="s">
        <v>905</v>
      </c>
    </row>
    <row r="30" spans="1:27" ht="24" customHeight="1">
      <c r="A30" s="632">
        <v>851286</v>
      </c>
      <c r="B30" s="633" t="s">
        <v>78</v>
      </c>
      <c r="C30" s="633" t="s">
        <v>78</v>
      </c>
      <c r="D30" s="884"/>
      <c r="E30" s="665" t="s">
        <v>417</v>
      </c>
      <c r="F30" s="670"/>
      <c r="G30" s="661">
        <v>0</v>
      </c>
      <c r="H30" s="661">
        <v>0</v>
      </c>
      <c r="I30" s="661">
        <v>120000</v>
      </c>
      <c r="J30" s="661">
        <v>0</v>
      </c>
      <c r="K30" s="661"/>
      <c r="L30" s="661">
        <v>0</v>
      </c>
      <c r="M30" s="661"/>
      <c r="N30" s="661">
        <v>0</v>
      </c>
      <c r="O30" s="661">
        <v>0</v>
      </c>
      <c r="P30" s="661">
        <v>0</v>
      </c>
      <c r="Q30" s="661"/>
      <c r="R30" s="661"/>
      <c r="S30" s="661">
        <v>0</v>
      </c>
      <c r="T30" s="661">
        <v>0</v>
      </c>
      <c r="U30" s="661">
        <v>0</v>
      </c>
      <c r="V30" s="661">
        <v>0</v>
      </c>
      <c r="W30" s="661">
        <v>0</v>
      </c>
      <c r="X30" s="661">
        <v>0</v>
      </c>
      <c r="Y30" s="662">
        <f t="shared" si="0"/>
        <v>120000</v>
      </c>
      <c r="AA30" s="669">
        <f>SUM(Y28:Y31)</f>
        <v>57132965</v>
      </c>
    </row>
    <row r="31" spans="1:25" s="663" customFormat="1" ht="27" customHeight="1">
      <c r="A31" s="632">
        <v>851297</v>
      </c>
      <c r="B31" s="633" t="s">
        <v>79</v>
      </c>
      <c r="C31" s="633" t="s">
        <v>79</v>
      </c>
      <c r="D31" s="884"/>
      <c r="E31" s="665" t="s">
        <v>486</v>
      </c>
      <c r="F31" s="670"/>
      <c r="G31" s="661">
        <f>14479866+110000</f>
        <v>14589866</v>
      </c>
      <c r="H31" s="661">
        <f>3242433+24200</f>
        <v>3266633</v>
      </c>
      <c r="I31" s="661">
        <f>2735180+17100</f>
        <v>2752280</v>
      </c>
      <c r="J31" s="661">
        <v>0</v>
      </c>
      <c r="K31" s="661"/>
      <c r="L31" s="661">
        <v>0</v>
      </c>
      <c r="M31" s="661"/>
      <c r="N31" s="661">
        <v>0</v>
      </c>
      <c r="O31" s="661">
        <v>0</v>
      </c>
      <c r="P31" s="661">
        <v>0</v>
      </c>
      <c r="Q31" s="661"/>
      <c r="R31" s="661"/>
      <c r="S31" s="661">
        <v>0</v>
      </c>
      <c r="T31" s="661">
        <v>0</v>
      </c>
      <c r="U31" s="661">
        <f>4445000-2059095</f>
        <v>2385905</v>
      </c>
      <c r="V31" s="661">
        <v>0</v>
      </c>
      <c r="W31" s="661">
        <v>0</v>
      </c>
      <c r="X31" s="661">
        <v>0</v>
      </c>
      <c r="Y31" s="662">
        <f t="shared" si="0"/>
        <v>22994684</v>
      </c>
    </row>
    <row r="32" spans="1:25" s="663" customFormat="1" ht="24" customHeight="1">
      <c r="A32" s="632">
        <v>853322</v>
      </c>
      <c r="B32" s="633" t="s">
        <v>80</v>
      </c>
      <c r="C32" s="633" t="s">
        <v>95</v>
      </c>
      <c r="D32" s="664" t="s">
        <v>454</v>
      </c>
      <c r="E32" s="665" t="s">
        <v>96</v>
      </c>
      <c r="F32" s="671"/>
      <c r="G32" s="661">
        <v>0</v>
      </c>
      <c r="H32" s="661">
        <v>0</v>
      </c>
      <c r="I32" s="661">
        <v>0</v>
      </c>
      <c r="J32" s="661">
        <v>0</v>
      </c>
      <c r="K32" s="661"/>
      <c r="L32" s="661">
        <f>37833000-8393000-1607000</f>
        <v>27833000</v>
      </c>
      <c r="M32" s="661"/>
      <c r="N32" s="661">
        <v>0</v>
      </c>
      <c r="O32" s="661">
        <v>0</v>
      </c>
      <c r="P32" s="661">
        <v>0</v>
      </c>
      <c r="Q32" s="661"/>
      <c r="R32" s="661"/>
      <c r="S32" s="661">
        <v>0</v>
      </c>
      <c r="T32" s="661">
        <v>0</v>
      </c>
      <c r="U32" s="661">
        <v>11201400</v>
      </c>
      <c r="V32" s="661">
        <v>0</v>
      </c>
      <c r="W32" s="661">
        <v>0</v>
      </c>
      <c r="X32" s="661">
        <v>0</v>
      </c>
      <c r="Y32" s="662">
        <f t="shared" si="0"/>
        <v>39034400</v>
      </c>
    </row>
    <row r="33" spans="1:25" s="663" customFormat="1" ht="24">
      <c r="A33" s="632"/>
      <c r="B33" s="633" t="s">
        <v>82</v>
      </c>
      <c r="C33" s="633" t="s">
        <v>605</v>
      </c>
      <c r="D33" s="664" t="s">
        <v>544</v>
      </c>
      <c r="E33" s="672" t="s">
        <v>691</v>
      </c>
      <c r="F33" s="671"/>
      <c r="G33" s="661">
        <v>80000</v>
      </c>
      <c r="H33" s="661">
        <v>44359</v>
      </c>
      <c r="I33" s="661">
        <v>1752750</v>
      </c>
      <c r="J33" s="661">
        <v>0</v>
      </c>
      <c r="K33" s="661"/>
      <c r="L33" s="661">
        <v>0</v>
      </c>
      <c r="M33" s="661"/>
      <c r="N33" s="661">
        <v>0</v>
      </c>
      <c r="O33" s="661">
        <v>0</v>
      </c>
      <c r="P33" s="661">
        <v>0</v>
      </c>
      <c r="Q33" s="661"/>
      <c r="R33" s="661"/>
      <c r="S33" s="661">
        <v>0</v>
      </c>
      <c r="T33" s="661">
        <v>0</v>
      </c>
      <c r="U33" s="661">
        <v>0</v>
      </c>
      <c r="V33" s="661">
        <v>4087500</v>
      </c>
      <c r="W33" s="661">
        <v>0</v>
      </c>
      <c r="X33" s="661">
        <v>0</v>
      </c>
      <c r="Y33" s="662">
        <f t="shared" si="0"/>
        <v>5964609</v>
      </c>
    </row>
    <row r="34" spans="1:25" ht="25.5" customHeight="1">
      <c r="A34" s="632">
        <v>853333</v>
      </c>
      <c r="B34" s="633" t="s">
        <v>86</v>
      </c>
      <c r="C34" s="633" t="s">
        <v>92</v>
      </c>
      <c r="D34" s="664" t="s">
        <v>545</v>
      </c>
      <c r="E34" s="672" t="s">
        <v>99</v>
      </c>
      <c r="F34" s="670"/>
      <c r="G34" s="661">
        <v>0</v>
      </c>
      <c r="H34" s="661">
        <v>0</v>
      </c>
      <c r="I34" s="661">
        <v>49530</v>
      </c>
      <c r="J34" s="661">
        <v>0</v>
      </c>
      <c r="K34" s="661"/>
      <c r="L34" s="673">
        <v>0</v>
      </c>
      <c r="M34" s="673"/>
      <c r="N34" s="661">
        <v>0</v>
      </c>
      <c r="O34" s="661">
        <v>0</v>
      </c>
      <c r="P34" s="661">
        <v>0</v>
      </c>
      <c r="Q34" s="661"/>
      <c r="R34" s="661"/>
      <c r="S34" s="661">
        <v>0</v>
      </c>
      <c r="T34" s="661">
        <v>0</v>
      </c>
      <c r="U34" s="661">
        <v>0</v>
      </c>
      <c r="V34" s="661">
        <v>0</v>
      </c>
      <c r="W34" s="661">
        <v>0</v>
      </c>
      <c r="X34" s="661">
        <v>0</v>
      </c>
      <c r="Y34" s="662">
        <f t="shared" si="0"/>
        <v>49530</v>
      </c>
    </row>
    <row r="35" spans="1:25" s="663" customFormat="1" ht="24" customHeight="1">
      <c r="A35" s="632"/>
      <c r="B35" s="633" t="s">
        <v>83</v>
      </c>
      <c r="C35" s="633" t="s">
        <v>606</v>
      </c>
      <c r="D35" s="890" t="s">
        <v>936</v>
      </c>
      <c r="E35" s="672" t="s">
        <v>612</v>
      </c>
      <c r="F35" s="671"/>
      <c r="G35" s="661">
        <v>0</v>
      </c>
      <c r="H35" s="661">
        <v>0</v>
      </c>
      <c r="I35" s="661">
        <v>0</v>
      </c>
      <c r="J35" s="661">
        <v>0</v>
      </c>
      <c r="K35" s="661"/>
      <c r="L35" s="661">
        <v>1100000</v>
      </c>
      <c r="M35" s="661"/>
      <c r="N35" s="661">
        <v>0</v>
      </c>
      <c r="O35" s="661">
        <v>0</v>
      </c>
      <c r="P35" s="661">
        <v>0</v>
      </c>
      <c r="Q35" s="661"/>
      <c r="R35" s="661"/>
      <c r="S35" s="661">
        <v>0</v>
      </c>
      <c r="T35" s="661">
        <v>0</v>
      </c>
      <c r="U35" s="661">
        <v>0</v>
      </c>
      <c r="V35" s="661">
        <v>0</v>
      </c>
      <c r="W35" s="661">
        <v>0</v>
      </c>
      <c r="X35" s="661">
        <v>0</v>
      </c>
      <c r="Y35" s="662">
        <f t="shared" si="0"/>
        <v>1100000</v>
      </c>
    </row>
    <row r="36" spans="1:25" s="663" customFormat="1" ht="23.25" customHeight="1">
      <c r="A36" s="632"/>
      <c r="B36" s="633" t="s">
        <v>84</v>
      </c>
      <c r="C36" s="633" t="s">
        <v>91</v>
      </c>
      <c r="D36" s="891"/>
      <c r="E36" s="672" t="s">
        <v>418</v>
      </c>
      <c r="F36" s="671"/>
      <c r="G36" s="661">
        <v>0</v>
      </c>
      <c r="H36" s="661">
        <v>0</v>
      </c>
      <c r="I36" s="661">
        <v>0</v>
      </c>
      <c r="J36" s="661">
        <v>0</v>
      </c>
      <c r="K36" s="661"/>
      <c r="L36" s="661">
        <f>3374212-50329</f>
        <v>3323883</v>
      </c>
      <c r="M36" s="661"/>
      <c r="N36" s="661">
        <v>0</v>
      </c>
      <c r="O36" s="661">
        <v>0</v>
      </c>
      <c r="P36" s="661">
        <v>0</v>
      </c>
      <c r="Q36" s="661"/>
      <c r="R36" s="661"/>
      <c r="S36" s="661">
        <v>0</v>
      </c>
      <c r="T36" s="661">
        <v>0</v>
      </c>
      <c r="U36" s="661">
        <v>0</v>
      </c>
      <c r="V36" s="661">
        <v>0</v>
      </c>
      <c r="W36" s="661">
        <v>788000</v>
      </c>
      <c r="X36" s="661">
        <v>0</v>
      </c>
      <c r="Y36" s="662">
        <f t="shared" si="0"/>
        <v>4111883</v>
      </c>
    </row>
    <row r="37" spans="2:27" ht="36">
      <c r="B37" s="633" t="s">
        <v>87</v>
      </c>
      <c r="C37" s="633" t="s">
        <v>93</v>
      </c>
      <c r="D37" s="891"/>
      <c r="E37" s="665" t="s">
        <v>613</v>
      </c>
      <c r="F37" s="670"/>
      <c r="G37" s="661">
        <v>0</v>
      </c>
      <c r="H37" s="661">
        <v>0</v>
      </c>
      <c r="I37" s="661">
        <v>0</v>
      </c>
      <c r="J37" s="661">
        <v>0</v>
      </c>
      <c r="K37" s="661"/>
      <c r="L37" s="673">
        <f>13435298-262038-1500000</f>
        <v>11673260</v>
      </c>
      <c r="M37" s="673"/>
      <c r="N37" s="661">
        <v>0</v>
      </c>
      <c r="O37" s="661">
        <v>0</v>
      </c>
      <c r="P37" s="661">
        <v>0</v>
      </c>
      <c r="Q37" s="661"/>
      <c r="R37" s="661"/>
      <c r="S37" s="661">
        <v>0</v>
      </c>
      <c r="T37" s="661">
        <v>0</v>
      </c>
      <c r="U37" s="661"/>
      <c r="V37" s="661">
        <v>0</v>
      </c>
      <c r="W37" s="661">
        <v>0</v>
      </c>
      <c r="X37" s="661">
        <v>0</v>
      </c>
      <c r="Y37" s="662">
        <f t="shared" si="0"/>
        <v>11673260</v>
      </c>
      <c r="AA37" s="632" t="s">
        <v>903</v>
      </c>
    </row>
    <row r="38" spans="2:27" ht="24">
      <c r="B38" s="633" t="s">
        <v>88</v>
      </c>
      <c r="C38" s="633" t="s">
        <v>686</v>
      </c>
      <c r="D38" s="892"/>
      <c r="E38" s="665" t="s">
        <v>687</v>
      </c>
      <c r="F38" s="670"/>
      <c r="G38" s="661">
        <v>0</v>
      </c>
      <c r="H38" s="661">
        <v>0</v>
      </c>
      <c r="I38" s="661">
        <v>0</v>
      </c>
      <c r="J38" s="661">
        <v>0</v>
      </c>
      <c r="K38" s="661"/>
      <c r="L38" s="673">
        <f>6711326-267633</f>
        <v>6443693</v>
      </c>
      <c r="M38" s="673"/>
      <c r="N38" s="661">
        <v>0</v>
      </c>
      <c r="O38" s="661">
        <v>0</v>
      </c>
      <c r="P38" s="661">
        <v>0</v>
      </c>
      <c r="Q38" s="661"/>
      <c r="R38" s="661"/>
      <c r="S38" s="661">
        <v>0</v>
      </c>
      <c r="T38" s="661">
        <v>0</v>
      </c>
      <c r="U38" s="661">
        <v>0</v>
      </c>
      <c r="V38" s="661">
        <v>0</v>
      </c>
      <c r="W38" s="661">
        <v>0</v>
      </c>
      <c r="X38" s="661">
        <v>0</v>
      </c>
      <c r="Y38" s="662">
        <f t="shared" si="0"/>
        <v>6443693</v>
      </c>
      <c r="AA38" s="669">
        <f>SUM(Y35:Y38)</f>
        <v>23328836</v>
      </c>
    </row>
    <row r="39" spans="1:25" s="663" customFormat="1" ht="23.25" customHeight="1">
      <c r="A39" s="632"/>
      <c r="B39" s="633"/>
      <c r="C39" s="633" t="s">
        <v>75</v>
      </c>
      <c r="D39" s="664" t="s">
        <v>512</v>
      </c>
      <c r="E39" s="672" t="s">
        <v>747</v>
      </c>
      <c r="F39" s="671"/>
      <c r="G39" s="661">
        <v>0</v>
      </c>
      <c r="H39" s="661">
        <v>0</v>
      </c>
      <c r="I39" s="661">
        <v>0</v>
      </c>
      <c r="J39" s="661">
        <v>0</v>
      </c>
      <c r="K39" s="661"/>
      <c r="L39" s="661">
        <v>0</v>
      </c>
      <c r="M39" s="661"/>
      <c r="N39" s="661">
        <v>0</v>
      </c>
      <c r="O39" s="661">
        <v>0</v>
      </c>
      <c r="P39" s="661">
        <v>0</v>
      </c>
      <c r="Q39" s="661"/>
      <c r="R39" s="661"/>
      <c r="S39" s="661">
        <v>0</v>
      </c>
      <c r="T39" s="661">
        <v>0</v>
      </c>
      <c r="U39" s="661">
        <v>1237243</v>
      </c>
      <c r="V39" s="661">
        <v>11154409</v>
      </c>
      <c r="W39" s="661">
        <v>0</v>
      </c>
      <c r="X39" s="661">
        <v>0</v>
      </c>
      <c r="Y39" s="662">
        <f t="shared" si="0"/>
        <v>12391652</v>
      </c>
    </row>
    <row r="40" spans="3:25" ht="24">
      <c r="C40" s="633" t="s">
        <v>755</v>
      </c>
      <c r="D40" s="674" t="s">
        <v>547</v>
      </c>
      <c r="E40" s="665" t="s">
        <v>756</v>
      </c>
      <c r="F40" s="670"/>
      <c r="G40" s="661">
        <v>1782000</v>
      </c>
      <c r="H40" s="661">
        <v>392040</v>
      </c>
      <c r="I40" s="661">
        <v>57328858</v>
      </c>
      <c r="J40" s="661">
        <v>0</v>
      </c>
      <c r="K40" s="661"/>
      <c r="L40" s="661">
        <v>0</v>
      </c>
      <c r="M40" s="661"/>
      <c r="N40" s="661">
        <v>0</v>
      </c>
      <c r="O40" s="661">
        <v>0</v>
      </c>
      <c r="P40" s="661">
        <v>0</v>
      </c>
      <c r="Q40" s="661"/>
      <c r="R40" s="661"/>
      <c r="S40" s="661">
        <v>0</v>
      </c>
      <c r="T40" s="661">
        <v>0</v>
      </c>
      <c r="U40" s="661">
        <v>0</v>
      </c>
      <c r="V40" s="661">
        <v>0</v>
      </c>
      <c r="W40" s="661">
        <v>0</v>
      </c>
      <c r="X40" s="661">
        <v>0</v>
      </c>
      <c r="Y40" s="662">
        <f t="shared" si="0"/>
        <v>59502898</v>
      </c>
    </row>
    <row r="41" spans="3:25" ht="24">
      <c r="C41" s="633" t="s">
        <v>757</v>
      </c>
      <c r="D41" s="674" t="s">
        <v>455</v>
      </c>
      <c r="E41" s="665" t="s">
        <v>758</v>
      </c>
      <c r="F41" s="670"/>
      <c r="G41" s="661">
        <v>0</v>
      </c>
      <c r="H41" s="661">
        <v>0</v>
      </c>
      <c r="I41" s="661">
        <v>2254350</v>
      </c>
      <c r="J41" s="661">
        <v>0</v>
      </c>
      <c r="K41" s="661"/>
      <c r="L41" s="661">
        <v>0</v>
      </c>
      <c r="M41" s="661"/>
      <c r="N41" s="661">
        <v>0</v>
      </c>
      <c r="O41" s="661">
        <v>0</v>
      </c>
      <c r="P41" s="661">
        <v>0</v>
      </c>
      <c r="Q41" s="661"/>
      <c r="R41" s="661"/>
      <c r="S41" s="661">
        <v>0</v>
      </c>
      <c r="T41" s="661">
        <v>0</v>
      </c>
      <c r="U41" s="661">
        <v>0</v>
      </c>
      <c r="V41" s="661">
        <v>0</v>
      </c>
      <c r="W41" s="661">
        <v>0</v>
      </c>
      <c r="X41" s="661">
        <v>0</v>
      </c>
      <c r="Y41" s="662">
        <f t="shared" si="0"/>
        <v>2254350</v>
      </c>
    </row>
    <row r="42" spans="3:25" ht="24">
      <c r="C42" s="633" t="s">
        <v>688</v>
      </c>
      <c r="D42" s="674" t="s">
        <v>456</v>
      </c>
      <c r="E42" s="665" t="s">
        <v>689</v>
      </c>
      <c r="F42" s="670"/>
      <c r="G42" s="661">
        <v>5250</v>
      </c>
      <c r="H42" s="661">
        <v>2292</v>
      </c>
      <c r="I42" s="661">
        <f>25488+100000</f>
        <v>125488</v>
      </c>
      <c r="J42" s="661">
        <v>0</v>
      </c>
      <c r="K42" s="661"/>
      <c r="L42" s="673">
        <v>0</v>
      </c>
      <c r="M42" s="673"/>
      <c r="N42" s="661">
        <v>0</v>
      </c>
      <c r="O42" s="661">
        <v>0</v>
      </c>
      <c r="P42" s="661">
        <v>0</v>
      </c>
      <c r="Q42" s="661"/>
      <c r="R42" s="661"/>
      <c r="S42" s="661">
        <v>0</v>
      </c>
      <c r="T42" s="661">
        <v>0</v>
      </c>
      <c r="U42" s="661"/>
      <c r="V42" s="661">
        <v>0</v>
      </c>
      <c r="W42" s="661">
        <v>0</v>
      </c>
      <c r="X42" s="661">
        <v>0</v>
      </c>
      <c r="Y42" s="662">
        <f t="shared" si="0"/>
        <v>133030</v>
      </c>
    </row>
    <row r="43" spans="2:25" ht="24" customHeight="1">
      <c r="B43" s="633" t="s">
        <v>89</v>
      </c>
      <c r="C43" s="633" t="s">
        <v>748</v>
      </c>
      <c r="D43" s="885" t="s">
        <v>937</v>
      </c>
      <c r="E43" s="665" t="s">
        <v>750</v>
      </c>
      <c r="F43" s="670"/>
      <c r="G43" s="661">
        <v>0</v>
      </c>
      <c r="H43" s="661">
        <v>0</v>
      </c>
      <c r="I43" s="661">
        <f>14500000+1176540</f>
        <v>15676540</v>
      </c>
      <c r="J43" s="661">
        <v>0</v>
      </c>
      <c r="K43" s="661"/>
      <c r="L43" s="661">
        <f>25701000-9876000</f>
        <v>15825000</v>
      </c>
      <c r="M43" s="661"/>
      <c r="N43" s="661">
        <v>0</v>
      </c>
      <c r="O43" s="661">
        <v>0</v>
      </c>
      <c r="P43" s="661">
        <v>0</v>
      </c>
      <c r="Q43" s="661"/>
      <c r="R43" s="661"/>
      <c r="S43" s="661">
        <v>0</v>
      </c>
      <c r="T43" s="661">
        <v>0</v>
      </c>
      <c r="U43" s="661">
        <v>0</v>
      </c>
      <c r="V43" s="661">
        <v>0</v>
      </c>
      <c r="W43" s="661">
        <v>0</v>
      </c>
      <c r="X43" s="661">
        <v>0</v>
      </c>
      <c r="Y43" s="662">
        <f t="shared" si="0"/>
        <v>31501540</v>
      </c>
    </row>
    <row r="44" spans="2:27" ht="24" customHeight="1">
      <c r="B44" s="633" t="s">
        <v>90</v>
      </c>
      <c r="C44" s="633" t="s">
        <v>749</v>
      </c>
      <c r="D44" s="886"/>
      <c r="E44" s="665" t="s">
        <v>751</v>
      </c>
      <c r="F44" s="670"/>
      <c r="G44" s="661">
        <v>0</v>
      </c>
      <c r="H44" s="661">
        <v>0</v>
      </c>
      <c r="I44" s="661">
        <v>0</v>
      </c>
      <c r="J44" s="661">
        <v>0</v>
      </c>
      <c r="K44" s="661"/>
      <c r="L44" s="673">
        <f>11294000-2249000</f>
        <v>9045000</v>
      </c>
      <c r="M44" s="673"/>
      <c r="N44" s="661">
        <v>0</v>
      </c>
      <c r="O44" s="661">
        <v>0</v>
      </c>
      <c r="P44" s="661">
        <v>0</v>
      </c>
      <c r="Q44" s="661"/>
      <c r="R44" s="661"/>
      <c r="S44" s="661">
        <v>0</v>
      </c>
      <c r="T44" s="661">
        <v>0</v>
      </c>
      <c r="U44" s="661">
        <v>0</v>
      </c>
      <c r="V44" s="661">
        <v>0</v>
      </c>
      <c r="W44" s="661">
        <v>0</v>
      </c>
      <c r="X44" s="661">
        <v>0</v>
      </c>
      <c r="Y44" s="662">
        <f t="shared" si="0"/>
        <v>9045000</v>
      </c>
      <c r="AA44" s="632" t="s">
        <v>904</v>
      </c>
    </row>
    <row r="45" spans="3:27" ht="24" customHeight="1">
      <c r="C45" s="633" t="s">
        <v>81</v>
      </c>
      <c r="D45" s="886"/>
      <c r="E45" s="665" t="s">
        <v>752</v>
      </c>
      <c r="F45" s="670"/>
      <c r="G45" s="661">
        <v>0</v>
      </c>
      <c r="H45" s="661">
        <v>0</v>
      </c>
      <c r="I45" s="661">
        <v>0</v>
      </c>
      <c r="J45" s="661">
        <v>0</v>
      </c>
      <c r="K45" s="661"/>
      <c r="L45" s="661">
        <f>3419000-653000</f>
        <v>2766000</v>
      </c>
      <c r="M45" s="661"/>
      <c r="N45" s="661">
        <v>0</v>
      </c>
      <c r="O45" s="661">
        <v>0</v>
      </c>
      <c r="P45" s="661">
        <v>0</v>
      </c>
      <c r="Q45" s="661"/>
      <c r="R45" s="661"/>
      <c r="S45" s="661">
        <v>0</v>
      </c>
      <c r="T45" s="661">
        <v>0</v>
      </c>
      <c r="U45" s="661">
        <v>0</v>
      </c>
      <c r="V45" s="661">
        <v>0</v>
      </c>
      <c r="W45" s="661">
        <v>0</v>
      </c>
      <c r="X45" s="661">
        <v>0</v>
      </c>
      <c r="Y45" s="662">
        <f t="shared" si="0"/>
        <v>2766000</v>
      </c>
      <c r="AA45" s="669">
        <f>SUM(Y43:Y48)</f>
        <v>61577810</v>
      </c>
    </row>
    <row r="46" spans="3:25" ht="24" customHeight="1">
      <c r="C46" s="633" t="s">
        <v>84</v>
      </c>
      <c r="D46" s="886"/>
      <c r="E46" s="665" t="s">
        <v>753</v>
      </c>
      <c r="F46" s="670"/>
      <c r="G46" s="661">
        <v>0</v>
      </c>
      <c r="H46" s="661">
        <v>0</v>
      </c>
      <c r="I46" s="661">
        <v>0</v>
      </c>
      <c r="J46" s="661">
        <v>0</v>
      </c>
      <c r="K46" s="661"/>
      <c r="L46" s="661">
        <f>5394000-1203000</f>
        <v>4191000</v>
      </c>
      <c r="M46" s="661"/>
      <c r="N46" s="661">
        <v>0</v>
      </c>
      <c r="O46" s="661">
        <v>0</v>
      </c>
      <c r="P46" s="661">
        <v>0</v>
      </c>
      <c r="Q46" s="661"/>
      <c r="R46" s="661"/>
      <c r="S46" s="661">
        <v>0</v>
      </c>
      <c r="T46" s="661">
        <v>0</v>
      </c>
      <c r="U46" s="661">
        <v>0</v>
      </c>
      <c r="V46" s="661">
        <v>0</v>
      </c>
      <c r="W46" s="661">
        <v>0</v>
      </c>
      <c r="X46" s="661">
        <v>0</v>
      </c>
      <c r="Y46" s="662">
        <f t="shared" si="0"/>
        <v>4191000</v>
      </c>
    </row>
    <row r="47" spans="2:25" ht="24" customHeight="1">
      <c r="B47" s="633" t="s">
        <v>91</v>
      </c>
      <c r="C47" s="633" t="s">
        <v>86</v>
      </c>
      <c r="D47" s="886"/>
      <c r="E47" s="665" t="s">
        <v>507</v>
      </c>
      <c r="F47" s="670"/>
      <c r="G47" s="661">
        <v>0</v>
      </c>
      <c r="H47" s="661">
        <v>0</v>
      </c>
      <c r="I47" s="661">
        <f>2200000+214270</f>
        <v>2414270</v>
      </c>
      <c r="J47" s="661">
        <v>0</v>
      </c>
      <c r="K47" s="661"/>
      <c r="L47" s="661">
        <f>8971000-2187000</f>
        <v>6784000</v>
      </c>
      <c r="M47" s="661"/>
      <c r="N47" s="661">
        <v>0</v>
      </c>
      <c r="O47" s="661">
        <v>0</v>
      </c>
      <c r="P47" s="661">
        <v>0</v>
      </c>
      <c r="Q47" s="661"/>
      <c r="R47" s="661"/>
      <c r="S47" s="661">
        <v>0</v>
      </c>
      <c r="T47" s="661">
        <v>0</v>
      </c>
      <c r="U47" s="661">
        <v>0</v>
      </c>
      <c r="V47" s="661">
        <v>0</v>
      </c>
      <c r="W47" s="661">
        <v>0</v>
      </c>
      <c r="X47" s="661">
        <v>0</v>
      </c>
      <c r="Y47" s="662">
        <f t="shared" si="0"/>
        <v>9198270</v>
      </c>
    </row>
    <row r="48" spans="2:25" ht="24" customHeight="1">
      <c r="B48" s="633" t="s">
        <v>92</v>
      </c>
      <c r="C48" s="633" t="s">
        <v>87</v>
      </c>
      <c r="D48" s="887"/>
      <c r="E48" s="665" t="s">
        <v>508</v>
      </c>
      <c r="F48" s="670"/>
      <c r="G48" s="661">
        <v>0</v>
      </c>
      <c r="H48" s="661">
        <v>0</v>
      </c>
      <c r="I48" s="661">
        <v>0</v>
      </c>
      <c r="J48" s="661">
        <v>0</v>
      </c>
      <c r="K48" s="661"/>
      <c r="L48" s="661">
        <f>5744000-868000</f>
        <v>4876000</v>
      </c>
      <c r="M48" s="661"/>
      <c r="N48" s="661">
        <v>0</v>
      </c>
      <c r="O48" s="661">
        <v>0</v>
      </c>
      <c r="P48" s="661">
        <v>0</v>
      </c>
      <c r="Q48" s="661"/>
      <c r="R48" s="661"/>
      <c r="S48" s="661">
        <v>0</v>
      </c>
      <c r="T48" s="661">
        <v>0</v>
      </c>
      <c r="U48" s="661">
        <v>0</v>
      </c>
      <c r="V48" s="661">
        <v>0</v>
      </c>
      <c r="W48" s="661">
        <v>0</v>
      </c>
      <c r="X48" s="661">
        <v>0</v>
      </c>
      <c r="Y48" s="662">
        <f t="shared" si="0"/>
        <v>4876000</v>
      </c>
    </row>
    <row r="49" spans="2:25" ht="24">
      <c r="B49" s="633" t="s">
        <v>95</v>
      </c>
      <c r="C49" s="633" t="s">
        <v>90</v>
      </c>
      <c r="D49" s="674" t="s">
        <v>548</v>
      </c>
      <c r="E49" s="665" t="s">
        <v>754</v>
      </c>
      <c r="F49" s="670"/>
      <c r="G49" s="661">
        <v>0</v>
      </c>
      <c r="H49" s="661">
        <v>0</v>
      </c>
      <c r="I49" s="661">
        <v>0</v>
      </c>
      <c r="J49" s="661">
        <v>3804900</v>
      </c>
      <c r="K49" s="661"/>
      <c r="L49" s="661">
        <v>0</v>
      </c>
      <c r="M49" s="661"/>
      <c r="N49" s="661">
        <v>0</v>
      </c>
      <c r="O49" s="661">
        <v>0</v>
      </c>
      <c r="P49" s="661">
        <v>0</v>
      </c>
      <c r="Q49" s="661"/>
      <c r="R49" s="661"/>
      <c r="S49" s="661">
        <v>0</v>
      </c>
      <c r="T49" s="661">
        <v>0</v>
      </c>
      <c r="U49" s="661">
        <v>0</v>
      </c>
      <c r="V49" s="661">
        <v>0</v>
      </c>
      <c r="W49" s="675">
        <v>0</v>
      </c>
      <c r="X49" s="661">
        <v>0</v>
      </c>
      <c r="Y49" s="662">
        <f t="shared" si="0"/>
        <v>3804900</v>
      </c>
    </row>
    <row r="50" spans="3:25" ht="24">
      <c r="C50" s="633" t="s">
        <v>70</v>
      </c>
      <c r="D50" s="674" t="s">
        <v>458</v>
      </c>
      <c r="E50" s="665" t="s">
        <v>414</v>
      </c>
      <c r="F50" s="676"/>
      <c r="G50" s="677">
        <v>0</v>
      </c>
      <c r="H50" s="675">
        <v>0</v>
      </c>
      <c r="I50" s="675">
        <v>0</v>
      </c>
      <c r="J50" s="675">
        <v>0</v>
      </c>
      <c r="K50" s="675"/>
      <c r="L50" s="675">
        <v>0</v>
      </c>
      <c r="M50" s="675"/>
      <c r="N50" s="675">
        <f>1000000-1000000</f>
        <v>0</v>
      </c>
      <c r="O50" s="675">
        <f>300000+153824</f>
        <v>453824</v>
      </c>
      <c r="P50" s="675">
        <f>1000000-40723-500000+1553784+750000-668467-1467722-100000</f>
        <v>526872</v>
      </c>
      <c r="Q50" s="675">
        <f>6865581-6762752-102829</f>
        <v>0</v>
      </c>
      <c r="R50" s="675">
        <f>30016102-50995-5512457-430000-379000-4649000-255887-18738763</f>
        <v>0</v>
      </c>
      <c r="S50" s="675">
        <f>3550000-680000</f>
        <v>2870000</v>
      </c>
      <c r="T50" s="675">
        <f>389000+4649000</f>
        <v>5038000</v>
      </c>
      <c r="U50" s="675">
        <v>0</v>
      </c>
      <c r="V50" s="675">
        <v>0</v>
      </c>
      <c r="W50" s="677">
        <v>0</v>
      </c>
      <c r="X50" s="675">
        <v>0</v>
      </c>
      <c r="Y50" s="662">
        <f t="shared" si="0"/>
        <v>8888696</v>
      </c>
    </row>
    <row r="51" spans="3:25" ht="24" customHeight="1">
      <c r="C51" s="678" t="s">
        <v>607</v>
      </c>
      <c r="D51" s="674" t="s">
        <v>485</v>
      </c>
      <c r="E51" s="679" t="s">
        <v>387</v>
      </c>
      <c r="F51" s="676"/>
      <c r="G51" s="677">
        <v>2645200</v>
      </c>
      <c r="H51" s="675">
        <v>713024</v>
      </c>
      <c r="I51" s="675">
        <f>781050+1479371+1143687+20948</f>
        <v>3425056</v>
      </c>
      <c r="J51" s="675">
        <v>0</v>
      </c>
      <c r="K51" s="675"/>
      <c r="L51" s="675">
        <v>0</v>
      </c>
      <c r="M51" s="675"/>
      <c r="N51" s="675">
        <v>0</v>
      </c>
      <c r="O51" s="677">
        <v>0</v>
      </c>
      <c r="P51" s="677">
        <v>0</v>
      </c>
      <c r="Q51" s="677"/>
      <c r="R51" s="677"/>
      <c r="S51" s="677">
        <v>0</v>
      </c>
      <c r="T51" s="677">
        <v>0</v>
      </c>
      <c r="U51" s="675">
        <v>0</v>
      </c>
      <c r="V51" s="675">
        <v>0</v>
      </c>
      <c r="W51" s="675">
        <v>0</v>
      </c>
      <c r="X51" s="675">
        <v>0</v>
      </c>
      <c r="Y51" s="662">
        <f t="shared" si="0"/>
        <v>6783280</v>
      </c>
    </row>
    <row r="52" spans="3:25" ht="24">
      <c r="C52" s="678"/>
      <c r="D52" s="674" t="s">
        <v>549</v>
      </c>
      <c r="E52" s="679" t="s">
        <v>690</v>
      </c>
      <c r="F52" s="676"/>
      <c r="G52" s="677">
        <v>0</v>
      </c>
      <c r="H52" s="677">
        <v>0</v>
      </c>
      <c r="I52" s="677">
        <v>7848600</v>
      </c>
      <c r="J52" s="677">
        <v>0</v>
      </c>
      <c r="K52" s="677"/>
      <c r="L52" s="677">
        <v>0</v>
      </c>
      <c r="M52" s="677"/>
      <c r="N52" s="677">
        <v>0</v>
      </c>
      <c r="O52" s="677">
        <v>0</v>
      </c>
      <c r="P52" s="677">
        <v>0</v>
      </c>
      <c r="Q52" s="677"/>
      <c r="R52" s="677"/>
      <c r="S52" s="677">
        <v>0</v>
      </c>
      <c r="T52" s="677">
        <v>0</v>
      </c>
      <c r="U52" s="677">
        <v>0</v>
      </c>
      <c r="V52" s="677">
        <v>0</v>
      </c>
      <c r="W52" s="677">
        <v>0</v>
      </c>
      <c r="X52" s="743">
        <v>0</v>
      </c>
      <c r="Y52" s="662">
        <f t="shared" si="0"/>
        <v>7848600</v>
      </c>
    </row>
    <row r="53" spans="1:28" s="680" customFormat="1" ht="24" customHeight="1" thickBot="1">
      <c r="A53" s="680">
        <v>999997</v>
      </c>
      <c r="B53" s="678"/>
      <c r="D53" s="681" t="s">
        <v>550</v>
      </c>
      <c r="E53" s="682" t="s">
        <v>398</v>
      </c>
      <c r="F53" s="683">
        <f>SUM(F8:F49)</f>
        <v>0</v>
      </c>
      <c r="G53" s="684">
        <f aca="true" t="shared" si="1" ref="G53:Y53">SUM(G8:G52)</f>
        <v>212812309</v>
      </c>
      <c r="H53" s="684">
        <f t="shared" si="1"/>
        <v>35192981</v>
      </c>
      <c r="I53" s="684">
        <f t="shared" si="1"/>
        <v>249905773</v>
      </c>
      <c r="J53" s="684">
        <f t="shared" si="1"/>
        <v>3804900</v>
      </c>
      <c r="K53" s="684">
        <f t="shared" si="1"/>
        <v>27022896</v>
      </c>
      <c r="L53" s="684">
        <f t="shared" si="1"/>
        <v>265009999</v>
      </c>
      <c r="M53" s="684">
        <f t="shared" si="1"/>
        <v>40723</v>
      </c>
      <c r="N53" s="684">
        <f t="shared" si="1"/>
        <v>0</v>
      </c>
      <c r="O53" s="684">
        <f t="shared" si="1"/>
        <v>453824</v>
      </c>
      <c r="P53" s="684">
        <f t="shared" si="1"/>
        <v>526872</v>
      </c>
      <c r="Q53" s="684">
        <f t="shared" si="1"/>
        <v>0</v>
      </c>
      <c r="R53" s="684">
        <f t="shared" si="1"/>
        <v>0</v>
      </c>
      <c r="S53" s="684">
        <f t="shared" si="1"/>
        <v>2870000</v>
      </c>
      <c r="T53" s="684">
        <f t="shared" si="1"/>
        <v>5038000</v>
      </c>
      <c r="U53" s="684">
        <f t="shared" si="1"/>
        <v>58707235</v>
      </c>
      <c r="V53" s="684">
        <f t="shared" si="1"/>
        <v>19141041</v>
      </c>
      <c r="W53" s="684">
        <f t="shared" si="1"/>
        <v>46492179</v>
      </c>
      <c r="X53" s="752">
        <f t="shared" si="1"/>
        <v>17567323</v>
      </c>
      <c r="Y53" s="753">
        <f t="shared" si="1"/>
        <v>944586055</v>
      </c>
      <c r="Z53" s="685">
        <f>SUM(G53:X53)</f>
        <v>944586055</v>
      </c>
      <c r="AA53" s="686"/>
      <c r="AB53" s="686"/>
    </row>
    <row r="54" ht="12.75">
      <c r="E54" s="687"/>
    </row>
    <row r="58" ht="12">
      <c r="F58" s="689"/>
    </row>
  </sheetData>
  <sheetProtection/>
  <mergeCells count="12">
    <mergeCell ref="D28:D31"/>
    <mergeCell ref="D43:D48"/>
    <mergeCell ref="L5:T5"/>
    <mergeCell ref="D35:D38"/>
    <mergeCell ref="C1:C2"/>
    <mergeCell ref="T1:Y1"/>
    <mergeCell ref="E2:Y2"/>
    <mergeCell ref="D4:D7"/>
    <mergeCell ref="E4:E6"/>
    <mergeCell ref="F4:F6"/>
    <mergeCell ref="G4:X4"/>
    <mergeCell ref="Y4:Y6"/>
  </mergeCells>
  <printOptions horizontalCentered="1"/>
  <pageMargins left="0.07874015748031496" right="0.07874015748031496" top="0.7874015748031497" bottom="0.7874015748031497" header="0.11811023622047245" footer="0.1968503937007874"/>
  <pageSetup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5"/>
  <sheetViews>
    <sheetView workbookViewId="0" topLeftCell="G1">
      <selection activeCell="G1" sqref="G1:M1"/>
    </sheetView>
  </sheetViews>
  <sheetFormatPr defaultColWidth="9.00390625" defaultRowHeight="12.75"/>
  <cols>
    <col min="1" max="1" width="7.75390625" style="206" customWidth="1"/>
    <col min="2" max="2" width="31.75390625" style="206" customWidth="1"/>
    <col min="3" max="3" width="14.375" style="206" customWidth="1"/>
    <col min="4" max="4" width="16.25390625" style="206" bestFit="1" customWidth="1"/>
    <col min="5" max="5" width="13.75390625" style="206" bestFit="1" customWidth="1"/>
    <col min="6" max="6" width="16.25390625" style="206" bestFit="1" customWidth="1"/>
    <col min="7" max="8" width="12.875" style="206" customWidth="1"/>
    <col min="9" max="9" width="14.375" style="206" bestFit="1" customWidth="1"/>
    <col min="10" max="11" width="12.875" style="206" customWidth="1"/>
    <col min="12" max="12" width="15.00390625" style="206" customWidth="1"/>
    <col min="13" max="13" width="17.00390625" style="206" bestFit="1" customWidth="1"/>
    <col min="14" max="15" width="9.125" style="206" customWidth="1"/>
    <col min="16" max="16" width="12.875" style="206" bestFit="1" customWidth="1"/>
    <col min="17" max="16384" width="9.125" style="206" customWidth="1"/>
  </cols>
  <sheetData>
    <row r="1" spans="1:21" ht="12.75">
      <c r="A1" s="273"/>
      <c r="B1" s="274"/>
      <c r="C1" s="275"/>
      <c r="D1" s="275"/>
      <c r="E1" s="275"/>
      <c r="F1" s="275"/>
      <c r="G1" s="916" t="s">
        <v>1018</v>
      </c>
      <c r="H1" s="916"/>
      <c r="I1" s="917"/>
      <c r="J1" s="917"/>
      <c r="K1" s="917"/>
      <c r="L1" s="917"/>
      <c r="M1" s="917"/>
      <c r="N1" s="274"/>
      <c r="O1" s="274"/>
      <c r="P1" s="274"/>
      <c r="Q1" s="274"/>
      <c r="R1" s="276"/>
      <c r="S1" s="276"/>
      <c r="T1" s="276"/>
      <c r="U1" s="274"/>
    </row>
    <row r="2" spans="1:21" ht="12.75">
      <c r="A2" s="273"/>
      <c r="B2" s="274"/>
      <c r="C2" s="275"/>
      <c r="D2" s="275"/>
      <c r="E2" s="275"/>
      <c r="F2" s="275"/>
      <c r="G2" s="277"/>
      <c r="H2" s="277"/>
      <c r="I2" s="278"/>
      <c r="J2" s="278"/>
      <c r="K2" s="278"/>
      <c r="L2" s="278"/>
      <c r="M2" s="278"/>
      <c r="N2" s="274"/>
      <c r="O2" s="274"/>
      <c r="P2" s="274"/>
      <c r="Q2" s="274"/>
      <c r="R2" s="276"/>
      <c r="S2" s="276"/>
      <c r="T2" s="276"/>
      <c r="U2" s="274"/>
    </row>
    <row r="3" spans="1:27" ht="15.75" customHeight="1">
      <c r="A3" s="921" t="s">
        <v>821</v>
      </c>
      <c r="B3" s="921"/>
      <c r="C3" s="921"/>
      <c r="D3" s="921"/>
      <c r="E3" s="921"/>
      <c r="F3" s="921"/>
      <c r="G3" s="921"/>
      <c r="H3" s="921"/>
      <c r="I3" s="921"/>
      <c r="J3" s="921"/>
      <c r="K3" s="921"/>
      <c r="L3" s="921"/>
      <c r="M3" s="921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</row>
    <row r="4" spans="1:27" ht="13.5" thickBot="1">
      <c r="A4" s="921"/>
      <c r="B4" s="921"/>
      <c r="C4" s="921"/>
      <c r="D4" s="921"/>
      <c r="E4" s="921"/>
      <c r="F4" s="921"/>
      <c r="G4" s="921"/>
      <c r="H4" s="921"/>
      <c r="I4" s="921"/>
      <c r="J4" s="921"/>
      <c r="K4" s="921"/>
      <c r="L4" s="921"/>
      <c r="M4" s="921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</row>
    <row r="5" spans="1:27" ht="16.5" thickBot="1">
      <c r="A5" s="911" t="s">
        <v>482</v>
      </c>
      <c r="B5" s="908" t="s">
        <v>394</v>
      </c>
      <c r="C5" s="914" t="s">
        <v>539</v>
      </c>
      <c r="D5" s="914"/>
      <c r="E5" s="914"/>
      <c r="F5" s="914"/>
      <c r="G5" s="914"/>
      <c r="H5" s="914"/>
      <c r="I5" s="914"/>
      <c r="J5" s="914"/>
      <c r="K5" s="914"/>
      <c r="L5" s="914"/>
      <c r="M5" s="915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81"/>
    </row>
    <row r="6" spans="1:13" ht="12.75" customHeight="1">
      <c r="A6" s="912"/>
      <c r="B6" s="909"/>
      <c r="C6" s="922" t="s">
        <v>540</v>
      </c>
      <c r="D6" s="899" t="s">
        <v>541</v>
      </c>
      <c r="E6" s="900"/>
      <c r="F6" s="901"/>
      <c r="G6" s="899" t="s">
        <v>542</v>
      </c>
      <c r="H6" s="900"/>
      <c r="I6" s="901"/>
      <c r="J6" s="899" t="s">
        <v>543</v>
      </c>
      <c r="K6" s="900"/>
      <c r="L6" s="901"/>
      <c r="M6" s="918" t="s">
        <v>403</v>
      </c>
    </row>
    <row r="7" spans="1:13" ht="12.75" customHeight="1">
      <c r="A7" s="912"/>
      <c r="B7" s="909"/>
      <c r="C7" s="923"/>
      <c r="D7" s="902"/>
      <c r="E7" s="903"/>
      <c r="F7" s="904"/>
      <c r="G7" s="902"/>
      <c r="H7" s="903"/>
      <c r="I7" s="904"/>
      <c r="J7" s="902"/>
      <c r="K7" s="903"/>
      <c r="L7" s="904"/>
      <c r="M7" s="919"/>
    </row>
    <row r="8" spans="1:13" ht="24" customHeight="1" thickBot="1">
      <c r="A8" s="913"/>
      <c r="B8" s="910"/>
      <c r="C8" s="924"/>
      <c r="D8" s="282" t="s">
        <v>100</v>
      </c>
      <c r="E8" s="283" t="s">
        <v>101</v>
      </c>
      <c r="F8" s="284" t="s">
        <v>102</v>
      </c>
      <c r="G8" s="285" t="s">
        <v>100</v>
      </c>
      <c r="H8" s="283" t="s">
        <v>101</v>
      </c>
      <c r="I8" s="284" t="s">
        <v>102</v>
      </c>
      <c r="J8" s="285" t="s">
        <v>100</v>
      </c>
      <c r="K8" s="283" t="s">
        <v>101</v>
      </c>
      <c r="L8" s="284" t="s">
        <v>102</v>
      </c>
      <c r="M8" s="920"/>
    </row>
    <row r="9" spans="1:13" ht="29.25" customHeight="1">
      <c r="A9" s="286" t="s">
        <v>433</v>
      </c>
      <c r="B9" s="287" t="s">
        <v>66</v>
      </c>
      <c r="C9" s="288" t="s">
        <v>845</v>
      </c>
      <c r="D9" s="289">
        <f>63491442-304800-8000000+35026110+9314000+3850000+500000+4000000-1500000+904841+430000+379000</f>
        <v>108090593</v>
      </c>
      <c r="E9" s="290">
        <f>83026110-35026110+3150000+500000</f>
        <v>51650000</v>
      </c>
      <c r="F9" s="291">
        <f aca="true" t="shared" si="0" ref="F9:F53">SUM(D9:E9)</f>
        <v>159740593</v>
      </c>
      <c r="G9" s="292"/>
      <c r="H9" s="290"/>
      <c r="I9" s="291">
        <f aca="true" t="shared" si="1" ref="I9:I53">SUM(G9:H9)</f>
        <v>0</v>
      </c>
      <c r="J9" s="293"/>
      <c r="K9" s="294"/>
      <c r="L9" s="291">
        <f aca="true" t="shared" si="2" ref="L9:L44">SUM(J9:K9)</f>
        <v>0</v>
      </c>
      <c r="M9" s="295">
        <f aca="true" t="shared" si="3" ref="M9:M53">SUM(F9+I9+L9)</f>
        <v>159740593</v>
      </c>
    </row>
    <row r="10" spans="1:13" ht="21.75" customHeight="1">
      <c r="A10" s="296" t="s">
        <v>434</v>
      </c>
      <c r="B10" s="315" t="s">
        <v>741</v>
      </c>
      <c r="C10" s="297" t="s">
        <v>830</v>
      </c>
      <c r="D10" s="301">
        <v>100000</v>
      </c>
      <c r="E10" s="302"/>
      <c r="F10" s="291">
        <f t="shared" si="0"/>
        <v>100000</v>
      </c>
      <c r="G10" s="303"/>
      <c r="H10" s="302"/>
      <c r="I10" s="291">
        <f t="shared" si="1"/>
        <v>0</v>
      </c>
      <c r="J10" s="304"/>
      <c r="K10" s="305"/>
      <c r="L10" s="291">
        <f t="shared" si="2"/>
        <v>0</v>
      </c>
      <c r="M10" s="295">
        <f t="shared" si="3"/>
        <v>100000</v>
      </c>
    </row>
    <row r="11" spans="1:13" ht="29.25" customHeight="1">
      <c r="A11" s="296" t="s">
        <v>435</v>
      </c>
      <c r="B11" s="298" t="s">
        <v>61</v>
      </c>
      <c r="C11" s="297" t="s">
        <v>828</v>
      </c>
      <c r="D11" s="289">
        <f>78280594-317500-782000+782000+6762752</f>
        <v>84725846</v>
      </c>
      <c r="E11" s="290">
        <f>1000000+449520</f>
        <v>1449520</v>
      </c>
      <c r="F11" s="291">
        <f t="shared" si="0"/>
        <v>86175366</v>
      </c>
      <c r="G11" s="292"/>
      <c r="H11" s="290">
        <f>3700000+1159500-904841+9000000</f>
        <v>12954659</v>
      </c>
      <c r="I11" s="291">
        <f t="shared" si="1"/>
        <v>12954659</v>
      </c>
      <c r="J11" s="293"/>
      <c r="K11" s="294"/>
      <c r="L11" s="291">
        <f t="shared" si="2"/>
        <v>0</v>
      </c>
      <c r="M11" s="295">
        <f t="shared" si="3"/>
        <v>99130025</v>
      </c>
    </row>
    <row r="12" spans="1:13" ht="29.25" customHeight="1">
      <c r="A12" s="296" t="s">
        <v>436</v>
      </c>
      <c r="B12" s="298" t="s">
        <v>63</v>
      </c>
      <c r="C12" s="297" t="s">
        <v>828</v>
      </c>
      <c r="D12" s="289">
        <f>6302579+1686276</f>
        <v>7988855</v>
      </c>
      <c r="E12" s="290"/>
      <c r="F12" s="291">
        <f t="shared" si="0"/>
        <v>7988855</v>
      </c>
      <c r="G12" s="292"/>
      <c r="H12" s="290"/>
      <c r="I12" s="291">
        <f t="shared" si="1"/>
        <v>0</v>
      </c>
      <c r="J12" s="293"/>
      <c r="K12" s="294"/>
      <c r="L12" s="291">
        <f t="shared" si="2"/>
        <v>0</v>
      </c>
      <c r="M12" s="295">
        <f t="shared" si="3"/>
        <v>7988855</v>
      </c>
    </row>
    <row r="13" spans="1:13" ht="29.25" customHeight="1">
      <c r="A13" s="296" t="s">
        <v>437</v>
      </c>
      <c r="B13" s="298" t="s">
        <v>412</v>
      </c>
      <c r="C13" s="299"/>
      <c r="D13" s="289"/>
      <c r="E13" s="290"/>
      <c r="F13" s="291">
        <f t="shared" si="0"/>
        <v>0</v>
      </c>
      <c r="G13" s="292">
        <f>9441210-2000000</f>
        <v>7441210</v>
      </c>
      <c r="H13" s="290"/>
      <c r="I13" s="291">
        <f t="shared" si="1"/>
        <v>7441210</v>
      </c>
      <c r="J13" s="293"/>
      <c r="K13" s="294"/>
      <c r="L13" s="291">
        <f t="shared" si="2"/>
        <v>0</v>
      </c>
      <c r="M13" s="295">
        <f t="shared" si="3"/>
        <v>7441210</v>
      </c>
    </row>
    <row r="14" spans="1:13" ht="29.25" customHeight="1">
      <c r="A14" s="296" t="s">
        <v>438</v>
      </c>
      <c r="B14" s="298" t="s">
        <v>921</v>
      </c>
      <c r="C14" s="299"/>
      <c r="D14" s="289">
        <f>25603463+1419433</f>
        <v>27022896</v>
      </c>
      <c r="E14" s="290"/>
      <c r="F14" s="291">
        <f t="shared" si="0"/>
        <v>27022896</v>
      </c>
      <c r="G14" s="292"/>
      <c r="H14" s="290"/>
      <c r="I14" s="291">
        <f t="shared" si="1"/>
        <v>0</v>
      </c>
      <c r="J14" s="293"/>
      <c r="K14" s="294"/>
      <c r="L14" s="291">
        <f t="shared" si="2"/>
        <v>0</v>
      </c>
      <c r="M14" s="295">
        <f t="shared" si="3"/>
        <v>27022896</v>
      </c>
    </row>
    <row r="15" spans="1:13" ht="21.75" customHeight="1">
      <c r="A15" s="296" t="s">
        <v>439</v>
      </c>
      <c r="B15" s="315" t="s">
        <v>743</v>
      </c>
      <c r="C15" s="310"/>
      <c r="D15" s="301">
        <f>17567323+237516+48289</f>
        <v>17853128</v>
      </c>
      <c r="E15" s="302"/>
      <c r="F15" s="291">
        <f t="shared" si="0"/>
        <v>17853128</v>
      </c>
      <c r="G15" s="303"/>
      <c r="H15" s="302"/>
      <c r="I15" s="291">
        <f t="shared" si="1"/>
        <v>0</v>
      </c>
      <c r="J15" s="304"/>
      <c r="K15" s="305"/>
      <c r="L15" s="291">
        <f t="shared" si="2"/>
        <v>0</v>
      </c>
      <c r="M15" s="295">
        <f t="shared" si="3"/>
        <v>17853128</v>
      </c>
    </row>
    <row r="16" spans="1:13" ht="21.75" customHeight="1">
      <c r="A16" s="296" t="s">
        <v>440</v>
      </c>
      <c r="B16" s="315" t="s">
        <v>917</v>
      </c>
      <c r="C16" s="310"/>
      <c r="D16" s="289">
        <v>40723</v>
      </c>
      <c r="E16" s="290"/>
      <c r="F16" s="291">
        <f t="shared" si="0"/>
        <v>40723</v>
      </c>
      <c r="G16" s="292"/>
      <c r="H16" s="290"/>
      <c r="I16" s="291">
        <f t="shared" si="1"/>
        <v>0</v>
      </c>
      <c r="J16" s="293"/>
      <c r="K16" s="294"/>
      <c r="L16" s="291">
        <f t="shared" si="2"/>
        <v>0</v>
      </c>
      <c r="M16" s="295">
        <f t="shared" si="3"/>
        <v>40723</v>
      </c>
    </row>
    <row r="17" spans="1:13" ht="29.25" customHeight="1">
      <c r="A17" s="296" t="s">
        <v>441</v>
      </c>
      <c r="B17" s="298" t="s">
        <v>72</v>
      </c>
      <c r="C17" s="291" t="s">
        <v>829</v>
      </c>
      <c r="D17" s="289"/>
      <c r="E17" s="290"/>
      <c r="F17" s="291">
        <f t="shared" si="0"/>
        <v>0</v>
      </c>
      <c r="G17" s="292"/>
      <c r="H17" s="290"/>
      <c r="I17" s="291">
        <f t="shared" si="1"/>
        <v>0</v>
      </c>
      <c r="J17" s="293">
        <f>47384062+22851+13200+2904-88773</f>
        <v>47334244</v>
      </c>
      <c r="K17" s="294">
        <f>254000+88773</f>
        <v>342773</v>
      </c>
      <c r="L17" s="291">
        <f t="shared" si="2"/>
        <v>47677017</v>
      </c>
      <c r="M17" s="295">
        <f t="shared" si="3"/>
        <v>47677017</v>
      </c>
    </row>
    <row r="18" spans="1:13" ht="29.25" customHeight="1">
      <c r="A18" s="296" t="s">
        <v>442</v>
      </c>
      <c r="B18" s="298" t="s">
        <v>929</v>
      </c>
      <c r="C18" s="297"/>
      <c r="D18" s="289">
        <f>30882431+3396993+6312014</f>
        <v>40591438</v>
      </c>
      <c r="E18" s="290">
        <v>1398066</v>
      </c>
      <c r="F18" s="291">
        <f t="shared" si="0"/>
        <v>41989504</v>
      </c>
      <c r="G18" s="292"/>
      <c r="H18" s="290"/>
      <c r="I18" s="291">
        <f t="shared" si="1"/>
        <v>0</v>
      </c>
      <c r="J18" s="293"/>
      <c r="K18" s="294"/>
      <c r="L18" s="291">
        <f t="shared" si="2"/>
        <v>0</v>
      </c>
      <c r="M18" s="295">
        <f t="shared" si="3"/>
        <v>41989504</v>
      </c>
    </row>
    <row r="19" spans="1:13" ht="29.25" customHeight="1">
      <c r="A19" s="296" t="s">
        <v>443</v>
      </c>
      <c r="B19" s="298" t="s">
        <v>928</v>
      </c>
      <c r="C19" s="297"/>
      <c r="D19" s="289">
        <f>89907417+9889529+8426434</f>
        <v>108223380</v>
      </c>
      <c r="E19" s="290">
        <v>1707563</v>
      </c>
      <c r="F19" s="291">
        <f t="shared" si="0"/>
        <v>109930943</v>
      </c>
      <c r="G19" s="292"/>
      <c r="H19" s="290"/>
      <c r="I19" s="291">
        <f t="shared" si="1"/>
        <v>0</v>
      </c>
      <c r="J19" s="293"/>
      <c r="K19" s="294"/>
      <c r="L19" s="291">
        <f t="shared" si="2"/>
        <v>0</v>
      </c>
      <c r="M19" s="295">
        <f t="shared" si="3"/>
        <v>109930943</v>
      </c>
    </row>
    <row r="20" spans="1:13" ht="21.75" customHeight="1">
      <c r="A20" s="296" t="s">
        <v>444</v>
      </c>
      <c r="B20" s="315" t="s">
        <v>744</v>
      </c>
      <c r="C20" s="297" t="s">
        <v>830</v>
      </c>
      <c r="D20" s="301"/>
      <c r="E20" s="302"/>
      <c r="F20" s="291">
        <f t="shared" si="0"/>
        <v>0</v>
      </c>
      <c r="G20" s="303"/>
      <c r="H20" s="302">
        <f>17462500+100000</f>
        <v>17562500</v>
      </c>
      <c r="I20" s="291">
        <f t="shared" si="1"/>
        <v>17562500</v>
      </c>
      <c r="J20" s="304"/>
      <c r="K20" s="305"/>
      <c r="L20" s="291">
        <f t="shared" si="2"/>
        <v>0</v>
      </c>
      <c r="M20" s="295">
        <f t="shared" si="3"/>
        <v>17562500</v>
      </c>
    </row>
    <row r="21" spans="1:13" ht="29.25" customHeight="1">
      <c r="A21" s="300" t="s">
        <v>445</v>
      </c>
      <c r="B21" s="298" t="s">
        <v>372</v>
      </c>
      <c r="C21" s="297" t="s">
        <v>830</v>
      </c>
      <c r="D21" s="289">
        <f>9850000-788000-2645132</f>
        <v>6416868</v>
      </c>
      <c r="E21" s="290">
        <f>525300+2645132</f>
        <v>3170432</v>
      </c>
      <c r="F21" s="291">
        <f t="shared" si="0"/>
        <v>9587300</v>
      </c>
      <c r="G21" s="292"/>
      <c r="H21" s="290"/>
      <c r="I21" s="291">
        <f t="shared" si="1"/>
        <v>0</v>
      </c>
      <c r="J21" s="293"/>
      <c r="K21" s="294"/>
      <c r="L21" s="291">
        <f t="shared" si="2"/>
        <v>0</v>
      </c>
      <c r="M21" s="295">
        <f t="shared" si="3"/>
        <v>9587300</v>
      </c>
    </row>
    <row r="22" spans="1:13" ht="29.25" customHeight="1">
      <c r="A22" s="296" t="s">
        <v>446</v>
      </c>
      <c r="B22" s="298" t="s">
        <v>74</v>
      </c>
      <c r="C22" s="297" t="s">
        <v>831</v>
      </c>
      <c r="D22" s="289">
        <f>1000000-1000000</f>
        <v>0</v>
      </c>
      <c r="E22" s="290">
        <v>3225085</v>
      </c>
      <c r="F22" s="291">
        <f t="shared" si="0"/>
        <v>3225085</v>
      </c>
      <c r="G22" s="292"/>
      <c r="H22" s="290"/>
      <c r="I22" s="291">
        <f t="shared" si="1"/>
        <v>0</v>
      </c>
      <c r="J22" s="293"/>
      <c r="K22" s="294"/>
      <c r="L22" s="291">
        <f t="shared" si="2"/>
        <v>0</v>
      </c>
      <c r="M22" s="295">
        <f t="shared" si="3"/>
        <v>3225085</v>
      </c>
    </row>
    <row r="23" spans="1:13" ht="29.25" customHeight="1">
      <c r="A23" s="296" t="s">
        <v>447</v>
      </c>
      <c r="B23" s="298" t="s">
        <v>924</v>
      </c>
      <c r="C23" s="297"/>
      <c r="D23" s="289">
        <v>6949788</v>
      </c>
      <c r="E23" s="290"/>
      <c r="F23" s="291">
        <f t="shared" si="0"/>
        <v>6949788</v>
      </c>
      <c r="G23" s="292"/>
      <c r="H23" s="290"/>
      <c r="I23" s="291"/>
      <c r="J23" s="293"/>
      <c r="K23" s="294"/>
      <c r="L23" s="291"/>
      <c r="M23" s="295">
        <f t="shared" si="3"/>
        <v>6949788</v>
      </c>
    </row>
    <row r="24" spans="1:13" ht="30.75" customHeight="1">
      <c r="A24" s="296" t="s">
        <v>448</v>
      </c>
      <c r="B24" s="298" t="s">
        <v>55</v>
      </c>
      <c r="C24" s="297" t="s">
        <v>832</v>
      </c>
      <c r="D24" s="301">
        <v>3247243</v>
      </c>
      <c r="E24" s="302"/>
      <c r="F24" s="291">
        <f t="shared" si="0"/>
        <v>3247243</v>
      </c>
      <c r="G24" s="303"/>
      <c r="H24" s="302"/>
      <c r="I24" s="291">
        <f t="shared" si="1"/>
        <v>0</v>
      </c>
      <c r="J24" s="304"/>
      <c r="K24" s="305"/>
      <c r="L24" s="291">
        <f t="shared" si="2"/>
        <v>0</v>
      </c>
      <c r="M24" s="295">
        <f t="shared" si="3"/>
        <v>3247243</v>
      </c>
    </row>
    <row r="25" spans="1:13" ht="31.5" customHeight="1">
      <c r="A25" s="296" t="s">
        <v>449</v>
      </c>
      <c r="B25" s="298" t="s">
        <v>410</v>
      </c>
      <c r="C25" s="297" t="s">
        <v>833</v>
      </c>
      <c r="D25" s="301">
        <f>11455754+608965</f>
        <v>12064719</v>
      </c>
      <c r="E25" s="302"/>
      <c r="F25" s="291">
        <f t="shared" si="0"/>
        <v>12064719</v>
      </c>
      <c r="G25" s="303"/>
      <c r="H25" s="302"/>
      <c r="I25" s="291">
        <f t="shared" si="1"/>
        <v>0</v>
      </c>
      <c r="J25" s="304"/>
      <c r="K25" s="305"/>
      <c r="L25" s="291">
        <f t="shared" si="2"/>
        <v>0</v>
      </c>
      <c r="M25" s="295">
        <f t="shared" si="3"/>
        <v>12064719</v>
      </c>
    </row>
    <row r="26" spans="1:13" ht="21.75" customHeight="1">
      <c r="A26" s="296" t="s">
        <v>450</v>
      </c>
      <c r="B26" s="315" t="s">
        <v>413</v>
      </c>
      <c r="C26" s="310" t="s">
        <v>830</v>
      </c>
      <c r="D26" s="301">
        <v>23114000</v>
      </c>
      <c r="E26" s="302"/>
      <c r="F26" s="291">
        <f t="shared" si="0"/>
        <v>23114000</v>
      </c>
      <c r="G26" s="303"/>
      <c r="H26" s="302"/>
      <c r="I26" s="291">
        <f t="shared" si="1"/>
        <v>0</v>
      </c>
      <c r="J26" s="304"/>
      <c r="K26" s="305"/>
      <c r="L26" s="291">
        <f t="shared" si="2"/>
        <v>0</v>
      </c>
      <c r="M26" s="295">
        <f t="shared" si="3"/>
        <v>23114000</v>
      </c>
    </row>
    <row r="27" spans="1:13" ht="21.75" customHeight="1">
      <c r="A27" s="296" t="s">
        <v>451</v>
      </c>
      <c r="B27" s="315" t="s">
        <v>411</v>
      </c>
      <c r="C27" s="310" t="s">
        <v>830</v>
      </c>
      <c r="D27" s="301">
        <f>32796000-854000+854000</f>
        <v>32796000</v>
      </c>
      <c r="E27" s="302"/>
      <c r="F27" s="291">
        <f t="shared" si="0"/>
        <v>32796000</v>
      </c>
      <c r="G27" s="303"/>
      <c r="H27" s="302"/>
      <c r="I27" s="291">
        <f t="shared" si="1"/>
        <v>0</v>
      </c>
      <c r="J27" s="304"/>
      <c r="K27" s="305"/>
      <c r="L27" s="291">
        <f t="shared" si="2"/>
        <v>0</v>
      </c>
      <c r="M27" s="295">
        <f t="shared" si="3"/>
        <v>32796000</v>
      </c>
    </row>
    <row r="28" spans="1:13" ht="22.5" customHeight="1">
      <c r="A28" s="296" t="s">
        <v>452</v>
      </c>
      <c r="B28" s="315" t="s">
        <v>97</v>
      </c>
      <c r="C28" s="310" t="s">
        <v>834</v>
      </c>
      <c r="D28" s="301">
        <f>29832700-1200000-2592152-209790-1200000-500000+454465</f>
        <v>24585223</v>
      </c>
      <c r="E28" s="302">
        <f>10400-10400</f>
        <v>0</v>
      </c>
      <c r="F28" s="291">
        <f t="shared" si="0"/>
        <v>24585223</v>
      </c>
      <c r="G28" s="303">
        <f>1200000+2592152-550000-148500+750095</f>
        <v>3843747</v>
      </c>
      <c r="H28" s="302"/>
      <c r="I28" s="291">
        <f t="shared" si="1"/>
        <v>3843747</v>
      </c>
      <c r="J28" s="304"/>
      <c r="K28" s="305"/>
      <c r="L28" s="291">
        <f t="shared" si="2"/>
        <v>0</v>
      </c>
      <c r="M28" s="295">
        <f t="shared" si="3"/>
        <v>28428970</v>
      </c>
    </row>
    <row r="29" spans="1:13" ht="23.25" customHeight="1">
      <c r="A29" s="296" t="s">
        <v>453</v>
      </c>
      <c r="B29" s="315" t="s">
        <v>415</v>
      </c>
      <c r="C29" s="310" t="s">
        <v>835</v>
      </c>
      <c r="D29" s="301">
        <v>360000</v>
      </c>
      <c r="E29" s="302"/>
      <c r="F29" s="291">
        <f t="shared" si="0"/>
        <v>360000</v>
      </c>
      <c r="G29" s="303"/>
      <c r="H29" s="302"/>
      <c r="I29" s="291">
        <f t="shared" si="1"/>
        <v>0</v>
      </c>
      <c r="J29" s="304"/>
      <c r="K29" s="305"/>
      <c r="L29" s="291">
        <f t="shared" si="2"/>
        <v>0</v>
      </c>
      <c r="M29" s="295">
        <f t="shared" si="3"/>
        <v>360000</v>
      </c>
    </row>
    <row r="30" spans="1:13" ht="22.5" customHeight="1">
      <c r="A30" s="296" t="s">
        <v>454</v>
      </c>
      <c r="B30" s="315" t="s">
        <v>416</v>
      </c>
      <c r="C30" s="310" t="s">
        <v>835</v>
      </c>
      <c r="D30" s="301">
        <f>32381648+178181-146050-32131+624000-511475-112525+788800+255887+169300+37246</f>
        <v>33632881</v>
      </c>
      <c r="E30" s="302">
        <v>25400</v>
      </c>
      <c r="F30" s="291">
        <f t="shared" si="0"/>
        <v>33658281</v>
      </c>
      <c r="G30" s="303"/>
      <c r="H30" s="302"/>
      <c r="I30" s="291">
        <f t="shared" si="1"/>
        <v>0</v>
      </c>
      <c r="J30" s="304"/>
      <c r="K30" s="305"/>
      <c r="L30" s="291">
        <f t="shared" si="2"/>
        <v>0</v>
      </c>
      <c r="M30" s="295">
        <f t="shared" si="3"/>
        <v>33658281</v>
      </c>
    </row>
    <row r="31" spans="1:13" ht="22.5" customHeight="1">
      <c r="A31" s="296" t="s">
        <v>544</v>
      </c>
      <c r="B31" s="315" t="s">
        <v>417</v>
      </c>
      <c r="C31" s="310" t="s">
        <v>835</v>
      </c>
      <c r="D31" s="301">
        <v>120000</v>
      </c>
      <c r="E31" s="302"/>
      <c r="F31" s="291">
        <f t="shared" si="0"/>
        <v>120000</v>
      </c>
      <c r="G31" s="303"/>
      <c r="H31" s="302"/>
      <c r="I31" s="291">
        <f t="shared" si="1"/>
        <v>0</v>
      </c>
      <c r="J31" s="304"/>
      <c r="K31" s="305"/>
      <c r="L31" s="291">
        <f t="shared" si="2"/>
        <v>0</v>
      </c>
      <c r="M31" s="295">
        <f t="shared" si="3"/>
        <v>120000</v>
      </c>
    </row>
    <row r="32" spans="1:13" ht="29.25" customHeight="1">
      <c r="A32" s="296" t="s">
        <v>545</v>
      </c>
      <c r="B32" s="298" t="s">
        <v>849</v>
      </c>
      <c r="C32" s="297" t="s">
        <v>835</v>
      </c>
      <c r="D32" s="301">
        <f>20457479+17100+110000+24200</f>
        <v>20608779</v>
      </c>
      <c r="E32" s="302">
        <f>4445000-2059095</f>
        <v>2385905</v>
      </c>
      <c r="F32" s="291">
        <f t="shared" si="0"/>
        <v>22994684</v>
      </c>
      <c r="G32" s="303"/>
      <c r="H32" s="302"/>
      <c r="I32" s="291">
        <f t="shared" si="1"/>
        <v>0</v>
      </c>
      <c r="J32" s="304"/>
      <c r="K32" s="305"/>
      <c r="L32" s="291">
        <f t="shared" si="2"/>
        <v>0</v>
      </c>
      <c r="M32" s="295">
        <f t="shared" si="3"/>
        <v>22994684</v>
      </c>
    </row>
    <row r="33" spans="1:13" ht="29.25" customHeight="1">
      <c r="A33" s="296" t="s">
        <v>546</v>
      </c>
      <c r="B33" s="307" t="s">
        <v>96</v>
      </c>
      <c r="C33" s="291" t="s">
        <v>836</v>
      </c>
      <c r="D33" s="301">
        <f>37833000-8393000-1607000</f>
        <v>27833000</v>
      </c>
      <c r="E33" s="302"/>
      <c r="F33" s="291">
        <f t="shared" si="0"/>
        <v>27833000</v>
      </c>
      <c r="G33" s="306"/>
      <c r="H33" s="302">
        <v>11201400</v>
      </c>
      <c r="I33" s="291">
        <f t="shared" si="1"/>
        <v>11201400</v>
      </c>
      <c r="J33" s="304"/>
      <c r="K33" s="305"/>
      <c r="L33" s="291">
        <f t="shared" si="2"/>
        <v>0</v>
      </c>
      <c r="M33" s="295">
        <f t="shared" si="3"/>
        <v>39034400</v>
      </c>
    </row>
    <row r="34" spans="1:13" ht="30.75" customHeight="1">
      <c r="A34" s="296" t="s">
        <v>512</v>
      </c>
      <c r="B34" s="323" t="s">
        <v>692</v>
      </c>
      <c r="C34" s="291"/>
      <c r="D34" s="301"/>
      <c r="E34" s="302"/>
      <c r="F34" s="291">
        <f t="shared" si="0"/>
        <v>0</v>
      </c>
      <c r="G34" s="309">
        <v>1877109</v>
      </c>
      <c r="H34" s="302">
        <v>4087500</v>
      </c>
      <c r="I34" s="291">
        <f t="shared" si="1"/>
        <v>5964609</v>
      </c>
      <c r="J34" s="304"/>
      <c r="K34" s="305"/>
      <c r="L34" s="291">
        <f t="shared" si="2"/>
        <v>0</v>
      </c>
      <c r="M34" s="295">
        <f t="shared" si="3"/>
        <v>5964609</v>
      </c>
    </row>
    <row r="35" spans="1:13" ht="32.25" customHeight="1">
      <c r="A35" s="296" t="s">
        <v>547</v>
      </c>
      <c r="B35" s="307" t="s">
        <v>612</v>
      </c>
      <c r="C35" s="297" t="s">
        <v>837</v>
      </c>
      <c r="D35" s="301">
        <v>1100000</v>
      </c>
      <c r="E35" s="302"/>
      <c r="F35" s="291">
        <f t="shared" si="0"/>
        <v>1100000</v>
      </c>
      <c r="G35" s="303"/>
      <c r="H35" s="302"/>
      <c r="I35" s="291">
        <f t="shared" si="1"/>
        <v>0</v>
      </c>
      <c r="J35" s="304"/>
      <c r="K35" s="305"/>
      <c r="L35" s="291">
        <f t="shared" si="2"/>
        <v>0</v>
      </c>
      <c r="M35" s="295">
        <f t="shared" si="3"/>
        <v>1100000</v>
      </c>
    </row>
    <row r="36" spans="1:13" ht="22.5" customHeight="1">
      <c r="A36" s="296" t="s">
        <v>455</v>
      </c>
      <c r="B36" s="315" t="s">
        <v>418</v>
      </c>
      <c r="C36" s="310" t="s">
        <v>837</v>
      </c>
      <c r="D36" s="301">
        <f>3374212-50329</f>
        <v>3323883</v>
      </c>
      <c r="E36" s="302"/>
      <c r="F36" s="291">
        <f t="shared" si="0"/>
        <v>3323883</v>
      </c>
      <c r="G36" s="303"/>
      <c r="H36" s="302">
        <v>788000</v>
      </c>
      <c r="I36" s="291">
        <f t="shared" si="1"/>
        <v>788000</v>
      </c>
      <c r="J36" s="304"/>
      <c r="K36" s="305"/>
      <c r="L36" s="291">
        <f t="shared" si="2"/>
        <v>0</v>
      </c>
      <c r="M36" s="295">
        <f t="shared" si="3"/>
        <v>4111883</v>
      </c>
    </row>
    <row r="37" spans="1:13" ht="21.75" customHeight="1">
      <c r="A37" s="296" t="s">
        <v>456</v>
      </c>
      <c r="B37" s="315" t="s">
        <v>99</v>
      </c>
      <c r="C37" s="310" t="s">
        <v>838</v>
      </c>
      <c r="D37" s="301"/>
      <c r="E37" s="302"/>
      <c r="F37" s="291">
        <f t="shared" si="0"/>
        <v>0</v>
      </c>
      <c r="G37" s="303">
        <v>49530</v>
      </c>
      <c r="H37" s="302"/>
      <c r="I37" s="291">
        <f t="shared" si="1"/>
        <v>49530</v>
      </c>
      <c r="J37" s="304"/>
      <c r="K37" s="305"/>
      <c r="L37" s="291">
        <f t="shared" si="2"/>
        <v>0</v>
      </c>
      <c r="M37" s="295">
        <f t="shared" si="3"/>
        <v>49530</v>
      </c>
    </row>
    <row r="38" spans="1:13" ht="33.75" customHeight="1">
      <c r="A38" s="296" t="s">
        <v>457</v>
      </c>
      <c r="B38" s="298" t="s">
        <v>94</v>
      </c>
      <c r="C38" s="314" t="s">
        <v>839</v>
      </c>
      <c r="D38" s="311">
        <f>13435298-262038-1500000</f>
        <v>11673260</v>
      </c>
      <c r="E38" s="312"/>
      <c r="F38" s="291">
        <f t="shared" si="0"/>
        <v>11673260</v>
      </c>
      <c r="G38" s="313"/>
      <c r="H38" s="312"/>
      <c r="I38" s="291">
        <f t="shared" si="1"/>
        <v>0</v>
      </c>
      <c r="J38" s="304"/>
      <c r="K38" s="305"/>
      <c r="L38" s="291">
        <f t="shared" si="2"/>
        <v>0</v>
      </c>
      <c r="M38" s="295">
        <f t="shared" si="3"/>
        <v>11673260</v>
      </c>
    </row>
    <row r="39" spans="1:13" ht="23.25" customHeight="1">
      <c r="A39" s="296" t="s">
        <v>548</v>
      </c>
      <c r="B39" s="298" t="s">
        <v>687</v>
      </c>
      <c r="C39" s="314"/>
      <c r="D39" s="311"/>
      <c r="E39" s="312"/>
      <c r="F39" s="291">
        <f t="shared" si="0"/>
        <v>0</v>
      </c>
      <c r="G39" s="313">
        <f>6711326-267633</f>
        <v>6443693</v>
      </c>
      <c r="H39" s="312"/>
      <c r="I39" s="291">
        <f t="shared" si="1"/>
        <v>6443693</v>
      </c>
      <c r="J39" s="304"/>
      <c r="K39" s="305"/>
      <c r="L39" s="291">
        <f t="shared" si="2"/>
        <v>0</v>
      </c>
      <c r="M39" s="295">
        <f t="shared" si="3"/>
        <v>6443693</v>
      </c>
    </row>
    <row r="40" spans="1:13" ht="24" customHeight="1">
      <c r="A40" s="300" t="s">
        <v>458</v>
      </c>
      <c r="B40" s="298" t="s">
        <v>822</v>
      </c>
      <c r="C40" s="308" t="s">
        <v>846</v>
      </c>
      <c r="D40" s="311"/>
      <c r="E40" s="312">
        <v>12391652</v>
      </c>
      <c r="F40" s="291">
        <f t="shared" si="0"/>
        <v>12391652</v>
      </c>
      <c r="G40" s="313"/>
      <c r="H40" s="312"/>
      <c r="I40" s="291">
        <f t="shared" si="1"/>
        <v>0</v>
      </c>
      <c r="J40" s="304"/>
      <c r="K40" s="305"/>
      <c r="L40" s="291">
        <f t="shared" si="2"/>
        <v>0</v>
      </c>
      <c r="M40" s="295">
        <f t="shared" si="3"/>
        <v>12391652</v>
      </c>
    </row>
    <row r="41" spans="1:13" ht="24" customHeight="1">
      <c r="A41" s="296" t="s">
        <v>485</v>
      </c>
      <c r="B41" s="298" t="s">
        <v>756</v>
      </c>
      <c r="C41" s="308" t="s">
        <v>859</v>
      </c>
      <c r="D41" s="311">
        <v>59502898</v>
      </c>
      <c r="E41" s="312"/>
      <c r="F41" s="291">
        <f t="shared" si="0"/>
        <v>59502898</v>
      </c>
      <c r="G41" s="313"/>
      <c r="H41" s="312"/>
      <c r="I41" s="291">
        <f t="shared" si="1"/>
        <v>0</v>
      </c>
      <c r="J41" s="304"/>
      <c r="K41" s="305"/>
      <c r="L41" s="291">
        <f t="shared" si="2"/>
        <v>0</v>
      </c>
      <c r="M41" s="295">
        <f t="shared" si="3"/>
        <v>59502898</v>
      </c>
    </row>
    <row r="42" spans="1:13" ht="24" customHeight="1">
      <c r="A42" s="296" t="s">
        <v>549</v>
      </c>
      <c r="B42" s="298" t="s">
        <v>758</v>
      </c>
      <c r="C42" s="308" t="s">
        <v>865</v>
      </c>
      <c r="D42" s="311">
        <v>2254350</v>
      </c>
      <c r="E42" s="312"/>
      <c r="F42" s="291">
        <f t="shared" si="0"/>
        <v>2254350</v>
      </c>
      <c r="G42" s="313"/>
      <c r="H42" s="312"/>
      <c r="I42" s="291">
        <f t="shared" si="1"/>
        <v>0</v>
      </c>
      <c r="J42" s="304"/>
      <c r="K42" s="305"/>
      <c r="L42" s="291">
        <f t="shared" si="2"/>
        <v>0</v>
      </c>
      <c r="M42" s="295">
        <f t="shared" si="3"/>
        <v>2254350</v>
      </c>
    </row>
    <row r="43" spans="1:13" ht="24">
      <c r="A43" s="296" t="s">
        <v>550</v>
      </c>
      <c r="B43" s="298" t="s">
        <v>689</v>
      </c>
      <c r="C43" s="297" t="s">
        <v>866</v>
      </c>
      <c r="D43" s="311"/>
      <c r="E43" s="312"/>
      <c r="F43" s="291">
        <f t="shared" si="0"/>
        <v>0</v>
      </c>
      <c r="G43" s="313">
        <f>98679-65649+100000</f>
        <v>133030</v>
      </c>
      <c r="H43" s="312"/>
      <c r="I43" s="291">
        <f t="shared" si="1"/>
        <v>133030</v>
      </c>
      <c r="J43" s="304"/>
      <c r="K43" s="305"/>
      <c r="L43" s="291">
        <f t="shared" si="2"/>
        <v>0</v>
      </c>
      <c r="M43" s="295">
        <f t="shared" si="3"/>
        <v>133030</v>
      </c>
    </row>
    <row r="44" spans="1:13" ht="21.75" customHeight="1">
      <c r="A44" s="296" t="s">
        <v>551</v>
      </c>
      <c r="B44" s="315" t="s">
        <v>823</v>
      </c>
      <c r="C44" s="310"/>
      <c r="D44" s="301"/>
      <c r="E44" s="302"/>
      <c r="F44" s="291">
        <f t="shared" si="0"/>
        <v>0</v>
      </c>
      <c r="G44" s="303">
        <f>40201000-9876000+1176540</f>
        <v>31501540</v>
      </c>
      <c r="H44" s="302"/>
      <c r="I44" s="291">
        <f t="shared" si="1"/>
        <v>31501540</v>
      </c>
      <c r="J44" s="304"/>
      <c r="K44" s="305"/>
      <c r="L44" s="291">
        <f t="shared" si="2"/>
        <v>0</v>
      </c>
      <c r="M44" s="295">
        <f t="shared" si="3"/>
        <v>31501540</v>
      </c>
    </row>
    <row r="45" spans="1:13" ht="21.75" customHeight="1">
      <c r="A45" s="296" t="s">
        <v>552</v>
      </c>
      <c r="B45" s="315" t="s">
        <v>867</v>
      </c>
      <c r="C45" s="310" t="s">
        <v>840</v>
      </c>
      <c r="D45" s="301">
        <f>11294000-2249000</f>
        <v>9045000</v>
      </c>
      <c r="E45" s="302"/>
      <c r="F45" s="291">
        <f t="shared" si="0"/>
        <v>9045000</v>
      </c>
      <c r="G45" s="303"/>
      <c r="H45" s="302">
        <v>0</v>
      </c>
      <c r="I45" s="291">
        <f t="shared" si="1"/>
        <v>0</v>
      </c>
      <c r="J45" s="304"/>
      <c r="K45" s="305"/>
      <c r="L45" s="291">
        <f aca="true" t="shared" si="4" ref="L45:L52">SUM(J45:K45)</f>
        <v>0</v>
      </c>
      <c r="M45" s="295">
        <f t="shared" si="3"/>
        <v>9045000</v>
      </c>
    </row>
    <row r="46" spans="1:13" ht="21.75" customHeight="1">
      <c r="A46" s="296" t="s">
        <v>553</v>
      </c>
      <c r="B46" s="315" t="s">
        <v>98</v>
      </c>
      <c r="C46" s="310" t="s">
        <v>841</v>
      </c>
      <c r="D46" s="301"/>
      <c r="E46" s="302"/>
      <c r="F46" s="291">
        <f t="shared" si="0"/>
        <v>0</v>
      </c>
      <c r="G46" s="303">
        <f>3419000-653000</f>
        <v>2766000</v>
      </c>
      <c r="H46" s="302"/>
      <c r="I46" s="291">
        <f t="shared" si="1"/>
        <v>2766000</v>
      </c>
      <c r="J46" s="304"/>
      <c r="K46" s="305"/>
      <c r="L46" s="291">
        <f t="shared" si="4"/>
        <v>0</v>
      </c>
      <c r="M46" s="295">
        <f t="shared" si="3"/>
        <v>2766000</v>
      </c>
    </row>
    <row r="47" spans="1:13" ht="21.75" customHeight="1">
      <c r="A47" s="296" t="s">
        <v>847</v>
      </c>
      <c r="B47" s="315" t="s">
        <v>85</v>
      </c>
      <c r="C47" s="310" t="s">
        <v>841</v>
      </c>
      <c r="D47" s="301"/>
      <c r="E47" s="302"/>
      <c r="F47" s="291">
        <f t="shared" si="0"/>
        <v>0</v>
      </c>
      <c r="G47" s="303">
        <f>5394000-1203000</f>
        <v>4191000</v>
      </c>
      <c r="H47" s="302"/>
      <c r="I47" s="291">
        <f t="shared" si="1"/>
        <v>4191000</v>
      </c>
      <c r="J47" s="304"/>
      <c r="K47" s="305"/>
      <c r="L47" s="291">
        <f t="shared" si="4"/>
        <v>0</v>
      </c>
      <c r="M47" s="295">
        <f t="shared" si="3"/>
        <v>4191000</v>
      </c>
    </row>
    <row r="48" spans="1:13" ht="21.75" customHeight="1">
      <c r="A48" s="296" t="s">
        <v>848</v>
      </c>
      <c r="B48" s="315" t="s">
        <v>507</v>
      </c>
      <c r="C48" s="310" t="s">
        <v>842</v>
      </c>
      <c r="D48" s="301">
        <f>11171000-2187000+214270</f>
        <v>9198270</v>
      </c>
      <c r="E48" s="302"/>
      <c r="F48" s="291">
        <f t="shared" si="0"/>
        <v>9198270</v>
      </c>
      <c r="G48" s="303"/>
      <c r="H48" s="302"/>
      <c r="I48" s="291">
        <f t="shared" si="1"/>
        <v>0</v>
      </c>
      <c r="J48" s="304"/>
      <c r="K48" s="305"/>
      <c r="L48" s="291">
        <f t="shared" si="4"/>
        <v>0</v>
      </c>
      <c r="M48" s="295">
        <f t="shared" si="3"/>
        <v>9198270</v>
      </c>
    </row>
    <row r="49" spans="1:13" ht="21.75" customHeight="1">
      <c r="A49" s="300" t="s">
        <v>930</v>
      </c>
      <c r="B49" s="315" t="s">
        <v>508</v>
      </c>
      <c r="C49" s="310" t="s">
        <v>843</v>
      </c>
      <c r="D49" s="301">
        <f>5744000-868000</f>
        <v>4876000</v>
      </c>
      <c r="E49" s="302"/>
      <c r="F49" s="291">
        <f t="shared" si="0"/>
        <v>4876000</v>
      </c>
      <c r="G49" s="303"/>
      <c r="H49" s="302"/>
      <c r="I49" s="291">
        <f t="shared" si="1"/>
        <v>0</v>
      </c>
      <c r="J49" s="304"/>
      <c r="K49" s="305"/>
      <c r="L49" s="291">
        <f t="shared" si="4"/>
        <v>0</v>
      </c>
      <c r="M49" s="295">
        <f t="shared" si="3"/>
        <v>4876000</v>
      </c>
    </row>
    <row r="50" spans="1:13" ht="26.25" customHeight="1">
      <c r="A50" s="296" t="s">
        <v>931</v>
      </c>
      <c r="B50" s="298" t="s">
        <v>693</v>
      </c>
      <c r="C50" s="291" t="s">
        <v>860</v>
      </c>
      <c r="D50" s="301">
        <v>3804900</v>
      </c>
      <c r="E50" s="302"/>
      <c r="F50" s="291">
        <f t="shared" si="0"/>
        <v>3804900</v>
      </c>
      <c r="G50" s="303"/>
      <c r="H50" s="302"/>
      <c r="I50" s="291">
        <f t="shared" si="1"/>
        <v>0</v>
      </c>
      <c r="J50" s="304"/>
      <c r="K50" s="305"/>
      <c r="L50" s="291">
        <f t="shared" si="4"/>
        <v>0</v>
      </c>
      <c r="M50" s="295">
        <f t="shared" si="3"/>
        <v>3804900</v>
      </c>
    </row>
    <row r="51" spans="1:13" s="267" customFormat="1" ht="27.75" customHeight="1">
      <c r="A51" s="296" t="s">
        <v>932</v>
      </c>
      <c r="B51" s="298" t="s">
        <v>414</v>
      </c>
      <c r="C51" s="297" t="s">
        <v>844</v>
      </c>
      <c r="D51" s="301">
        <f>2300000-40723-500000-1000000+6865581+25367102-6762752+153824-102829-50995-5512457-430000-379000-255887-18738763+1553784+750000-668467-1467722-100000</f>
        <v>980696</v>
      </c>
      <c r="E51" s="302">
        <f>389000+4649000+4649000-4649000</f>
        <v>5038000</v>
      </c>
      <c r="F51" s="291">
        <f t="shared" si="0"/>
        <v>6018696</v>
      </c>
      <c r="G51" s="317"/>
      <c r="H51" s="302">
        <f>3550000-680000</f>
        <v>2870000</v>
      </c>
      <c r="I51" s="291">
        <f t="shared" si="1"/>
        <v>2870000</v>
      </c>
      <c r="J51" s="318"/>
      <c r="K51" s="318"/>
      <c r="L51" s="291">
        <f t="shared" si="4"/>
        <v>0</v>
      </c>
      <c r="M51" s="295">
        <f t="shared" si="3"/>
        <v>8888696</v>
      </c>
    </row>
    <row r="52" spans="1:13" ht="23.25" customHeight="1">
      <c r="A52" s="296" t="s">
        <v>933</v>
      </c>
      <c r="B52" s="298" t="s">
        <v>387</v>
      </c>
      <c r="C52" s="346" t="s">
        <v>861</v>
      </c>
      <c r="D52" s="311">
        <f>4139274+1479371+1143687+20948</f>
        <v>6783280</v>
      </c>
      <c r="E52" s="312"/>
      <c r="F52" s="291">
        <f t="shared" si="0"/>
        <v>6783280</v>
      </c>
      <c r="G52" s="319"/>
      <c r="H52" s="316"/>
      <c r="I52" s="291">
        <f t="shared" si="1"/>
        <v>0</v>
      </c>
      <c r="J52" s="304"/>
      <c r="K52" s="304"/>
      <c r="L52" s="291">
        <f t="shared" si="4"/>
        <v>0</v>
      </c>
      <c r="M52" s="295">
        <f t="shared" si="3"/>
        <v>6783280</v>
      </c>
    </row>
    <row r="53" spans="1:13" ht="24.75" customHeight="1" thickBot="1">
      <c r="A53" s="296" t="s">
        <v>934</v>
      </c>
      <c r="B53" s="298" t="s">
        <v>690</v>
      </c>
      <c r="C53" s="320"/>
      <c r="D53" s="744"/>
      <c r="E53" s="745"/>
      <c r="F53" s="327">
        <f t="shared" si="0"/>
        <v>0</v>
      </c>
      <c r="G53" s="746">
        <v>7848600</v>
      </c>
      <c r="H53" s="747"/>
      <c r="I53" s="327">
        <f t="shared" si="1"/>
        <v>7848600</v>
      </c>
      <c r="J53" s="748"/>
      <c r="K53" s="748"/>
      <c r="L53" s="327">
        <f>SUM(J53:K53)</f>
        <v>0</v>
      </c>
      <c r="M53" s="749">
        <f t="shared" si="3"/>
        <v>7848600</v>
      </c>
    </row>
    <row r="54" spans="1:16" s="267" customFormat="1" ht="14.25" thickBot="1">
      <c r="A54" s="896" t="s">
        <v>824</v>
      </c>
      <c r="B54" s="897"/>
      <c r="C54" s="898"/>
      <c r="D54" s="325">
        <f aca="true" t="shared" si="5" ref="D54:M54">SUM(D9:D53)</f>
        <v>698907897</v>
      </c>
      <c r="E54" s="750">
        <f t="shared" si="5"/>
        <v>82441623</v>
      </c>
      <c r="F54" s="751">
        <f t="shared" si="5"/>
        <v>781349520</v>
      </c>
      <c r="G54" s="750">
        <f t="shared" si="5"/>
        <v>66095459</v>
      </c>
      <c r="H54" s="750">
        <f t="shared" si="5"/>
        <v>49464059</v>
      </c>
      <c r="I54" s="751">
        <f t="shared" si="5"/>
        <v>115559518</v>
      </c>
      <c r="J54" s="750">
        <f t="shared" si="5"/>
        <v>47334244</v>
      </c>
      <c r="K54" s="750">
        <f t="shared" si="5"/>
        <v>342773</v>
      </c>
      <c r="L54" s="751">
        <f t="shared" si="5"/>
        <v>47677017</v>
      </c>
      <c r="M54" s="751">
        <f t="shared" si="5"/>
        <v>944586055</v>
      </c>
      <c r="P54" s="630">
        <f>SUM(L54,I54,F54)</f>
        <v>944586055</v>
      </c>
    </row>
    <row r="55" spans="1:13" ht="30.75" customHeight="1">
      <c r="A55" s="300" t="s">
        <v>433</v>
      </c>
      <c r="B55" s="298" t="s">
        <v>66</v>
      </c>
      <c r="C55" s="288" t="s">
        <v>845</v>
      </c>
      <c r="D55" s="321">
        <f>118490946-2363520-519974+2363520+519974+492700+108394+146050+67767</f>
        <v>119305857</v>
      </c>
      <c r="E55" s="322">
        <v>500000</v>
      </c>
      <c r="F55" s="291">
        <f>SUM(D55:E55)</f>
        <v>119805857</v>
      </c>
      <c r="G55" s="321"/>
      <c r="H55" s="322"/>
      <c r="I55" s="288">
        <f>SUM(G55:H55)</f>
        <v>0</v>
      </c>
      <c r="J55" s="321"/>
      <c r="K55" s="322"/>
      <c r="L55" s="288">
        <f>SUM(J55:K55)</f>
        <v>0</v>
      </c>
      <c r="M55" s="295">
        <f>SUM(L55,I55,F55)</f>
        <v>119805857</v>
      </c>
    </row>
    <row r="56" spans="1:13" ht="36.75" thickBot="1">
      <c r="A56" s="300" t="s">
        <v>434</v>
      </c>
      <c r="B56" s="323" t="s">
        <v>696</v>
      </c>
      <c r="C56" s="324" t="s">
        <v>698</v>
      </c>
      <c r="D56" s="301">
        <v>12486120</v>
      </c>
      <c r="E56" s="302"/>
      <c r="F56" s="291">
        <f>SUM(D56:E56)</f>
        <v>12486120</v>
      </c>
      <c r="G56" s="301"/>
      <c r="H56" s="302"/>
      <c r="I56" s="291">
        <f>SUM(G56:H56)</f>
        <v>0</v>
      </c>
      <c r="J56" s="301"/>
      <c r="K56" s="302"/>
      <c r="L56" s="291">
        <f>SUM(J56:K56)</f>
        <v>0</v>
      </c>
      <c r="M56" s="295">
        <f>SUM(L56,I56,F56)</f>
        <v>12486120</v>
      </c>
    </row>
    <row r="57" spans="1:13" s="267" customFormat="1" ht="14.25" thickBot="1">
      <c r="A57" s="896" t="s">
        <v>554</v>
      </c>
      <c r="B57" s="897"/>
      <c r="C57" s="898"/>
      <c r="D57" s="325">
        <f aca="true" t="shared" si="6" ref="D57:M57">SUM(D55:D56)</f>
        <v>131791977</v>
      </c>
      <c r="E57" s="325">
        <f t="shared" si="6"/>
        <v>500000</v>
      </c>
      <c r="F57" s="325">
        <f t="shared" si="6"/>
        <v>132291977</v>
      </c>
      <c r="G57" s="325">
        <f t="shared" si="6"/>
        <v>0</v>
      </c>
      <c r="H57" s="325">
        <f t="shared" si="6"/>
        <v>0</v>
      </c>
      <c r="I57" s="325">
        <f t="shared" si="6"/>
        <v>0</v>
      </c>
      <c r="J57" s="325">
        <f t="shared" si="6"/>
        <v>0</v>
      </c>
      <c r="K57" s="325">
        <f t="shared" si="6"/>
        <v>0</v>
      </c>
      <c r="L57" s="325">
        <f t="shared" si="6"/>
        <v>0</v>
      </c>
      <c r="M57" s="326">
        <f t="shared" si="6"/>
        <v>132291977</v>
      </c>
    </row>
    <row r="58" spans="1:13" ht="23.25" customHeight="1">
      <c r="A58" s="286" t="s">
        <v>433</v>
      </c>
      <c r="B58" s="329" t="s">
        <v>555</v>
      </c>
      <c r="C58" s="308" t="s">
        <v>859</v>
      </c>
      <c r="D58" s="330">
        <v>30940089</v>
      </c>
      <c r="E58" s="331"/>
      <c r="F58" s="327">
        <f aca="true" t="shared" si="7" ref="F58:F65">SUM(D58:E58)</f>
        <v>30940089</v>
      </c>
      <c r="G58" s="330"/>
      <c r="H58" s="331"/>
      <c r="I58" s="327">
        <f aca="true" t="shared" si="8" ref="I58:I65">SUM(G58:H58)</f>
        <v>0</v>
      </c>
      <c r="J58" s="330"/>
      <c r="K58" s="331"/>
      <c r="L58" s="327">
        <f aca="true" t="shared" si="9" ref="L58:L65">SUM(J58:K58)</f>
        <v>0</v>
      </c>
      <c r="M58" s="295">
        <f aca="true" t="shared" si="10" ref="M58:M65">SUM(L58,I58,F58)</f>
        <v>30940089</v>
      </c>
    </row>
    <row r="59" spans="1:13" ht="23.25" customHeight="1">
      <c r="A59" s="296" t="s">
        <v>434</v>
      </c>
      <c r="B59" s="298" t="s">
        <v>556</v>
      </c>
      <c r="C59" s="346" t="s">
        <v>846</v>
      </c>
      <c r="D59" s="311">
        <f>150073994+719400+158268+1486017</f>
        <v>152437679</v>
      </c>
      <c r="E59" s="312">
        <v>427990</v>
      </c>
      <c r="F59" s="291">
        <f t="shared" si="7"/>
        <v>152865669</v>
      </c>
      <c r="G59" s="319"/>
      <c r="H59" s="316"/>
      <c r="I59" s="291">
        <f t="shared" si="8"/>
        <v>0</v>
      </c>
      <c r="J59" s="304"/>
      <c r="K59" s="304"/>
      <c r="L59" s="291">
        <f t="shared" si="9"/>
        <v>0</v>
      </c>
      <c r="M59" s="295">
        <f t="shared" si="10"/>
        <v>152865669</v>
      </c>
    </row>
    <row r="60" spans="1:13" ht="23.25" customHeight="1">
      <c r="A60" s="296" t="s">
        <v>435</v>
      </c>
      <c r="B60" s="298" t="s">
        <v>557</v>
      </c>
      <c r="C60" s="308" t="s">
        <v>846</v>
      </c>
      <c r="D60" s="311">
        <v>12237500</v>
      </c>
      <c r="E60" s="312">
        <v>127000</v>
      </c>
      <c r="F60" s="291">
        <f t="shared" si="7"/>
        <v>12364500</v>
      </c>
      <c r="G60" s="319"/>
      <c r="H60" s="316"/>
      <c r="I60" s="291">
        <f t="shared" si="8"/>
        <v>0</v>
      </c>
      <c r="J60" s="304"/>
      <c r="K60" s="304"/>
      <c r="L60" s="291">
        <f t="shared" si="9"/>
        <v>0</v>
      </c>
      <c r="M60" s="295">
        <f t="shared" si="10"/>
        <v>12364500</v>
      </c>
    </row>
    <row r="61" spans="1:13" ht="23.25" customHeight="1">
      <c r="A61" s="296" t="s">
        <v>436</v>
      </c>
      <c r="B61" s="298" t="s">
        <v>654</v>
      </c>
      <c r="C61" s="346" t="s">
        <v>697</v>
      </c>
      <c r="D61" s="311">
        <v>25454568</v>
      </c>
      <c r="E61" s="312">
        <v>124000</v>
      </c>
      <c r="F61" s="291">
        <f t="shared" si="7"/>
        <v>25578568</v>
      </c>
      <c r="G61" s="319"/>
      <c r="H61" s="316"/>
      <c r="I61" s="291">
        <f t="shared" si="8"/>
        <v>0</v>
      </c>
      <c r="J61" s="304"/>
      <c r="K61" s="304"/>
      <c r="L61" s="291">
        <f t="shared" si="9"/>
        <v>0</v>
      </c>
      <c r="M61" s="295">
        <f t="shared" si="10"/>
        <v>25578568</v>
      </c>
    </row>
    <row r="62" spans="1:13" ht="23.25" customHeight="1">
      <c r="A62" s="296" t="s">
        <v>437</v>
      </c>
      <c r="B62" s="298" t="s">
        <v>825</v>
      </c>
      <c r="C62" s="346" t="s">
        <v>862</v>
      </c>
      <c r="D62" s="311">
        <v>19624623</v>
      </c>
      <c r="E62" s="312">
        <v>76200</v>
      </c>
      <c r="F62" s="291">
        <f t="shared" si="7"/>
        <v>19700823</v>
      </c>
      <c r="G62" s="319"/>
      <c r="H62" s="316"/>
      <c r="I62" s="291">
        <f t="shared" si="8"/>
        <v>0</v>
      </c>
      <c r="J62" s="304"/>
      <c r="K62" s="304"/>
      <c r="L62" s="291">
        <f t="shared" si="9"/>
        <v>0</v>
      </c>
      <c r="M62" s="295">
        <f t="shared" si="10"/>
        <v>19700823</v>
      </c>
    </row>
    <row r="63" spans="1:13" ht="23.25" customHeight="1">
      <c r="A63" s="296" t="s">
        <v>438</v>
      </c>
      <c r="B63" s="298" t="s">
        <v>826</v>
      </c>
      <c r="C63" s="346" t="s">
        <v>863</v>
      </c>
      <c r="D63" s="311"/>
      <c r="E63" s="312"/>
      <c r="F63" s="291">
        <f t="shared" si="7"/>
        <v>0</v>
      </c>
      <c r="G63" s="313"/>
      <c r="H63" s="312"/>
      <c r="I63" s="291">
        <f t="shared" si="8"/>
        <v>0</v>
      </c>
      <c r="J63" s="304"/>
      <c r="K63" s="304"/>
      <c r="L63" s="291">
        <f t="shared" si="9"/>
        <v>0</v>
      </c>
      <c r="M63" s="295">
        <f t="shared" si="10"/>
        <v>0</v>
      </c>
    </row>
    <row r="64" spans="1:13" ht="23.25" customHeight="1">
      <c r="A64" s="296" t="s">
        <v>439</v>
      </c>
      <c r="B64" s="298" t="s">
        <v>827</v>
      </c>
      <c r="C64" s="308" t="s">
        <v>859</v>
      </c>
      <c r="D64" s="311"/>
      <c r="E64" s="312"/>
      <c r="F64" s="291">
        <f t="shared" si="7"/>
        <v>0</v>
      </c>
      <c r="G64" s="313"/>
      <c r="H64" s="312"/>
      <c r="I64" s="291">
        <f t="shared" si="8"/>
        <v>0</v>
      </c>
      <c r="J64" s="304"/>
      <c r="K64" s="304"/>
      <c r="L64" s="291">
        <f t="shared" si="9"/>
        <v>0</v>
      </c>
      <c r="M64" s="295">
        <f t="shared" si="10"/>
        <v>0</v>
      </c>
    </row>
    <row r="65" spans="1:13" ht="23.25" customHeight="1" thickBot="1">
      <c r="A65" s="328" t="s">
        <v>440</v>
      </c>
      <c r="B65" s="329" t="s">
        <v>614</v>
      </c>
      <c r="C65" s="308" t="s">
        <v>864</v>
      </c>
      <c r="D65" s="330"/>
      <c r="E65" s="331"/>
      <c r="F65" s="327">
        <f t="shared" si="7"/>
        <v>0</v>
      </c>
      <c r="G65" s="330">
        <f>7192125-947010</f>
        <v>6245115</v>
      </c>
      <c r="H65" s="331"/>
      <c r="I65" s="327">
        <f t="shared" si="8"/>
        <v>6245115</v>
      </c>
      <c r="J65" s="330"/>
      <c r="K65" s="331"/>
      <c r="L65" s="327">
        <f t="shared" si="9"/>
        <v>0</v>
      </c>
      <c r="M65" s="295">
        <f t="shared" si="10"/>
        <v>6245115</v>
      </c>
    </row>
    <row r="66" spans="1:16" ht="27.75" customHeight="1" thickBot="1">
      <c r="A66" s="905" t="s">
        <v>655</v>
      </c>
      <c r="B66" s="906"/>
      <c r="C66" s="907"/>
      <c r="D66" s="332">
        <f>SUM(D58:D65)</f>
        <v>240694459</v>
      </c>
      <c r="E66" s="628">
        <f aca="true" t="shared" si="11" ref="E66:L66">SUM(E58:E65)</f>
        <v>755190</v>
      </c>
      <c r="F66" s="627">
        <f t="shared" si="11"/>
        <v>241449649</v>
      </c>
      <c r="G66" s="332">
        <f t="shared" si="11"/>
        <v>6245115</v>
      </c>
      <c r="H66" s="628">
        <f t="shared" si="11"/>
        <v>0</v>
      </c>
      <c r="I66" s="627">
        <f t="shared" si="11"/>
        <v>6245115</v>
      </c>
      <c r="J66" s="332">
        <f t="shared" si="11"/>
        <v>0</v>
      </c>
      <c r="K66" s="628">
        <f t="shared" si="11"/>
        <v>0</v>
      </c>
      <c r="L66" s="627">
        <f t="shared" si="11"/>
        <v>0</v>
      </c>
      <c r="M66" s="326">
        <f>SUM(M58:M65)</f>
        <v>247694764</v>
      </c>
      <c r="P66" s="631">
        <f>SUM(L66,I66,F66)</f>
        <v>247694764</v>
      </c>
    </row>
    <row r="67" spans="1:13" s="271" customFormat="1" ht="16.5" thickBot="1">
      <c r="A67" s="893" t="s">
        <v>558</v>
      </c>
      <c r="B67" s="894"/>
      <c r="C67" s="895"/>
      <c r="D67" s="333">
        <f aca="true" t="shared" si="12" ref="D67:M67">D54+D57+D66</f>
        <v>1071394333</v>
      </c>
      <c r="E67" s="333">
        <f t="shared" si="12"/>
        <v>83696813</v>
      </c>
      <c r="F67" s="334">
        <f t="shared" si="12"/>
        <v>1155091146</v>
      </c>
      <c r="G67" s="629">
        <f t="shared" si="12"/>
        <v>72340574</v>
      </c>
      <c r="H67" s="333">
        <f t="shared" si="12"/>
        <v>49464059</v>
      </c>
      <c r="I67" s="334">
        <f t="shared" si="12"/>
        <v>121804633</v>
      </c>
      <c r="J67" s="629">
        <f t="shared" si="12"/>
        <v>47334244</v>
      </c>
      <c r="K67" s="333">
        <f t="shared" si="12"/>
        <v>342773</v>
      </c>
      <c r="L67" s="334">
        <f t="shared" si="12"/>
        <v>47677017</v>
      </c>
      <c r="M67" s="335">
        <f t="shared" si="12"/>
        <v>1324572796</v>
      </c>
    </row>
    <row r="70" spans="1:2" ht="12.75">
      <c r="A70" s="206" t="s">
        <v>559</v>
      </c>
      <c r="B70" s="206" t="s">
        <v>560</v>
      </c>
    </row>
    <row r="71" spans="1:2" ht="12.75">
      <c r="A71" s="206" t="s">
        <v>561</v>
      </c>
      <c r="B71" s="206" t="s">
        <v>562</v>
      </c>
    </row>
    <row r="72" spans="1:2" ht="12.75">
      <c r="A72" s="206" t="s">
        <v>563</v>
      </c>
      <c r="B72" s="206" t="s">
        <v>564</v>
      </c>
    </row>
    <row r="73" spans="1:2" ht="12.75">
      <c r="A73" s="206" t="s">
        <v>565</v>
      </c>
      <c r="B73" s="206" t="s">
        <v>566</v>
      </c>
    </row>
    <row r="74" spans="1:2" ht="12.75">
      <c r="A74" s="206" t="s">
        <v>567</v>
      </c>
      <c r="B74" s="206" t="s">
        <v>568</v>
      </c>
    </row>
    <row r="75" spans="1:2" ht="12.75">
      <c r="A75" s="206" t="s">
        <v>695</v>
      </c>
      <c r="B75" s="206" t="s">
        <v>694</v>
      </c>
    </row>
  </sheetData>
  <sheetProtection/>
  <mergeCells count="14">
    <mergeCell ref="G1:M1"/>
    <mergeCell ref="M6:M8"/>
    <mergeCell ref="A3:M4"/>
    <mergeCell ref="C6:C8"/>
    <mergeCell ref="G6:I7"/>
    <mergeCell ref="J6:L7"/>
    <mergeCell ref="A67:C67"/>
    <mergeCell ref="A57:C57"/>
    <mergeCell ref="D6:F7"/>
    <mergeCell ref="A66:C66"/>
    <mergeCell ref="B5:B8"/>
    <mergeCell ref="A5:A8"/>
    <mergeCell ref="C5:M5"/>
    <mergeCell ref="A54:C54"/>
  </mergeCells>
  <printOptions horizontalCentered="1"/>
  <pageMargins left="0.3937007874015748" right="0.3937007874015748" top="0.9055118110236221" bottom="0.7874015748031497" header="0.5118110236220472" footer="0.5118110236220472"/>
  <pageSetup horizontalDpi="600" verticalDpi="600" orientation="landscape" paperSize="9" scale="69" r:id="rId1"/>
  <rowBreaks count="2" manualBreakCount="2">
    <brk id="28" max="12" man="1"/>
    <brk id="54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O82"/>
  <sheetViews>
    <sheetView zoomScalePageLayoutView="0" workbookViewId="0" topLeftCell="T1">
      <selection activeCell="T2" sqref="T2"/>
    </sheetView>
  </sheetViews>
  <sheetFormatPr defaultColWidth="9.00390625" defaultRowHeight="12.75"/>
  <cols>
    <col min="1" max="2" width="9.125" style="206" customWidth="1"/>
    <col min="3" max="3" width="19.125" style="206" customWidth="1"/>
    <col min="4" max="4" width="18.00390625" style="206" bestFit="1" customWidth="1"/>
    <col min="5" max="5" width="15.75390625" style="206" bestFit="1" customWidth="1"/>
    <col min="6" max="6" width="18.00390625" style="206" bestFit="1" customWidth="1"/>
    <col min="7" max="7" width="12.625" style="206" customWidth="1"/>
    <col min="8" max="8" width="18.875" style="206" customWidth="1"/>
    <col min="9" max="9" width="9.25390625" style="206" bestFit="1" customWidth="1"/>
    <col min="10" max="10" width="11.375" style="206" bestFit="1" customWidth="1"/>
    <col min="11" max="11" width="19.25390625" style="206" customWidth="1"/>
    <col min="12" max="12" width="9.75390625" style="206" customWidth="1"/>
    <col min="13" max="13" width="9.125" style="206" customWidth="1"/>
    <col min="14" max="14" width="12.625" style="206" customWidth="1"/>
    <col min="15" max="15" width="8.125" style="206" customWidth="1"/>
    <col min="16" max="16" width="11.375" style="206" bestFit="1" customWidth="1"/>
    <col min="17" max="17" width="12.375" style="206" bestFit="1" customWidth="1"/>
    <col min="18" max="20" width="9.125" style="206" customWidth="1"/>
    <col min="21" max="21" width="9.875" style="206" customWidth="1"/>
    <col min="22" max="22" width="13.125" style="206" customWidth="1"/>
    <col min="23" max="23" width="16.625" style="206" bestFit="1" customWidth="1"/>
    <col min="24" max="24" width="18.00390625" style="347" bestFit="1" customWidth="1"/>
    <col min="25" max="25" width="18.25390625" style="347" customWidth="1"/>
    <col min="26" max="26" width="18.75390625" style="347" customWidth="1"/>
    <col min="27" max="27" width="19.75390625" style="347" bestFit="1" customWidth="1"/>
    <col min="28" max="28" width="17.375" style="347" bestFit="1" customWidth="1"/>
    <col min="29" max="29" width="19.75390625" style="347" bestFit="1" customWidth="1"/>
    <col min="30" max="223" width="9.125" style="347" customWidth="1"/>
    <col min="224" max="16384" width="9.125" style="206" customWidth="1"/>
  </cols>
  <sheetData>
    <row r="1" spans="1:28" ht="15">
      <c r="A1" s="273"/>
      <c r="B1" s="274"/>
      <c r="C1" s="275"/>
      <c r="H1" s="274"/>
      <c r="I1" s="274"/>
      <c r="J1" s="274"/>
      <c r="K1" s="276"/>
      <c r="L1" s="276"/>
      <c r="M1" s="276"/>
      <c r="N1" s="274"/>
      <c r="T1" s="963" t="s">
        <v>1019</v>
      </c>
      <c r="U1" s="964"/>
      <c r="V1" s="964"/>
      <c r="W1" s="964"/>
      <c r="X1" s="965"/>
      <c r="Y1" s="965"/>
      <c r="Z1" s="965"/>
      <c r="AA1" s="965"/>
      <c r="AB1" s="965"/>
    </row>
    <row r="2" spans="1:14" ht="12.75">
      <c r="A2" s="273"/>
      <c r="B2" s="274"/>
      <c r="C2" s="275"/>
      <c r="D2" s="277"/>
      <c r="E2" s="278"/>
      <c r="F2" s="278"/>
      <c r="G2" s="278"/>
      <c r="H2" s="274"/>
      <c r="I2" s="274"/>
      <c r="J2" s="274"/>
      <c r="K2" s="276"/>
      <c r="L2" s="276"/>
      <c r="M2" s="276"/>
      <c r="N2" s="274"/>
    </row>
    <row r="3" spans="1:29" ht="15.75" customHeight="1">
      <c r="A3" s="990" t="s">
        <v>868</v>
      </c>
      <c r="B3" s="990"/>
      <c r="C3" s="990"/>
      <c r="D3" s="990"/>
      <c r="E3" s="990"/>
      <c r="F3" s="990"/>
      <c r="G3" s="990"/>
      <c r="H3" s="990"/>
      <c r="I3" s="990"/>
      <c r="J3" s="990"/>
      <c r="K3" s="990"/>
      <c r="L3" s="990"/>
      <c r="M3" s="990"/>
      <c r="N3" s="990"/>
      <c r="O3" s="990"/>
      <c r="P3" s="990"/>
      <c r="Q3" s="990"/>
      <c r="R3" s="990"/>
      <c r="S3" s="990"/>
      <c r="T3" s="990"/>
      <c r="U3" s="990"/>
      <c r="V3" s="990"/>
      <c r="W3" s="990"/>
      <c r="X3" s="990"/>
      <c r="Y3" s="990"/>
      <c r="Z3" s="990"/>
      <c r="AA3" s="990"/>
      <c r="AB3" s="990"/>
      <c r="AC3" s="990"/>
    </row>
    <row r="4" spans="1:29" ht="15.75" customHeight="1">
      <c r="A4" s="621"/>
      <c r="B4" s="621"/>
      <c r="C4" s="621"/>
      <c r="D4" s="621"/>
      <c r="E4" s="621"/>
      <c r="F4" s="621"/>
      <c r="G4" s="621"/>
      <c r="H4" s="621"/>
      <c r="I4" s="621"/>
      <c r="J4" s="621"/>
      <c r="K4" s="621"/>
      <c r="L4" s="621"/>
      <c r="M4" s="621"/>
      <c r="N4" s="621"/>
      <c r="O4" s="621"/>
      <c r="P4" s="621"/>
      <c r="Q4" s="621"/>
      <c r="R4" s="621"/>
      <c r="S4" s="621"/>
      <c r="T4" s="621"/>
      <c r="U4" s="621"/>
      <c r="V4" s="621"/>
      <c r="W4" s="621"/>
      <c r="X4" s="621"/>
      <c r="Y4" s="621"/>
      <c r="Z4" s="621"/>
      <c r="AA4" s="621"/>
      <c r="AB4" s="621"/>
      <c r="AC4" s="621"/>
    </row>
    <row r="5" spans="1:29" ht="13.5" customHeight="1" thickBot="1">
      <c r="A5" s="622"/>
      <c r="B5" s="622"/>
      <c r="C5" s="622"/>
      <c r="D5" s="622"/>
      <c r="E5" s="622"/>
      <c r="F5" s="622"/>
      <c r="G5" s="622"/>
      <c r="H5" s="622"/>
      <c r="I5" s="622"/>
      <c r="J5" s="622"/>
      <c r="K5" s="622"/>
      <c r="L5" s="622"/>
      <c r="M5" s="622"/>
      <c r="N5" s="622"/>
      <c r="O5" s="622"/>
      <c r="P5" s="622"/>
      <c r="Q5" s="622"/>
      <c r="R5" s="622"/>
      <c r="S5" s="622"/>
      <c r="T5" s="622"/>
      <c r="U5" s="622"/>
      <c r="V5" s="622"/>
      <c r="W5" s="622"/>
      <c r="X5" s="622"/>
      <c r="Y5" s="622"/>
      <c r="Z5" s="622"/>
      <c r="AA5" s="622"/>
      <c r="AB5" s="622"/>
      <c r="AC5" s="622"/>
    </row>
    <row r="6" spans="1:223" s="348" customFormat="1" ht="15" customHeight="1" thickBot="1" thickTop="1">
      <c r="A6" s="971" t="s">
        <v>103</v>
      </c>
      <c r="B6" s="972"/>
      <c r="C6" s="972"/>
      <c r="D6" s="981" t="s">
        <v>395</v>
      </c>
      <c r="E6" s="982"/>
      <c r="F6" s="983"/>
      <c r="G6" s="984" t="s">
        <v>569</v>
      </c>
      <c r="H6" s="985"/>
      <c r="I6" s="985"/>
      <c r="J6" s="985"/>
      <c r="K6" s="986"/>
      <c r="L6" s="975" t="s">
        <v>570</v>
      </c>
      <c r="M6" s="976"/>
      <c r="N6" s="976"/>
      <c r="O6" s="976"/>
      <c r="P6" s="976"/>
      <c r="Q6" s="977"/>
      <c r="R6" s="975" t="s">
        <v>571</v>
      </c>
      <c r="S6" s="976"/>
      <c r="T6" s="976"/>
      <c r="U6" s="976"/>
      <c r="V6" s="976"/>
      <c r="W6" s="976"/>
      <c r="X6" s="966" t="s">
        <v>572</v>
      </c>
      <c r="Y6" s="967"/>
      <c r="Z6" s="967"/>
      <c r="AA6" s="968" t="s">
        <v>104</v>
      </c>
      <c r="AB6" s="969"/>
      <c r="AC6" s="970"/>
      <c r="AD6" s="347"/>
      <c r="AE6" s="347"/>
      <c r="AF6" s="347"/>
      <c r="AG6" s="347"/>
      <c r="AH6" s="347"/>
      <c r="AI6" s="347"/>
      <c r="AJ6" s="347"/>
      <c r="AK6" s="347"/>
      <c r="AL6" s="347"/>
      <c r="AM6" s="347"/>
      <c r="AN6" s="347"/>
      <c r="AO6" s="347"/>
      <c r="AP6" s="347"/>
      <c r="AQ6" s="347"/>
      <c r="AR6" s="347"/>
      <c r="AS6" s="347"/>
      <c r="AT6" s="347"/>
      <c r="AU6" s="347"/>
      <c r="AV6" s="347"/>
      <c r="AW6" s="347"/>
      <c r="AX6" s="347"/>
      <c r="AY6" s="347"/>
      <c r="AZ6" s="347"/>
      <c r="BA6" s="347"/>
      <c r="BB6" s="347"/>
      <c r="BC6" s="347"/>
      <c r="BD6" s="347"/>
      <c r="BE6" s="347"/>
      <c r="BF6" s="347"/>
      <c r="BG6" s="347"/>
      <c r="BH6" s="347"/>
      <c r="BI6" s="347"/>
      <c r="BJ6" s="347"/>
      <c r="BK6" s="347"/>
      <c r="BL6" s="347"/>
      <c r="BM6" s="347"/>
      <c r="BN6" s="347"/>
      <c r="BO6" s="347"/>
      <c r="BP6" s="347"/>
      <c r="BQ6" s="347"/>
      <c r="BR6" s="347"/>
      <c r="BS6" s="347"/>
      <c r="BT6" s="347"/>
      <c r="BU6" s="347"/>
      <c r="BV6" s="347"/>
      <c r="BW6" s="347"/>
      <c r="BX6" s="347"/>
      <c r="BY6" s="347"/>
      <c r="BZ6" s="347"/>
      <c r="CA6" s="347"/>
      <c r="CB6" s="347"/>
      <c r="CC6" s="347"/>
      <c r="CD6" s="347"/>
      <c r="CE6" s="347"/>
      <c r="CF6" s="347"/>
      <c r="CG6" s="347"/>
      <c r="CH6" s="347"/>
      <c r="CI6" s="347"/>
      <c r="CJ6" s="347"/>
      <c r="CK6" s="347"/>
      <c r="CL6" s="347"/>
      <c r="CM6" s="347"/>
      <c r="CN6" s="347"/>
      <c r="CO6" s="347"/>
      <c r="CP6" s="347"/>
      <c r="CQ6" s="347"/>
      <c r="CR6" s="347"/>
      <c r="CS6" s="347"/>
      <c r="CT6" s="347"/>
      <c r="CU6" s="347"/>
      <c r="CV6" s="347"/>
      <c r="CW6" s="347"/>
      <c r="CX6" s="347"/>
      <c r="CY6" s="347"/>
      <c r="CZ6" s="347"/>
      <c r="DA6" s="347"/>
      <c r="DB6" s="347"/>
      <c r="DC6" s="347"/>
      <c r="DD6" s="347"/>
      <c r="DE6" s="347"/>
      <c r="DF6" s="347"/>
      <c r="DG6" s="347"/>
      <c r="DH6" s="347"/>
      <c r="DI6" s="347"/>
      <c r="DJ6" s="347"/>
      <c r="DK6" s="347"/>
      <c r="DL6" s="347"/>
      <c r="DM6" s="347"/>
      <c r="DN6" s="347"/>
      <c r="DO6" s="347"/>
      <c r="DP6" s="347"/>
      <c r="DQ6" s="347"/>
      <c r="DR6" s="347"/>
      <c r="DS6" s="347"/>
      <c r="DT6" s="347"/>
      <c r="DU6" s="347"/>
      <c r="DV6" s="347"/>
      <c r="DW6" s="347"/>
      <c r="DX6" s="347"/>
      <c r="DY6" s="347"/>
      <c r="DZ6" s="347"/>
      <c r="EA6" s="347"/>
      <c r="EB6" s="347"/>
      <c r="EC6" s="347"/>
      <c r="ED6" s="347"/>
      <c r="EE6" s="347"/>
      <c r="EF6" s="347"/>
      <c r="EG6" s="347"/>
      <c r="EH6" s="347"/>
      <c r="EI6" s="347"/>
      <c r="EJ6" s="347"/>
      <c r="EK6" s="347"/>
      <c r="EL6" s="347"/>
      <c r="EM6" s="347"/>
      <c r="EN6" s="347"/>
      <c r="EO6" s="347"/>
      <c r="EP6" s="347"/>
      <c r="EQ6" s="347"/>
      <c r="ER6" s="347"/>
      <c r="ES6" s="347"/>
      <c r="ET6" s="347"/>
      <c r="EU6" s="347"/>
      <c r="EV6" s="347"/>
      <c r="EW6" s="347"/>
      <c r="EX6" s="347"/>
      <c r="EY6" s="347"/>
      <c r="EZ6" s="347"/>
      <c r="FA6" s="347"/>
      <c r="FB6" s="347"/>
      <c r="FC6" s="347"/>
      <c r="FD6" s="347"/>
      <c r="FE6" s="347"/>
      <c r="FF6" s="347"/>
      <c r="FG6" s="347"/>
      <c r="FH6" s="347"/>
      <c r="FI6" s="347"/>
      <c r="FJ6" s="347"/>
      <c r="FK6" s="347"/>
      <c r="FL6" s="347"/>
      <c r="FM6" s="347"/>
      <c r="FN6" s="347"/>
      <c r="FO6" s="347"/>
      <c r="FP6" s="347"/>
      <c r="FQ6" s="347"/>
      <c r="FR6" s="347"/>
      <c r="FS6" s="347"/>
      <c r="FT6" s="347"/>
      <c r="FU6" s="347"/>
      <c r="FV6" s="347"/>
      <c r="FW6" s="347"/>
      <c r="FX6" s="347"/>
      <c r="FY6" s="347"/>
      <c r="FZ6" s="347"/>
      <c r="GA6" s="347"/>
      <c r="GB6" s="347"/>
      <c r="GC6" s="347"/>
      <c r="GD6" s="347"/>
      <c r="GE6" s="347"/>
      <c r="GF6" s="347"/>
      <c r="GG6" s="347"/>
      <c r="GH6" s="347"/>
      <c r="GI6" s="347"/>
      <c r="GJ6" s="347"/>
      <c r="GK6" s="347"/>
      <c r="GL6" s="347"/>
      <c r="GM6" s="347"/>
      <c r="GN6" s="347"/>
      <c r="GO6" s="347"/>
      <c r="GP6" s="347"/>
      <c r="GQ6" s="347"/>
      <c r="GR6" s="347"/>
      <c r="GS6" s="347"/>
      <c r="GT6" s="347"/>
      <c r="GU6" s="347"/>
      <c r="GV6" s="347"/>
      <c r="GW6" s="347"/>
      <c r="GX6" s="347"/>
      <c r="GY6" s="347"/>
      <c r="GZ6" s="347"/>
      <c r="HA6" s="347"/>
      <c r="HB6" s="347"/>
      <c r="HC6" s="347"/>
      <c r="HD6" s="347"/>
      <c r="HE6" s="347"/>
      <c r="HF6" s="347"/>
      <c r="HG6" s="347"/>
      <c r="HH6" s="347"/>
      <c r="HI6" s="347"/>
      <c r="HJ6" s="347"/>
      <c r="HK6" s="347"/>
      <c r="HL6" s="347"/>
      <c r="HM6" s="347"/>
      <c r="HN6" s="347"/>
      <c r="HO6" s="347"/>
    </row>
    <row r="7" spans="1:29" s="347" customFormat="1" ht="16.5" customHeight="1" thickBot="1">
      <c r="A7" s="973"/>
      <c r="B7" s="974"/>
      <c r="C7" s="974"/>
      <c r="D7" s="349" t="s">
        <v>105</v>
      </c>
      <c r="E7" s="454" t="s">
        <v>101</v>
      </c>
      <c r="F7" s="350" t="s">
        <v>106</v>
      </c>
      <c r="G7" s="987"/>
      <c r="H7" s="988"/>
      <c r="I7" s="988"/>
      <c r="J7" s="988"/>
      <c r="K7" s="989"/>
      <c r="L7" s="978"/>
      <c r="M7" s="979"/>
      <c r="N7" s="979"/>
      <c r="O7" s="979"/>
      <c r="P7" s="979"/>
      <c r="Q7" s="980"/>
      <c r="R7" s="978"/>
      <c r="S7" s="979"/>
      <c r="T7" s="979"/>
      <c r="U7" s="979"/>
      <c r="V7" s="979"/>
      <c r="W7" s="979"/>
      <c r="X7" s="351" t="s">
        <v>105</v>
      </c>
      <c r="Y7" s="556" t="s">
        <v>101</v>
      </c>
      <c r="Z7" s="352" t="s">
        <v>106</v>
      </c>
      <c r="AA7" s="353" t="s">
        <v>105</v>
      </c>
      <c r="AB7" s="557" t="s">
        <v>101</v>
      </c>
      <c r="AC7" s="354" t="s">
        <v>106</v>
      </c>
    </row>
    <row r="8" spans="1:29" s="370" customFormat="1" ht="26.25" customHeight="1">
      <c r="A8" s="355"/>
      <c r="B8" s="356"/>
      <c r="C8" s="357"/>
      <c r="D8" s="358"/>
      <c r="E8" s="356"/>
      <c r="F8" s="359"/>
      <c r="G8" s="959" t="s">
        <v>573</v>
      </c>
      <c r="H8" s="960"/>
      <c r="I8" s="960"/>
      <c r="J8" s="360">
        <f>63536320+13776653+765000</f>
        <v>78077973</v>
      </c>
      <c r="K8" s="954">
        <f>SUM(J8:J21)</f>
        <v>175677455</v>
      </c>
      <c r="L8" s="961"/>
      <c r="M8" s="962"/>
      <c r="N8" s="962"/>
      <c r="O8" s="962"/>
      <c r="P8" s="361"/>
      <c r="Q8" s="956">
        <f>SUM(P8:P21)</f>
        <v>188722328</v>
      </c>
      <c r="R8" s="944" t="s">
        <v>262</v>
      </c>
      <c r="S8" s="945"/>
      <c r="T8" s="945"/>
      <c r="U8" s="945"/>
      <c r="V8" s="619">
        <f>182000000+50000-50000</f>
        <v>182000000</v>
      </c>
      <c r="W8" s="931">
        <f>SUM(V8:V21)</f>
        <v>289588460</v>
      </c>
      <c r="X8" s="364"/>
      <c r="Y8" s="365"/>
      <c r="Z8" s="366"/>
      <c r="AA8" s="367"/>
      <c r="AB8" s="368"/>
      <c r="AC8" s="369"/>
    </row>
    <row r="9" spans="1:29" s="370" customFormat="1" ht="27" customHeight="1">
      <c r="A9" s="355"/>
      <c r="B9" s="356"/>
      <c r="C9" s="358"/>
      <c r="D9" s="358"/>
      <c r="E9" s="356"/>
      <c r="F9" s="359"/>
      <c r="G9" s="950" t="s">
        <v>601</v>
      </c>
      <c r="H9" s="947"/>
      <c r="I9" s="947"/>
      <c r="J9" s="360">
        <v>10164240</v>
      </c>
      <c r="K9" s="928"/>
      <c r="L9" s="946" t="s">
        <v>574</v>
      </c>
      <c r="M9" s="947"/>
      <c r="N9" s="947"/>
      <c r="O9" s="947"/>
      <c r="P9" s="360">
        <v>3339510</v>
      </c>
      <c r="Q9" s="957"/>
      <c r="R9" s="948" t="s">
        <v>950</v>
      </c>
      <c r="S9" s="949"/>
      <c r="T9" s="949"/>
      <c r="U9" s="949"/>
      <c r="V9" s="619">
        <f>500000+135000+1850953+451243</f>
        <v>2937196</v>
      </c>
      <c r="W9" s="999"/>
      <c r="X9" s="371"/>
      <c r="Y9" s="365"/>
      <c r="Z9" s="372"/>
      <c r="AA9" s="355"/>
      <c r="AB9" s="373"/>
      <c r="AC9" s="374"/>
    </row>
    <row r="10" spans="1:29" s="370" customFormat="1" ht="24.75" customHeight="1">
      <c r="A10" s="375"/>
      <c r="B10" s="376"/>
      <c r="C10" s="377" t="s">
        <v>541</v>
      </c>
      <c r="D10" s="378">
        <f>SUM('5. kiadások megbontása'!D54)</f>
        <v>698907897</v>
      </c>
      <c r="E10" s="379">
        <f>SUM('5. kiadások megbontása'!E54)</f>
        <v>82441623</v>
      </c>
      <c r="F10" s="380">
        <f>SUM(D10:E10)</f>
        <v>781349520</v>
      </c>
      <c r="G10" s="950" t="s">
        <v>901</v>
      </c>
      <c r="H10" s="947"/>
      <c r="I10" s="947"/>
      <c r="J10" s="360">
        <v>43788419</v>
      </c>
      <c r="K10" s="928"/>
      <c r="L10" s="944" t="s">
        <v>575</v>
      </c>
      <c r="M10" s="945"/>
      <c r="N10" s="945"/>
      <c r="O10" s="945"/>
      <c r="P10" s="619">
        <v>12348000</v>
      </c>
      <c r="Q10" s="957"/>
      <c r="R10" s="944" t="s">
        <v>896</v>
      </c>
      <c r="S10" s="945"/>
      <c r="T10" s="945"/>
      <c r="U10" s="945"/>
      <c r="V10" s="619">
        <f>3030380+818203</f>
        <v>3848583</v>
      </c>
      <c r="W10" s="999"/>
      <c r="X10" s="381"/>
      <c r="Y10" s="382"/>
      <c r="Z10" s="372"/>
      <c r="AA10" s="383"/>
      <c r="AB10" s="384"/>
      <c r="AC10" s="385"/>
    </row>
    <row r="11" spans="1:29" s="370" customFormat="1" ht="25.5" customHeight="1">
      <c r="A11" s="386"/>
      <c r="B11" s="387"/>
      <c r="C11" s="388"/>
      <c r="D11" s="388"/>
      <c r="E11" s="356"/>
      <c r="F11" s="359"/>
      <c r="G11" s="950"/>
      <c r="H11" s="947"/>
      <c r="I11" s="947"/>
      <c r="J11" s="360"/>
      <c r="K11" s="928"/>
      <c r="L11" s="946" t="s">
        <v>576</v>
      </c>
      <c r="M11" s="947"/>
      <c r="N11" s="947"/>
      <c r="O11" s="947"/>
      <c r="P11" s="619">
        <v>19620000</v>
      </c>
      <c r="Q11" s="957"/>
      <c r="R11" s="948" t="s">
        <v>130</v>
      </c>
      <c r="S11" s="949"/>
      <c r="T11" s="949"/>
      <c r="U11" s="949"/>
      <c r="V11" s="619">
        <f>9016325+4800000+1296000+67100</f>
        <v>15179425</v>
      </c>
      <c r="W11" s="999"/>
      <c r="X11" s="381"/>
      <c r="Y11" s="382"/>
      <c r="Z11" s="372"/>
      <c r="AA11" s="383"/>
      <c r="AB11" s="384"/>
      <c r="AC11" s="385"/>
    </row>
    <row r="12" spans="1:29" s="370" customFormat="1" ht="24.75" customHeight="1">
      <c r="A12" s="386"/>
      <c r="B12" s="387"/>
      <c r="C12" s="388"/>
      <c r="D12" s="388"/>
      <c r="E12" s="356"/>
      <c r="F12" s="359"/>
      <c r="G12" s="950" t="s">
        <v>700</v>
      </c>
      <c r="H12" s="947"/>
      <c r="I12" s="947"/>
      <c r="J12" s="360">
        <v>2254350</v>
      </c>
      <c r="K12" s="928"/>
      <c r="L12" s="946" t="s">
        <v>938</v>
      </c>
      <c r="M12" s="947"/>
      <c r="N12" s="947"/>
      <c r="O12" s="947"/>
      <c r="P12" s="360">
        <v>3850000</v>
      </c>
      <c r="Q12" s="957"/>
      <c r="R12" s="948" t="s">
        <v>893</v>
      </c>
      <c r="S12" s="949"/>
      <c r="T12" s="949"/>
      <c r="U12" s="949"/>
      <c r="V12" s="619">
        <v>50000</v>
      </c>
      <c r="W12" s="999"/>
      <c r="X12" s="381"/>
      <c r="Y12" s="382"/>
      <c r="Z12" s="372"/>
      <c r="AA12" s="383"/>
      <c r="AB12" s="384"/>
      <c r="AC12" s="385"/>
    </row>
    <row r="13" spans="1:29" s="370" customFormat="1" ht="15.75" customHeight="1">
      <c r="A13" s="386"/>
      <c r="B13" s="387"/>
      <c r="C13" s="388"/>
      <c r="D13" s="388"/>
      <c r="E13" s="356"/>
      <c r="F13" s="359"/>
      <c r="G13" s="938" t="s">
        <v>615</v>
      </c>
      <c r="H13" s="938"/>
      <c r="I13" s="938"/>
      <c r="J13" s="360">
        <f>54007000-J48</f>
        <v>32391954</v>
      </c>
      <c r="K13" s="928"/>
      <c r="L13" s="937" t="s">
        <v>944</v>
      </c>
      <c r="M13" s="938"/>
      <c r="N13" s="938"/>
      <c r="O13" s="938"/>
      <c r="P13" s="389">
        <v>108223380</v>
      </c>
      <c r="Q13" s="957"/>
      <c r="R13" s="946" t="s">
        <v>303</v>
      </c>
      <c r="S13" s="947"/>
      <c r="T13" s="947"/>
      <c r="U13" s="947"/>
      <c r="V13" s="360">
        <f>639000+105030</f>
        <v>744030</v>
      </c>
      <c r="W13" s="999"/>
      <c r="X13" s="381"/>
      <c r="Y13" s="382"/>
      <c r="Z13" s="372"/>
      <c r="AA13" s="383"/>
      <c r="AB13" s="384"/>
      <c r="AC13" s="385"/>
    </row>
    <row r="14" spans="1:29" s="370" customFormat="1" ht="16.5" customHeight="1">
      <c r="A14" s="386"/>
      <c r="B14" s="387"/>
      <c r="C14" s="388"/>
      <c r="D14" s="388"/>
      <c r="E14" s="356"/>
      <c r="F14" s="390"/>
      <c r="G14" s="938" t="s">
        <v>890</v>
      </c>
      <c r="H14" s="938"/>
      <c r="I14" s="938"/>
      <c r="J14" s="360">
        <v>95885</v>
      </c>
      <c r="K14" s="928"/>
      <c r="L14" s="937" t="s">
        <v>946</v>
      </c>
      <c r="M14" s="938"/>
      <c r="N14" s="938"/>
      <c r="O14" s="938"/>
      <c r="P14" s="391">
        <v>40591438</v>
      </c>
      <c r="Q14" s="957"/>
      <c r="R14" s="946" t="s">
        <v>897</v>
      </c>
      <c r="S14" s="947"/>
      <c r="T14" s="947"/>
      <c r="U14" s="947"/>
      <c r="V14" s="360">
        <f>3145064+175500+540+444395+32122+20948+80928+19072</f>
        <v>3918569</v>
      </c>
      <c r="W14" s="999"/>
      <c r="X14" s="392">
        <f>SUM(W8,Q8,K8)</f>
        <v>653988243</v>
      </c>
      <c r="Y14" s="393">
        <f>SUM(Q22,W22,K22)</f>
        <v>232935957</v>
      </c>
      <c r="Z14" s="394">
        <f>SUM(Y14,X14)</f>
        <v>886924200</v>
      </c>
      <c r="AA14" s="392">
        <f>X14-D10</f>
        <v>-44919654</v>
      </c>
      <c r="AB14" s="393">
        <f>Y14-E10</f>
        <v>150494334</v>
      </c>
      <c r="AC14" s="395">
        <f>SUM(AA14:AB14)</f>
        <v>105574680</v>
      </c>
    </row>
    <row r="15" spans="1:29" s="347" customFormat="1" ht="24" customHeight="1">
      <c r="A15" s="396"/>
      <c r="B15" s="397"/>
      <c r="C15" s="398"/>
      <c r="D15" s="398"/>
      <c r="E15" s="399"/>
      <c r="F15" s="400"/>
      <c r="G15" s="950" t="s">
        <v>941</v>
      </c>
      <c r="H15" s="947"/>
      <c r="I15" s="947"/>
      <c r="J15" s="360">
        <v>340746</v>
      </c>
      <c r="K15" s="928"/>
      <c r="L15" s="946" t="s">
        <v>948</v>
      </c>
      <c r="M15" s="947"/>
      <c r="N15" s="947"/>
      <c r="O15" s="947"/>
      <c r="P15" s="391">
        <v>750000</v>
      </c>
      <c r="Q15" s="957"/>
      <c r="R15" s="937" t="s">
        <v>900</v>
      </c>
      <c r="S15" s="938"/>
      <c r="T15" s="938"/>
      <c r="U15" s="938"/>
      <c r="V15" s="401">
        <f>4247600+1146852</f>
        <v>5394452</v>
      </c>
      <c r="W15" s="999"/>
      <c r="X15" s="381"/>
      <c r="Y15" s="382"/>
      <c r="Z15" s="372"/>
      <c r="AA15" s="383"/>
      <c r="AB15" s="384"/>
      <c r="AC15" s="385"/>
    </row>
    <row r="16" spans="1:29" s="347" customFormat="1" ht="16.5" customHeight="1">
      <c r="A16" s="396"/>
      <c r="B16" s="397"/>
      <c r="C16" s="398"/>
      <c r="D16" s="398"/>
      <c r="E16" s="399"/>
      <c r="F16" s="400"/>
      <c r="G16" s="950" t="s">
        <v>943</v>
      </c>
      <c r="H16" s="947"/>
      <c r="I16" s="947"/>
      <c r="J16" s="360">
        <v>6949788</v>
      </c>
      <c r="K16" s="928"/>
      <c r="L16" s="946"/>
      <c r="M16" s="947"/>
      <c r="N16" s="947"/>
      <c r="O16" s="947"/>
      <c r="P16" s="360"/>
      <c r="Q16" s="957"/>
      <c r="R16" s="937" t="s">
        <v>898</v>
      </c>
      <c r="S16" s="938"/>
      <c r="T16" s="938"/>
      <c r="U16" s="938"/>
      <c r="V16" s="401">
        <v>6000</v>
      </c>
      <c r="W16" s="999"/>
      <c r="X16" s="381"/>
      <c r="Y16" s="382"/>
      <c r="Z16" s="372"/>
      <c r="AA16" s="383"/>
      <c r="AB16" s="384"/>
      <c r="AC16" s="385"/>
    </row>
    <row r="17" spans="1:29" s="347" customFormat="1" ht="24.75" customHeight="1">
      <c r="A17" s="396"/>
      <c r="B17" s="397"/>
      <c r="C17" s="398"/>
      <c r="D17" s="398"/>
      <c r="E17" s="399"/>
      <c r="F17" s="400"/>
      <c r="G17" s="946" t="s">
        <v>952</v>
      </c>
      <c r="H17" s="947"/>
      <c r="I17" s="947"/>
      <c r="J17" s="360">
        <v>1614100</v>
      </c>
      <c r="K17" s="928"/>
      <c r="L17" s="937"/>
      <c r="M17" s="938"/>
      <c r="N17" s="938"/>
      <c r="O17" s="938"/>
      <c r="P17" s="389"/>
      <c r="Q17" s="957"/>
      <c r="R17" s="937" t="s">
        <v>899</v>
      </c>
      <c r="S17" s="938"/>
      <c r="T17" s="938"/>
      <c r="U17" s="938"/>
      <c r="V17" s="401">
        <f>20790707+20000000+6865581+25367102</f>
        <v>73023390</v>
      </c>
      <c r="W17" s="999"/>
      <c r="X17" s="381"/>
      <c r="Y17" s="382"/>
      <c r="Z17" s="372"/>
      <c r="AA17" s="383"/>
      <c r="AB17" s="384"/>
      <c r="AC17" s="385"/>
    </row>
    <row r="18" spans="1:29" s="347" customFormat="1" ht="12.75" customHeight="1">
      <c r="A18" s="396"/>
      <c r="B18" s="397"/>
      <c r="C18" s="398"/>
      <c r="D18" s="398"/>
      <c r="E18" s="399"/>
      <c r="F18" s="400"/>
      <c r="J18" s="402"/>
      <c r="K18" s="928"/>
      <c r="L18" s="937"/>
      <c r="M18" s="938"/>
      <c r="N18" s="938"/>
      <c r="O18" s="938"/>
      <c r="P18" s="391"/>
      <c r="Q18" s="957"/>
      <c r="R18" s="937" t="s">
        <v>940</v>
      </c>
      <c r="S18" s="938"/>
      <c r="T18" s="938"/>
      <c r="U18" s="938"/>
      <c r="V18" s="401">
        <f>1486017+67767</f>
        <v>1553784</v>
      </c>
      <c r="W18" s="999"/>
      <c r="X18" s="381"/>
      <c r="Y18" s="382"/>
      <c r="Z18" s="372"/>
      <c r="AA18" s="383"/>
      <c r="AB18" s="384"/>
      <c r="AC18" s="385"/>
    </row>
    <row r="19" spans="1:29" s="347" customFormat="1" ht="27" customHeight="1">
      <c r="A19" s="396"/>
      <c r="B19" s="397"/>
      <c r="C19" s="398"/>
      <c r="D19" s="398"/>
      <c r="E19" s="399"/>
      <c r="F19" s="400"/>
      <c r="G19" s="935"/>
      <c r="H19" s="936"/>
      <c r="I19" s="936"/>
      <c r="J19" s="402"/>
      <c r="K19" s="928"/>
      <c r="L19" s="937"/>
      <c r="M19" s="938"/>
      <c r="N19" s="938"/>
      <c r="O19" s="938"/>
      <c r="P19" s="391"/>
      <c r="Q19" s="957"/>
      <c r="R19" s="946" t="s">
        <v>949</v>
      </c>
      <c r="S19" s="947"/>
      <c r="T19" s="947"/>
      <c r="U19" s="947"/>
      <c r="V19" s="401">
        <v>918587</v>
      </c>
      <c r="W19" s="999"/>
      <c r="X19" s="381"/>
      <c r="Y19" s="382"/>
      <c r="Z19" s="372"/>
      <c r="AA19" s="383"/>
      <c r="AB19" s="384"/>
      <c r="AC19" s="385"/>
    </row>
    <row r="20" spans="1:29" s="347" customFormat="1" ht="26.25" customHeight="1">
      <c r="A20" s="396"/>
      <c r="B20" s="397"/>
      <c r="C20" s="398"/>
      <c r="D20" s="398"/>
      <c r="E20" s="399"/>
      <c r="F20" s="400"/>
      <c r="G20" s="403"/>
      <c r="H20" s="404"/>
      <c r="I20" s="404"/>
      <c r="J20" s="402"/>
      <c r="K20" s="928"/>
      <c r="L20" s="946"/>
      <c r="M20" s="947"/>
      <c r="N20" s="947"/>
      <c r="O20" s="947"/>
      <c r="P20" s="391"/>
      <c r="Q20" s="957"/>
      <c r="R20" s="946" t="s">
        <v>951</v>
      </c>
      <c r="S20" s="947"/>
      <c r="T20" s="947"/>
      <c r="U20" s="947"/>
      <c r="V20" s="389">
        <v>14444</v>
      </c>
      <c r="W20" s="999"/>
      <c r="X20" s="381"/>
      <c r="Y20" s="382"/>
      <c r="Z20" s="372"/>
      <c r="AA20" s="383"/>
      <c r="AB20" s="384"/>
      <c r="AC20" s="385"/>
    </row>
    <row r="21" spans="1:29" s="347" customFormat="1" ht="14.25" customHeight="1" thickBot="1">
      <c r="A21" s="396"/>
      <c r="B21" s="397"/>
      <c r="C21" s="398"/>
      <c r="D21" s="398"/>
      <c r="E21" s="399"/>
      <c r="F21" s="400"/>
      <c r="G21" s="403"/>
      <c r="H21" s="404"/>
      <c r="I21" s="404"/>
      <c r="J21" s="402"/>
      <c r="K21" s="928"/>
      <c r="L21" s="941"/>
      <c r="M21" s="942"/>
      <c r="N21" s="942"/>
      <c r="O21" s="942"/>
      <c r="P21" s="391"/>
      <c r="Q21" s="958"/>
      <c r="R21" s="946"/>
      <c r="S21" s="947"/>
      <c r="T21" s="947"/>
      <c r="U21" s="947"/>
      <c r="V21" s="389"/>
      <c r="W21" s="999"/>
      <c r="X21" s="381"/>
      <c r="Y21" s="382"/>
      <c r="Z21" s="372"/>
      <c r="AA21" s="383"/>
      <c r="AB21" s="384"/>
      <c r="AC21" s="385"/>
    </row>
    <row r="22" spans="1:29" s="347" customFormat="1" ht="27" customHeight="1">
      <c r="A22" s="396"/>
      <c r="B22" s="397"/>
      <c r="C22" s="398"/>
      <c r="D22" s="398"/>
      <c r="E22" s="399" t="s">
        <v>108</v>
      </c>
      <c r="F22" s="400"/>
      <c r="G22" s="1011"/>
      <c r="H22" s="1012"/>
      <c r="I22" s="1012"/>
      <c r="J22" s="405"/>
      <c r="K22" s="954">
        <f>SUM(J22:J24)</f>
        <v>0</v>
      </c>
      <c r="L22" s="946" t="s">
        <v>939</v>
      </c>
      <c r="M22" s="947"/>
      <c r="N22" s="947"/>
      <c r="O22" s="947"/>
      <c r="P22" s="406">
        <v>3150000</v>
      </c>
      <c r="Q22" s="954">
        <f>SUM(P22:P24)</f>
        <v>6255629</v>
      </c>
      <c r="R22" s="933" t="s">
        <v>109</v>
      </c>
      <c r="S22" s="934"/>
      <c r="T22" s="934"/>
      <c r="U22" s="934"/>
      <c r="V22" s="620">
        <f>287999375-44651334-20303278-30534250+9314000+500000+7102216-1172953-1614100</f>
        <v>206639676</v>
      </c>
      <c r="W22" s="931">
        <f>SUM(V22:V24)</f>
        <v>226680328</v>
      </c>
      <c r="X22" s="381"/>
      <c r="Y22" s="382"/>
      <c r="Z22" s="372"/>
      <c r="AA22" s="383"/>
      <c r="AB22" s="384"/>
      <c r="AC22" s="385"/>
    </row>
    <row r="23" spans="1:29" s="347" customFormat="1" ht="16.5" customHeight="1">
      <c r="A23" s="396"/>
      <c r="B23" s="397"/>
      <c r="C23" s="398"/>
      <c r="D23" s="398"/>
      <c r="E23" s="399"/>
      <c r="F23" s="400"/>
      <c r="G23" s="403"/>
      <c r="H23" s="404"/>
      <c r="I23" s="404"/>
      <c r="J23" s="407"/>
      <c r="K23" s="928"/>
      <c r="L23" s="937" t="s">
        <v>945</v>
      </c>
      <c r="M23" s="938"/>
      <c r="N23" s="938"/>
      <c r="O23" s="938"/>
      <c r="P23" s="391">
        <v>1707563</v>
      </c>
      <c r="Q23" s="955"/>
      <c r="R23" s="735"/>
      <c r="S23" s="736"/>
      <c r="T23" s="736"/>
      <c r="U23" s="736"/>
      <c r="V23" s="618"/>
      <c r="W23" s="932"/>
      <c r="X23" s="381"/>
      <c r="Y23" s="382"/>
      <c r="Z23" s="372"/>
      <c r="AA23" s="383"/>
      <c r="AB23" s="384"/>
      <c r="AC23" s="385"/>
    </row>
    <row r="24" spans="1:29" s="347" customFormat="1" ht="18.75" customHeight="1" thickBot="1">
      <c r="A24" s="623"/>
      <c r="B24" s="397"/>
      <c r="C24" s="398"/>
      <c r="D24" s="398"/>
      <c r="E24" s="399"/>
      <c r="F24" s="400"/>
      <c r="G24" s="935"/>
      <c r="H24" s="936"/>
      <c r="I24" s="936"/>
      <c r="J24" s="407"/>
      <c r="K24" s="928"/>
      <c r="L24" s="937" t="s">
        <v>947</v>
      </c>
      <c r="M24" s="938"/>
      <c r="N24" s="938"/>
      <c r="O24" s="938"/>
      <c r="P24" s="391">
        <v>1398066</v>
      </c>
      <c r="Q24" s="955"/>
      <c r="R24" s="948" t="s">
        <v>892</v>
      </c>
      <c r="S24" s="949"/>
      <c r="T24" s="949"/>
      <c r="U24" s="949"/>
      <c r="V24" s="618">
        <f>15391652+4649000</f>
        <v>20040652</v>
      </c>
      <c r="W24" s="932"/>
      <c r="X24" s="381"/>
      <c r="Y24" s="382"/>
      <c r="Z24" s="372"/>
      <c r="AA24" s="383"/>
      <c r="AB24" s="384"/>
      <c r="AC24" s="385"/>
    </row>
    <row r="25" spans="1:29" s="347" customFormat="1" ht="18" customHeight="1" thickTop="1">
      <c r="A25" s="624"/>
      <c r="B25" s="408"/>
      <c r="C25" s="409"/>
      <c r="D25" s="409"/>
      <c r="E25" s="410"/>
      <c r="F25" s="411"/>
      <c r="G25" s="1063" t="s">
        <v>890</v>
      </c>
      <c r="H25" s="1014"/>
      <c r="I25" s="1014"/>
      <c r="J25" s="626">
        <v>5080</v>
      </c>
      <c r="K25" s="927">
        <f>SUM(J25:J26)</f>
        <v>21184</v>
      </c>
      <c r="L25" s="1013" t="s">
        <v>577</v>
      </c>
      <c r="M25" s="1014"/>
      <c r="N25" s="1014"/>
      <c r="O25" s="1014"/>
      <c r="P25" s="614">
        <v>29505024</v>
      </c>
      <c r="Q25" s="927">
        <f>SUM(P25:P26)</f>
        <v>41894611</v>
      </c>
      <c r="R25" s="413"/>
      <c r="S25" s="414"/>
      <c r="T25" s="414"/>
      <c r="U25" s="414"/>
      <c r="V25" s="415"/>
      <c r="W25" s="416"/>
      <c r="X25" s="417"/>
      <c r="Y25" s="418"/>
      <c r="Z25" s="419"/>
      <c r="AA25" s="420"/>
      <c r="AB25" s="421"/>
      <c r="AC25" s="422"/>
    </row>
    <row r="26" spans="1:29" ht="19.5" customHeight="1" thickBot="1">
      <c r="A26" s="625"/>
      <c r="B26" s="1015" t="s">
        <v>110</v>
      </c>
      <c r="C26" s="1016"/>
      <c r="D26" s="423">
        <f>SUM('5. kiadások megbontása'!J54)</f>
        <v>47334244</v>
      </c>
      <c r="E26" s="424">
        <f>SUM('5. kiadások megbontása'!K54)</f>
        <v>342773</v>
      </c>
      <c r="F26" s="425">
        <f>SUM(D26:E26)</f>
        <v>47677017</v>
      </c>
      <c r="G26" s="925" t="s">
        <v>941</v>
      </c>
      <c r="H26" s="926"/>
      <c r="I26" s="926"/>
      <c r="J26" s="426">
        <v>16104</v>
      </c>
      <c r="K26" s="951"/>
      <c r="L26" s="952" t="s">
        <v>701</v>
      </c>
      <c r="M26" s="953"/>
      <c r="N26" s="953"/>
      <c r="O26" s="953"/>
      <c r="P26" s="615">
        <f>7951337+4438250</f>
        <v>12389587</v>
      </c>
      <c r="Q26" s="951"/>
      <c r="R26" s="952"/>
      <c r="S26" s="953"/>
      <c r="T26" s="953"/>
      <c r="U26" s="953"/>
      <c r="V26" s="427"/>
      <c r="W26" s="428">
        <f>SUM(V26)</f>
        <v>0</v>
      </c>
      <c r="X26" s="429">
        <f>SUM(W26,Q25,K25)</f>
        <v>41915795</v>
      </c>
      <c r="Y26" s="430">
        <v>0</v>
      </c>
      <c r="Z26" s="431">
        <f>SUM(X26:Y26)</f>
        <v>41915795</v>
      </c>
      <c r="AA26" s="429">
        <f>X26-D26</f>
        <v>-5418449</v>
      </c>
      <c r="AB26" s="430">
        <f>Y26-E26</f>
        <v>-342773</v>
      </c>
      <c r="AC26" s="432">
        <f>SUM(AA26:AB26)</f>
        <v>-5761222</v>
      </c>
    </row>
    <row r="27" spans="1:29" ht="24.75" customHeight="1" thickTop="1">
      <c r="A27" s="433"/>
      <c r="B27" s="399"/>
      <c r="C27" s="434"/>
      <c r="D27" s="435"/>
      <c r="E27" s="435"/>
      <c r="F27" s="400"/>
      <c r="G27" s="403"/>
      <c r="H27" s="404"/>
      <c r="I27" s="404"/>
      <c r="J27" s="436"/>
      <c r="K27" s="927">
        <f>SUM(J27:J28)</f>
        <v>0</v>
      </c>
      <c r="L27" s="944" t="s">
        <v>129</v>
      </c>
      <c r="M27" s="945"/>
      <c r="N27" s="945"/>
      <c r="O27" s="945"/>
      <c r="P27" s="360">
        <v>2000000</v>
      </c>
      <c r="Q27" s="927">
        <f>SUM(P27:P28)</f>
        <v>2000000</v>
      </c>
      <c r="R27" s="948" t="s">
        <v>894</v>
      </c>
      <c r="S27" s="949"/>
      <c r="T27" s="949"/>
      <c r="U27" s="949"/>
      <c r="V27" s="618">
        <v>7400000</v>
      </c>
      <c r="W27" s="939">
        <f>SUM(V27:V28)</f>
        <v>15655000</v>
      </c>
      <c r="X27" s="437"/>
      <c r="Y27" s="438"/>
      <c r="Z27" s="439"/>
      <c r="AA27" s="437"/>
      <c r="AB27" s="438"/>
      <c r="AC27" s="411"/>
    </row>
    <row r="28" spans="1:29" ht="25.5" customHeight="1" thickBot="1">
      <c r="A28" s="1002" t="s">
        <v>542</v>
      </c>
      <c r="B28" s="1003"/>
      <c r="C28" s="1004"/>
      <c r="D28" s="440">
        <f>SUM('5. kiadások megbontása'!G54)</f>
        <v>66095459</v>
      </c>
      <c r="E28" s="379">
        <f>SUM('5. kiadások megbontása'!H54)</f>
        <v>49464059</v>
      </c>
      <c r="F28" s="380">
        <f>SUM(D28:E28)</f>
        <v>115559518</v>
      </c>
      <c r="G28" s="441"/>
      <c r="H28" s="363"/>
      <c r="I28" s="363"/>
      <c r="J28" s="391"/>
      <c r="K28" s="928"/>
      <c r="L28" s="937"/>
      <c r="M28" s="938"/>
      <c r="N28" s="938"/>
      <c r="O28" s="938"/>
      <c r="P28" s="360"/>
      <c r="Q28" s="943"/>
      <c r="R28" s="941" t="s">
        <v>895</v>
      </c>
      <c r="S28" s="942"/>
      <c r="T28" s="942"/>
      <c r="U28" s="942"/>
      <c r="V28" s="616">
        <f>6500000+1755000</f>
        <v>8255000</v>
      </c>
      <c r="W28" s="940"/>
      <c r="X28" s="442">
        <f>SUM(W27,Q27,K27)</f>
        <v>17655000</v>
      </c>
      <c r="Y28" s="393">
        <f>SUM(Q29,W30,K29)</f>
        <v>29747000</v>
      </c>
      <c r="Z28" s="394">
        <f>SUM(X28:Y28)</f>
        <v>47402000</v>
      </c>
      <c r="AA28" s="392">
        <f>X28-D28</f>
        <v>-48440459</v>
      </c>
      <c r="AB28" s="393">
        <f>Y28-E28</f>
        <v>-19717059</v>
      </c>
      <c r="AC28" s="395">
        <f>SUM(AA28:AB28)</f>
        <v>-68157518</v>
      </c>
    </row>
    <row r="29" spans="1:29" ht="25.5" customHeight="1">
      <c r="A29" s="737"/>
      <c r="B29" s="376"/>
      <c r="C29" s="377"/>
      <c r="D29" s="440"/>
      <c r="E29" s="379"/>
      <c r="F29" s="380"/>
      <c r="G29" s="738"/>
      <c r="H29" s="739"/>
      <c r="I29" s="739"/>
      <c r="J29" s="406"/>
      <c r="K29" s="954">
        <f>SUM(J30:J30)</f>
        <v>0</v>
      </c>
      <c r="L29" s="1027" t="s">
        <v>909</v>
      </c>
      <c r="M29" s="960"/>
      <c r="N29" s="960"/>
      <c r="O29" s="960"/>
      <c r="P29" s="617">
        <v>3000000</v>
      </c>
      <c r="Q29" s="954">
        <f>SUM(P29:P30)</f>
        <v>12000000</v>
      </c>
      <c r="R29" s="580"/>
      <c r="S29" s="741"/>
      <c r="T29" s="741"/>
      <c r="U29" s="741"/>
      <c r="V29" s="618"/>
      <c r="W29" s="740"/>
      <c r="X29" s="443"/>
      <c r="Y29" s="393"/>
      <c r="Z29" s="394"/>
      <c r="AA29" s="392"/>
      <c r="AB29" s="393"/>
      <c r="AC29" s="395"/>
    </row>
    <row r="30" spans="1:29" ht="27" customHeight="1" thickBot="1">
      <c r="A30" s="1002"/>
      <c r="B30" s="1003"/>
      <c r="C30" s="1004"/>
      <c r="D30" s="440"/>
      <c r="E30" s="379"/>
      <c r="F30" s="380"/>
      <c r="G30" s="950"/>
      <c r="H30" s="947"/>
      <c r="I30" s="947"/>
      <c r="J30" s="755"/>
      <c r="K30" s="943"/>
      <c r="L30" s="941" t="s">
        <v>942</v>
      </c>
      <c r="M30" s="942"/>
      <c r="N30" s="942"/>
      <c r="O30" s="942"/>
      <c r="P30" s="756">
        <v>9000000</v>
      </c>
      <c r="Q30" s="943"/>
      <c r="R30" s="929" t="s">
        <v>892</v>
      </c>
      <c r="S30" s="930"/>
      <c r="T30" s="930"/>
      <c r="U30" s="930"/>
      <c r="V30" s="757">
        <v>17747000</v>
      </c>
      <c r="W30" s="742">
        <f>SUM(V30:V30)</f>
        <v>17747000</v>
      </c>
      <c r="X30" s="443"/>
      <c r="Y30" s="444"/>
      <c r="Z30" s="394"/>
      <c r="AA30" s="392"/>
      <c r="AB30" s="393"/>
      <c r="AC30" s="385"/>
    </row>
    <row r="31" spans="1:29" ht="25.5" customHeight="1" thickBot="1">
      <c r="A31" s="1005" t="s">
        <v>111</v>
      </c>
      <c r="B31" s="1006"/>
      <c r="C31" s="1007"/>
      <c r="D31" s="584">
        <f>SUM(D9:D30)</f>
        <v>812337600</v>
      </c>
      <c r="E31" s="585">
        <f>SUM(E8:E30)</f>
        <v>132248455</v>
      </c>
      <c r="F31" s="586">
        <f>SUM(F8:F30)</f>
        <v>944586055</v>
      </c>
      <c r="G31" s="525"/>
      <c r="H31" s="1008" t="s">
        <v>112</v>
      </c>
      <c r="I31" s="1009"/>
      <c r="J31" s="1010"/>
      <c r="K31" s="445">
        <f>SUM(K8:K29)</f>
        <v>175698639</v>
      </c>
      <c r="L31" s="446"/>
      <c r="M31" s="1000" t="s">
        <v>113</v>
      </c>
      <c r="N31" s="1000"/>
      <c r="O31" s="1000"/>
      <c r="P31" s="1001"/>
      <c r="Q31" s="445">
        <f>SUM(Q8:Q29)</f>
        <v>250872568</v>
      </c>
      <c r="R31" s="446"/>
      <c r="S31" s="1000" t="s">
        <v>114</v>
      </c>
      <c r="T31" s="1000"/>
      <c r="U31" s="1000"/>
      <c r="V31" s="1001"/>
      <c r="W31" s="445">
        <f>SUM(W8:W30)</f>
        <v>549670788</v>
      </c>
      <c r="X31" s="447">
        <f>SUM(X8:X30)</f>
        <v>713559038</v>
      </c>
      <c r="Y31" s="448">
        <f>SUM(Y8:Y30)</f>
        <v>262682957</v>
      </c>
      <c r="Z31" s="449">
        <f>SUM(X31:Y31)</f>
        <v>976241995</v>
      </c>
      <c r="AA31" s="450">
        <f>SUM(AA11:AA30)</f>
        <v>-98778562</v>
      </c>
      <c r="AB31" s="451">
        <f>SUM(AB10:AB30)</f>
        <v>130434502</v>
      </c>
      <c r="AC31" s="452">
        <f>SUM(AA31:AB31)</f>
        <v>31655940</v>
      </c>
    </row>
    <row r="32" spans="1:29" ht="27.75" customHeight="1" thickBot="1" thickTop="1">
      <c r="A32" s="1017" t="s">
        <v>115</v>
      </c>
      <c r="B32" s="1018"/>
      <c r="C32" s="1019"/>
      <c r="D32" s="981" t="s">
        <v>395</v>
      </c>
      <c r="E32" s="982"/>
      <c r="F32" s="983"/>
      <c r="G32" s="984" t="s">
        <v>569</v>
      </c>
      <c r="H32" s="992"/>
      <c r="I32" s="992"/>
      <c r="J32" s="992"/>
      <c r="K32" s="1023"/>
      <c r="L32" s="975" t="s">
        <v>570</v>
      </c>
      <c r="M32" s="992"/>
      <c r="N32" s="992"/>
      <c r="O32" s="992"/>
      <c r="P32" s="992"/>
      <c r="Q32" s="1023"/>
      <c r="R32" s="975" t="s">
        <v>571</v>
      </c>
      <c r="S32" s="992"/>
      <c r="T32" s="992"/>
      <c r="U32" s="992"/>
      <c r="V32" s="992"/>
      <c r="W32" s="993"/>
      <c r="X32" s="997" t="s">
        <v>572</v>
      </c>
      <c r="Y32" s="967"/>
      <c r="Z32" s="998"/>
      <c r="AA32" s="991" t="s">
        <v>104</v>
      </c>
      <c r="AB32" s="969"/>
      <c r="AC32" s="970"/>
    </row>
    <row r="33" spans="1:223" s="455" customFormat="1" ht="18.75" customHeight="1" thickBot="1" thickTop="1">
      <c r="A33" s="1020"/>
      <c r="B33" s="1021"/>
      <c r="C33" s="1022"/>
      <c r="D33" s="558" t="s">
        <v>105</v>
      </c>
      <c r="E33" s="559" t="s">
        <v>101</v>
      </c>
      <c r="F33" s="350" t="s">
        <v>106</v>
      </c>
      <c r="G33" s="1024"/>
      <c r="H33" s="995"/>
      <c r="I33" s="995"/>
      <c r="J33" s="1025"/>
      <c r="K33" s="1026"/>
      <c r="L33" s="994"/>
      <c r="M33" s="995"/>
      <c r="N33" s="995"/>
      <c r="O33" s="995"/>
      <c r="P33" s="995"/>
      <c r="Q33" s="1026"/>
      <c r="R33" s="994"/>
      <c r="S33" s="995"/>
      <c r="T33" s="995"/>
      <c r="U33" s="995"/>
      <c r="V33" s="995"/>
      <c r="W33" s="996"/>
      <c r="X33" s="560" t="s">
        <v>105</v>
      </c>
      <c r="Y33" s="564" t="s">
        <v>101</v>
      </c>
      <c r="Z33" s="453" t="s">
        <v>106</v>
      </c>
      <c r="AA33" s="559" t="s">
        <v>105</v>
      </c>
      <c r="AB33" s="565" t="s">
        <v>101</v>
      </c>
      <c r="AC33" s="354" t="s">
        <v>106</v>
      </c>
      <c r="AD33" s="347"/>
      <c r="AE33" s="347"/>
      <c r="AF33" s="347"/>
      <c r="AG33" s="347"/>
      <c r="AH33" s="347"/>
      <c r="AI33" s="347"/>
      <c r="AJ33" s="347"/>
      <c r="AK33" s="347"/>
      <c r="AL33" s="347"/>
      <c r="AM33" s="347"/>
      <c r="AN33" s="347"/>
      <c r="AO33" s="347"/>
      <c r="AP33" s="347"/>
      <c r="AQ33" s="347"/>
      <c r="AR33" s="347"/>
      <c r="AS33" s="347"/>
      <c r="AT33" s="347"/>
      <c r="AU33" s="347"/>
      <c r="AV33" s="347"/>
      <c r="AW33" s="347"/>
      <c r="AX33" s="347"/>
      <c r="AY33" s="347"/>
      <c r="AZ33" s="347"/>
      <c r="BA33" s="347"/>
      <c r="BB33" s="347"/>
      <c r="BC33" s="347"/>
      <c r="BD33" s="347"/>
      <c r="BE33" s="347"/>
      <c r="BF33" s="347"/>
      <c r="BG33" s="347"/>
      <c r="BH33" s="347"/>
      <c r="BI33" s="347"/>
      <c r="BJ33" s="347"/>
      <c r="BK33" s="347"/>
      <c r="BL33" s="347"/>
      <c r="BM33" s="347"/>
      <c r="BN33" s="347"/>
      <c r="BO33" s="347"/>
      <c r="BP33" s="347"/>
      <c r="BQ33" s="347"/>
      <c r="BR33" s="347"/>
      <c r="BS33" s="347"/>
      <c r="BT33" s="347"/>
      <c r="BU33" s="347"/>
      <c r="BV33" s="347"/>
      <c r="BW33" s="347"/>
      <c r="BX33" s="347"/>
      <c r="BY33" s="347"/>
      <c r="BZ33" s="347"/>
      <c r="CA33" s="347"/>
      <c r="CB33" s="347"/>
      <c r="CC33" s="347"/>
      <c r="CD33" s="347"/>
      <c r="CE33" s="347"/>
      <c r="CF33" s="347"/>
      <c r="CG33" s="347"/>
      <c r="CH33" s="347"/>
      <c r="CI33" s="347"/>
      <c r="CJ33" s="347"/>
      <c r="CK33" s="347"/>
      <c r="CL33" s="347"/>
      <c r="CM33" s="347"/>
      <c r="CN33" s="347"/>
      <c r="CO33" s="347"/>
      <c r="CP33" s="347"/>
      <c r="CQ33" s="347"/>
      <c r="CR33" s="347"/>
      <c r="CS33" s="347"/>
      <c r="CT33" s="347"/>
      <c r="CU33" s="347"/>
      <c r="CV33" s="347"/>
      <c r="CW33" s="347"/>
      <c r="CX33" s="347"/>
      <c r="CY33" s="347"/>
      <c r="CZ33" s="347"/>
      <c r="DA33" s="347"/>
      <c r="DB33" s="347"/>
      <c r="DC33" s="347"/>
      <c r="DD33" s="347"/>
      <c r="DE33" s="347"/>
      <c r="DF33" s="347"/>
      <c r="DG33" s="347"/>
      <c r="DH33" s="347"/>
      <c r="DI33" s="347"/>
      <c r="DJ33" s="347"/>
      <c r="DK33" s="347"/>
      <c r="DL33" s="347"/>
      <c r="DM33" s="347"/>
      <c r="DN33" s="347"/>
      <c r="DO33" s="347"/>
      <c r="DP33" s="347"/>
      <c r="DQ33" s="347"/>
      <c r="DR33" s="347"/>
      <c r="DS33" s="347"/>
      <c r="DT33" s="347"/>
      <c r="DU33" s="347"/>
      <c r="DV33" s="347"/>
      <c r="DW33" s="347"/>
      <c r="DX33" s="347"/>
      <c r="DY33" s="347"/>
      <c r="DZ33" s="347"/>
      <c r="EA33" s="347"/>
      <c r="EB33" s="347"/>
      <c r="EC33" s="347"/>
      <c r="ED33" s="347"/>
      <c r="EE33" s="347"/>
      <c r="EF33" s="347"/>
      <c r="EG33" s="347"/>
      <c r="EH33" s="347"/>
      <c r="EI33" s="347"/>
      <c r="EJ33" s="347"/>
      <c r="EK33" s="347"/>
      <c r="EL33" s="347"/>
      <c r="EM33" s="347"/>
      <c r="EN33" s="347"/>
      <c r="EO33" s="347"/>
      <c r="EP33" s="347"/>
      <c r="EQ33" s="347"/>
      <c r="ER33" s="347"/>
      <c r="ES33" s="347"/>
      <c r="ET33" s="347"/>
      <c r="EU33" s="347"/>
      <c r="EV33" s="347"/>
      <c r="EW33" s="347"/>
      <c r="EX33" s="347"/>
      <c r="EY33" s="347"/>
      <c r="EZ33" s="347"/>
      <c r="FA33" s="347"/>
      <c r="FB33" s="347"/>
      <c r="FC33" s="347"/>
      <c r="FD33" s="347"/>
      <c r="FE33" s="347"/>
      <c r="FF33" s="347"/>
      <c r="FG33" s="347"/>
      <c r="FH33" s="347"/>
      <c r="FI33" s="347"/>
      <c r="FJ33" s="347"/>
      <c r="FK33" s="347"/>
      <c r="FL33" s="347"/>
      <c r="FM33" s="347"/>
      <c r="FN33" s="347"/>
      <c r="FO33" s="347"/>
      <c r="FP33" s="347"/>
      <c r="FQ33" s="347"/>
      <c r="FR33" s="347"/>
      <c r="FS33" s="347"/>
      <c r="FT33" s="347"/>
      <c r="FU33" s="347"/>
      <c r="FV33" s="347"/>
      <c r="FW33" s="347"/>
      <c r="FX33" s="347"/>
      <c r="FY33" s="347"/>
      <c r="FZ33" s="347"/>
      <c r="GA33" s="347"/>
      <c r="GB33" s="347"/>
      <c r="GC33" s="347"/>
      <c r="GD33" s="347"/>
      <c r="GE33" s="347"/>
      <c r="GF33" s="347"/>
      <c r="GG33" s="347"/>
      <c r="GH33" s="347"/>
      <c r="GI33" s="347"/>
      <c r="GJ33" s="347"/>
      <c r="GK33" s="347"/>
      <c r="GL33" s="347"/>
      <c r="GM33" s="347"/>
      <c r="GN33" s="347"/>
      <c r="GO33" s="347"/>
      <c r="GP33" s="347"/>
      <c r="GQ33" s="347"/>
      <c r="GR33" s="347"/>
      <c r="GS33" s="347"/>
      <c r="GT33" s="347"/>
      <c r="GU33" s="347"/>
      <c r="GV33" s="347"/>
      <c r="GW33" s="347"/>
      <c r="GX33" s="347"/>
      <c r="GY33" s="347"/>
      <c r="GZ33" s="347"/>
      <c r="HA33" s="347"/>
      <c r="HB33" s="347"/>
      <c r="HC33" s="347"/>
      <c r="HD33" s="347"/>
      <c r="HE33" s="347"/>
      <c r="HF33" s="347"/>
      <c r="HG33" s="347"/>
      <c r="HH33" s="347"/>
      <c r="HI33" s="347"/>
      <c r="HJ33" s="347"/>
      <c r="HK33" s="347"/>
      <c r="HL33" s="347"/>
      <c r="HM33" s="347"/>
      <c r="HN33" s="347"/>
      <c r="HO33" s="347"/>
    </row>
    <row r="34" spans="1:29" ht="12.75" customHeight="1">
      <c r="A34" s="355"/>
      <c r="B34" s="399"/>
      <c r="C34" s="399"/>
      <c r="D34" s="435"/>
      <c r="E34" s="399"/>
      <c r="F34" s="359"/>
      <c r="G34" s="1031"/>
      <c r="H34" s="962"/>
      <c r="I34" s="962"/>
      <c r="J34" s="587"/>
      <c r="K34" s="1028">
        <f>SUM(J34:J39)</f>
        <v>121954551</v>
      </c>
      <c r="L34" s="1027" t="s">
        <v>891</v>
      </c>
      <c r="M34" s="960"/>
      <c r="N34" s="960"/>
      <c r="O34" s="960"/>
      <c r="P34" s="1029">
        <v>12210000</v>
      </c>
      <c r="Q34" s="954">
        <f>SUM(P34:P39)</f>
        <v>12486120</v>
      </c>
      <c r="R34" s="937"/>
      <c r="S34" s="938"/>
      <c r="T34" s="938"/>
      <c r="U34" s="938"/>
      <c r="V34" s="360"/>
      <c r="W34" s="931">
        <f>SUM(V34:V39)</f>
        <v>5320739</v>
      </c>
      <c r="X34" s="456"/>
      <c r="Y34" s="457"/>
      <c r="Z34" s="458"/>
      <c r="AA34" s="355"/>
      <c r="AB34" s="373"/>
      <c r="AC34" s="374"/>
    </row>
    <row r="35" spans="1:29" ht="12.75" customHeight="1">
      <c r="A35" s="459"/>
      <c r="B35" s="397"/>
      <c r="C35" s="397"/>
      <c r="D35" s="460"/>
      <c r="E35" s="399"/>
      <c r="F35" s="400"/>
      <c r="G35" s="1037" t="s">
        <v>516</v>
      </c>
      <c r="H35" s="938"/>
      <c r="I35" s="938"/>
      <c r="J35" s="588">
        <v>121278400</v>
      </c>
      <c r="K35" s="928"/>
      <c r="L35" s="946"/>
      <c r="M35" s="947"/>
      <c r="N35" s="947"/>
      <c r="O35" s="947"/>
      <c r="P35" s="1030"/>
      <c r="Q35" s="928"/>
      <c r="R35" s="937" t="s">
        <v>578</v>
      </c>
      <c r="S35" s="938"/>
      <c r="T35" s="938"/>
      <c r="U35" s="938"/>
      <c r="V35" s="360">
        <v>10000</v>
      </c>
      <c r="W35" s="999"/>
      <c r="X35" s="461"/>
      <c r="Y35" s="382"/>
      <c r="Z35" s="372"/>
      <c r="AA35" s="383"/>
      <c r="AB35" s="384"/>
      <c r="AC35" s="385"/>
    </row>
    <row r="36" spans="1:29" ht="24.75" customHeight="1">
      <c r="A36" s="459"/>
      <c r="B36" s="1003" t="s">
        <v>541</v>
      </c>
      <c r="C36" s="1004"/>
      <c r="D36" s="440">
        <f>SUM('5. kiadások megbontása'!D57)</f>
        <v>131791977</v>
      </c>
      <c r="E36" s="379">
        <f>SUM('5. kiadások megbontása'!E57)</f>
        <v>500000</v>
      </c>
      <c r="F36" s="380">
        <f>SUM(D36:E36)</f>
        <v>132291977</v>
      </c>
      <c r="G36" s="363" t="s">
        <v>890</v>
      </c>
      <c r="H36" s="363"/>
      <c r="I36" s="363"/>
      <c r="J36" s="588">
        <v>75057</v>
      </c>
      <c r="K36" s="928"/>
      <c r="L36" s="946" t="s">
        <v>131</v>
      </c>
      <c r="M36" s="947"/>
      <c r="N36" s="947"/>
      <c r="O36" s="947"/>
      <c r="P36" s="613">
        <f>225720+50400</f>
        <v>276120</v>
      </c>
      <c r="Q36" s="928"/>
      <c r="R36" s="944" t="s">
        <v>579</v>
      </c>
      <c r="S36" s="945"/>
      <c r="T36" s="945"/>
      <c r="U36" s="945"/>
      <c r="V36" s="611">
        <v>200000</v>
      </c>
      <c r="W36" s="999"/>
      <c r="X36" s="461">
        <f>SUM(W34,Q34,K34)</f>
        <v>139761410</v>
      </c>
      <c r="Y36" s="382">
        <v>0</v>
      </c>
      <c r="Z36" s="394">
        <f>SUM(Y36,X36)</f>
        <v>139761410</v>
      </c>
      <c r="AA36" s="392">
        <f>X36-D36</f>
        <v>7969433</v>
      </c>
      <c r="AB36" s="393">
        <f>Y36-E36</f>
        <v>-500000</v>
      </c>
      <c r="AC36" s="385">
        <f>SUM(AA36:AB36)</f>
        <v>7469433</v>
      </c>
    </row>
    <row r="37" spans="1:29" ht="12.75" customHeight="1">
      <c r="A37" s="459"/>
      <c r="B37" s="397"/>
      <c r="C37" s="397"/>
      <c r="D37" s="462"/>
      <c r="E37" s="463"/>
      <c r="F37" s="464"/>
      <c r="G37" s="950" t="s">
        <v>941</v>
      </c>
      <c r="H37" s="947"/>
      <c r="I37" s="947"/>
      <c r="J37" s="588">
        <v>601094</v>
      </c>
      <c r="K37" s="928"/>
      <c r="L37" s="609"/>
      <c r="M37" s="610"/>
      <c r="N37" s="610"/>
      <c r="O37" s="610"/>
      <c r="P37" s="612"/>
      <c r="Q37" s="928"/>
      <c r="R37" s="937" t="s">
        <v>580</v>
      </c>
      <c r="S37" s="938"/>
      <c r="T37" s="938"/>
      <c r="U37" s="938"/>
      <c r="V37" s="360">
        <v>4896922</v>
      </c>
      <c r="W37" s="999"/>
      <c r="X37" s="461"/>
      <c r="Y37" s="382"/>
      <c r="Z37" s="372"/>
      <c r="AA37" s="383"/>
      <c r="AB37" s="384"/>
      <c r="AC37" s="385"/>
    </row>
    <row r="38" spans="1:29" ht="14.25" customHeight="1">
      <c r="A38" s="459"/>
      <c r="B38" s="397"/>
      <c r="C38" s="397"/>
      <c r="D38" s="462"/>
      <c r="E38" s="463"/>
      <c r="F38" s="464"/>
      <c r="G38" s="938"/>
      <c r="H38" s="938"/>
      <c r="I38" s="938"/>
      <c r="J38" s="465"/>
      <c r="K38" s="928"/>
      <c r="L38" s="362"/>
      <c r="M38" s="363"/>
      <c r="N38" s="363"/>
      <c r="O38" s="363"/>
      <c r="P38" s="360"/>
      <c r="Q38" s="928"/>
      <c r="R38" s="937" t="s">
        <v>953</v>
      </c>
      <c r="S38" s="938"/>
      <c r="T38" s="938"/>
      <c r="U38" s="938"/>
      <c r="V38" s="360">
        <v>213817</v>
      </c>
      <c r="W38" s="999"/>
      <c r="X38" s="461"/>
      <c r="Y38" s="382"/>
      <c r="Z38" s="372"/>
      <c r="AA38" s="383"/>
      <c r="AB38" s="384"/>
      <c r="AC38" s="385"/>
    </row>
    <row r="39" spans="1:29" ht="12.75" customHeight="1" thickBot="1">
      <c r="A39" s="459"/>
      <c r="B39" s="397"/>
      <c r="C39" s="397"/>
      <c r="D39" s="462"/>
      <c r="E39" s="463"/>
      <c r="F39" s="464"/>
      <c r="K39" s="928"/>
      <c r="L39" s="362"/>
      <c r="M39" s="363" t="s">
        <v>108</v>
      </c>
      <c r="N39" s="363"/>
      <c r="O39" s="363"/>
      <c r="P39" s="360"/>
      <c r="Q39" s="928"/>
      <c r="R39" s="937"/>
      <c r="S39" s="938"/>
      <c r="T39" s="938"/>
      <c r="U39" s="938"/>
      <c r="V39" s="401"/>
      <c r="W39" s="999"/>
      <c r="X39" s="461"/>
      <c r="Y39" s="382"/>
      <c r="Z39" s="372"/>
      <c r="AA39" s="383"/>
      <c r="AB39" s="384"/>
      <c r="AC39" s="385"/>
    </row>
    <row r="40" spans="1:29" ht="16.5" thickBot="1">
      <c r="A40" s="1005" t="s">
        <v>116</v>
      </c>
      <c r="B40" s="1006"/>
      <c r="C40" s="1007"/>
      <c r="D40" s="584">
        <f>SUM(D34:D39)</f>
        <v>131791977</v>
      </c>
      <c r="E40" s="585">
        <f>SUM(E34:E39)</f>
        <v>500000</v>
      </c>
      <c r="F40" s="586">
        <f>SUM(F34:F39)</f>
        <v>132291977</v>
      </c>
      <c r="G40" s="589"/>
      <c r="H40" s="1008" t="s">
        <v>112</v>
      </c>
      <c r="I40" s="1009"/>
      <c r="J40" s="1033"/>
      <c r="K40" s="590">
        <f>SUM(K34:K39)</f>
        <v>121954551</v>
      </c>
      <c r="L40" s="446"/>
      <c r="M40" s="1000" t="s">
        <v>113</v>
      </c>
      <c r="N40" s="1000"/>
      <c r="O40" s="1000"/>
      <c r="P40" s="1001"/>
      <c r="Q40" s="590">
        <f>SUM(Q34:Q39)</f>
        <v>12486120</v>
      </c>
      <c r="R40" s="525"/>
      <c r="S40" s="1000" t="s">
        <v>114</v>
      </c>
      <c r="T40" s="1000"/>
      <c r="U40" s="1000"/>
      <c r="V40" s="1001"/>
      <c r="W40" s="591">
        <f>SUM(W34:W39)</f>
        <v>5320739</v>
      </c>
      <c r="X40" s="592">
        <f>SUM(X34:X39)</f>
        <v>139761410</v>
      </c>
      <c r="Y40" s="448">
        <v>0</v>
      </c>
      <c r="Z40" s="449">
        <f>SUM(X40:Y40)</f>
        <v>139761410</v>
      </c>
      <c r="AA40" s="450">
        <f>X40-D40</f>
        <v>7969433</v>
      </c>
      <c r="AB40" s="451">
        <f>Y40-E40</f>
        <v>-500000</v>
      </c>
      <c r="AC40" s="593">
        <f>SUM(AA40:AB40)</f>
        <v>7469433</v>
      </c>
    </row>
    <row r="41" spans="1:29" ht="17.25" thickBot="1" thickTop="1">
      <c r="A41" s="467"/>
      <c r="B41" s="468"/>
      <c r="C41" s="468"/>
      <c r="D41" s="469"/>
      <c r="E41" s="470"/>
      <c r="F41" s="471"/>
      <c r="G41" s="470"/>
      <c r="H41" s="470"/>
      <c r="I41" s="472"/>
      <c r="J41" s="472"/>
      <c r="K41" s="473"/>
      <c r="L41" s="474"/>
      <c r="M41" s="470"/>
      <c r="N41" s="470"/>
      <c r="O41" s="470"/>
      <c r="P41" s="470"/>
      <c r="Q41" s="473"/>
      <c r="R41" s="470"/>
      <c r="S41" s="470"/>
      <c r="T41" s="470"/>
      <c r="U41" s="470"/>
      <c r="V41" s="470"/>
      <c r="W41" s="475"/>
      <c r="X41" s="476"/>
      <c r="Y41" s="477"/>
      <c r="Z41" s="478"/>
      <c r="AA41" s="467"/>
      <c r="AB41" s="479"/>
      <c r="AC41" s="480"/>
    </row>
    <row r="42" spans="1:29" ht="14.25" thickBot="1" thickTop="1">
      <c r="A42" s="971" t="s">
        <v>653</v>
      </c>
      <c r="B42" s="972"/>
      <c r="C42" s="972"/>
      <c r="D42" s="981" t="s">
        <v>395</v>
      </c>
      <c r="E42" s="982"/>
      <c r="F42" s="983"/>
      <c r="G42" s="984" t="s">
        <v>569</v>
      </c>
      <c r="H42" s="1056"/>
      <c r="I42" s="1056"/>
      <c r="J42" s="1056"/>
      <c r="K42" s="1057"/>
      <c r="L42" s="975" t="s">
        <v>570</v>
      </c>
      <c r="M42" s="976"/>
      <c r="N42" s="976"/>
      <c r="O42" s="976"/>
      <c r="P42" s="976"/>
      <c r="Q42" s="977"/>
      <c r="R42" s="975" t="s">
        <v>571</v>
      </c>
      <c r="S42" s="976"/>
      <c r="T42" s="976"/>
      <c r="U42" s="976"/>
      <c r="V42" s="976"/>
      <c r="W42" s="1075"/>
      <c r="X42" s="997" t="s">
        <v>572</v>
      </c>
      <c r="Y42" s="967"/>
      <c r="Z42" s="967"/>
      <c r="AA42" s="968" t="s">
        <v>104</v>
      </c>
      <c r="AB42" s="969"/>
      <c r="AC42" s="970"/>
    </row>
    <row r="43" spans="1:29" ht="32.25" customHeight="1" thickBot="1">
      <c r="A43" s="973"/>
      <c r="B43" s="974"/>
      <c r="C43" s="974"/>
      <c r="D43" s="558" t="s">
        <v>105</v>
      </c>
      <c r="E43" s="559" t="s">
        <v>101</v>
      </c>
      <c r="F43" s="350" t="s">
        <v>106</v>
      </c>
      <c r="G43" s="1058"/>
      <c r="H43" s="1059"/>
      <c r="I43" s="1059"/>
      <c r="J43" s="1059"/>
      <c r="K43" s="1060"/>
      <c r="L43" s="978"/>
      <c r="M43" s="979"/>
      <c r="N43" s="979"/>
      <c r="O43" s="979"/>
      <c r="P43" s="979"/>
      <c r="Q43" s="980"/>
      <c r="R43" s="978"/>
      <c r="S43" s="979"/>
      <c r="T43" s="979"/>
      <c r="U43" s="979"/>
      <c r="V43" s="979"/>
      <c r="W43" s="1076"/>
      <c r="X43" s="560" t="s">
        <v>105</v>
      </c>
      <c r="Y43" s="561" t="s">
        <v>101</v>
      </c>
      <c r="Z43" s="352" t="s">
        <v>106</v>
      </c>
      <c r="AA43" s="562" t="s">
        <v>105</v>
      </c>
      <c r="AB43" s="563" t="s">
        <v>101</v>
      </c>
      <c r="AC43" s="354" t="s">
        <v>106</v>
      </c>
    </row>
    <row r="44" spans="1:29" ht="15.75" customHeight="1">
      <c r="A44" s="459"/>
      <c r="B44" s="399"/>
      <c r="C44" s="399"/>
      <c r="D44" s="435"/>
      <c r="E44" s="481"/>
      <c r="F44" s="400"/>
      <c r="G44" s="1037" t="s">
        <v>528</v>
      </c>
      <c r="H44" s="938"/>
      <c r="I44" s="938"/>
      <c r="J44" s="391">
        <v>15468533</v>
      </c>
      <c r="K44" s="1048">
        <f>SUM(J44:J52)</f>
        <v>199514665</v>
      </c>
      <c r="L44" s="433"/>
      <c r="M44" s="399"/>
      <c r="N44" s="399"/>
      <c r="O44" s="399"/>
      <c r="P44" s="399"/>
      <c r="Q44" s="482"/>
      <c r="R44" s="481"/>
      <c r="S44" s="481"/>
      <c r="T44" s="481"/>
      <c r="U44" s="481"/>
      <c r="V44" s="481"/>
      <c r="W44" s="483"/>
      <c r="X44" s="399"/>
      <c r="Y44" s="435"/>
      <c r="Z44" s="484"/>
      <c r="AA44" s="459"/>
      <c r="AB44" s="435"/>
      <c r="AC44" s="374"/>
    </row>
    <row r="45" spans="1:29" ht="25.5" customHeight="1">
      <c r="A45" s="459"/>
      <c r="B45" s="399"/>
      <c r="C45" s="399"/>
      <c r="D45" s="435"/>
      <c r="E45" s="481"/>
      <c r="F45" s="400"/>
      <c r="G45" s="950" t="s">
        <v>699</v>
      </c>
      <c r="H45" s="947"/>
      <c r="I45" s="947"/>
      <c r="J45" s="391">
        <v>106074369</v>
      </c>
      <c r="K45" s="1049"/>
      <c r="L45" s="1034"/>
      <c r="M45" s="1035"/>
      <c r="N45" s="1035"/>
      <c r="O45" s="1035"/>
      <c r="P45" s="402"/>
      <c r="Q45" s="928">
        <f>SUM(P45)</f>
        <v>0</v>
      </c>
      <c r="W45" s="999">
        <f>SUM(V46:V52)</f>
        <v>2809611</v>
      </c>
      <c r="X45" s="360"/>
      <c r="Y45" s="384"/>
      <c r="Z45" s="372"/>
      <c r="AA45" s="383"/>
      <c r="AB45" s="384"/>
      <c r="AC45" s="385"/>
    </row>
    <row r="46" spans="1:29" ht="30" customHeight="1">
      <c r="A46" s="459"/>
      <c r="B46" s="399"/>
      <c r="C46" s="399"/>
      <c r="D46" s="435"/>
      <c r="E46" s="481"/>
      <c r="F46" s="400"/>
      <c r="G46" s="950" t="s">
        <v>595</v>
      </c>
      <c r="H46" s="947"/>
      <c r="I46" s="947"/>
      <c r="J46" s="360">
        <v>5300700</v>
      </c>
      <c r="K46" s="1049"/>
      <c r="L46" s="581"/>
      <c r="M46" s="582"/>
      <c r="N46" s="582"/>
      <c r="O46" s="582"/>
      <c r="P46" s="402"/>
      <c r="Q46" s="928"/>
      <c r="R46" s="580"/>
      <c r="S46" s="583"/>
      <c r="T46" s="583"/>
      <c r="U46" s="583"/>
      <c r="V46" s="485"/>
      <c r="W46" s="999"/>
      <c r="X46" s="360"/>
      <c r="Y46" s="384"/>
      <c r="Z46" s="372"/>
      <c r="AA46" s="383"/>
      <c r="AB46" s="384"/>
      <c r="AC46" s="385"/>
    </row>
    <row r="47" spans="1:29" ht="26.25" customHeight="1">
      <c r="A47" s="1053" t="s">
        <v>541</v>
      </c>
      <c r="B47" s="1054"/>
      <c r="C47" s="1055"/>
      <c r="D47" s="440">
        <f>SUM('5. kiadások megbontása'!D66)</f>
        <v>240694459</v>
      </c>
      <c r="E47" s="379">
        <f>SUM('5. kiadások megbontása'!E66)</f>
        <v>755190</v>
      </c>
      <c r="F47" s="380">
        <f>SUM(D47:E47)</f>
        <v>241449649</v>
      </c>
      <c r="G47" s="950" t="s">
        <v>902</v>
      </c>
      <c r="H47" s="947"/>
      <c r="I47" s="947"/>
      <c r="J47" s="391">
        <v>26414690</v>
      </c>
      <c r="K47" s="1049"/>
      <c r="L47" s="433"/>
      <c r="M47" s="399"/>
      <c r="N47" s="399"/>
      <c r="O47" s="399"/>
      <c r="P47" s="399"/>
      <c r="Q47" s="928"/>
      <c r="R47" s="946" t="s">
        <v>581</v>
      </c>
      <c r="S47" s="1036"/>
      <c r="T47" s="1036"/>
      <c r="U47" s="1036"/>
      <c r="V47" s="485">
        <v>1323594</v>
      </c>
      <c r="W47" s="999"/>
      <c r="X47" s="488">
        <f>SUM(W45+Q45+K44)</f>
        <v>202324276</v>
      </c>
      <c r="Y47" s="393">
        <v>0</v>
      </c>
      <c r="Z47" s="394">
        <f>SUM(X47:Y47)</f>
        <v>202324276</v>
      </c>
      <c r="AA47" s="489">
        <f>X47-D47</f>
        <v>-38370183</v>
      </c>
      <c r="AB47" s="393">
        <f>Y47-E47</f>
        <v>-755190</v>
      </c>
      <c r="AC47" s="395">
        <f>SUM(AA47:AB47)</f>
        <v>-39125373</v>
      </c>
    </row>
    <row r="48" spans="1:29" ht="13.5" customHeight="1">
      <c r="A48" s="375"/>
      <c r="B48" s="486"/>
      <c r="C48" s="490"/>
      <c r="D48" s="440"/>
      <c r="E48" s="379"/>
      <c r="F48" s="380"/>
      <c r="G48" s="938" t="s">
        <v>615</v>
      </c>
      <c r="H48" s="938"/>
      <c r="I48" s="938"/>
      <c r="J48" s="391">
        <v>21615046</v>
      </c>
      <c r="K48" s="1049"/>
      <c r="L48" s="433"/>
      <c r="M48" s="399"/>
      <c r="N48" s="399"/>
      <c r="O48" s="399"/>
      <c r="P48" s="491"/>
      <c r="Q48" s="928"/>
      <c r="R48" s="937" t="s">
        <v>953</v>
      </c>
      <c r="S48" s="938"/>
      <c r="T48" s="938"/>
      <c r="U48" s="938"/>
      <c r="V48" s="487">
        <v>1486017</v>
      </c>
      <c r="W48" s="999"/>
      <c r="X48" s="461"/>
      <c r="Y48" s="382"/>
      <c r="Z48" s="394"/>
      <c r="AA48" s="392"/>
      <c r="AB48" s="393"/>
      <c r="AC48" s="385"/>
    </row>
    <row r="49" spans="1:29" ht="15" customHeight="1">
      <c r="A49" s="375"/>
      <c r="B49" s="486"/>
      <c r="C49" s="490"/>
      <c r="D49" s="440"/>
      <c r="E49" s="379"/>
      <c r="F49" s="380"/>
      <c r="G49" s="950" t="s">
        <v>726</v>
      </c>
      <c r="H49" s="947"/>
      <c r="I49" s="947"/>
      <c r="J49" s="360">
        <v>6864345</v>
      </c>
      <c r="K49" s="1049"/>
      <c r="L49" s="433"/>
      <c r="M49" s="399"/>
      <c r="N49" s="399"/>
      <c r="O49" s="399"/>
      <c r="P49" s="491"/>
      <c r="Q49" s="928"/>
      <c r="R49" s="362"/>
      <c r="S49" s="363"/>
      <c r="T49" s="363"/>
      <c r="U49" s="363"/>
      <c r="V49" s="487"/>
      <c r="W49" s="999"/>
      <c r="X49" s="461"/>
      <c r="Y49" s="382"/>
      <c r="Z49" s="394"/>
      <c r="AA49" s="392"/>
      <c r="AB49" s="393"/>
      <c r="AC49" s="385"/>
    </row>
    <row r="50" spans="1:29" ht="26.25" customHeight="1">
      <c r="A50" s="375"/>
      <c r="B50" s="486"/>
      <c r="C50" s="490"/>
      <c r="D50" s="440"/>
      <c r="E50" s="379"/>
      <c r="F50" s="380"/>
      <c r="G50" s="1032" t="s">
        <v>908</v>
      </c>
      <c r="H50" s="949"/>
      <c r="I50" s="949"/>
      <c r="J50" s="360">
        <v>16800000</v>
      </c>
      <c r="K50" s="1049"/>
      <c r="L50" s="433"/>
      <c r="M50" s="399"/>
      <c r="N50" s="399"/>
      <c r="O50" s="399"/>
      <c r="P50" s="491"/>
      <c r="Q50" s="928"/>
      <c r="R50" s="362"/>
      <c r="S50" s="363"/>
      <c r="T50" s="363"/>
      <c r="U50" s="363"/>
      <c r="V50" s="487"/>
      <c r="W50" s="999"/>
      <c r="X50" s="461"/>
      <c r="Y50" s="382"/>
      <c r="Z50" s="394"/>
      <c r="AA50" s="392"/>
      <c r="AB50" s="393"/>
      <c r="AC50" s="385"/>
    </row>
    <row r="51" spans="1:29" ht="15.75" customHeight="1">
      <c r="A51" s="375"/>
      <c r="B51" s="486"/>
      <c r="C51" s="490"/>
      <c r="D51" s="440"/>
      <c r="E51" s="379"/>
      <c r="F51" s="380"/>
      <c r="G51" s="1032" t="s">
        <v>890</v>
      </c>
      <c r="H51" s="949"/>
      <c r="I51" s="949"/>
      <c r="J51" s="492">
        <v>99314</v>
      </c>
      <c r="K51" s="1049"/>
      <c r="L51" s="433"/>
      <c r="M51" s="399"/>
      <c r="N51" s="399"/>
      <c r="O51" s="399"/>
      <c r="P51" s="491"/>
      <c r="Q51" s="928"/>
      <c r="R51" s="362"/>
      <c r="S51" s="363"/>
      <c r="T51" s="363"/>
      <c r="U51" s="363"/>
      <c r="V51" s="487"/>
      <c r="W51" s="999"/>
      <c r="X51" s="461"/>
      <c r="Y51" s="382"/>
      <c r="Z51" s="394"/>
      <c r="AA51" s="392"/>
      <c r="AB51" s="393"/>
      <c r="AC51" s="385"/>
    </row>
    <row r="52" spans="1:29" ht="12" customHeight="1" thickBot="1">
      <c r="A52" s="1061"/>
      <c r="B52" s="930"/>
      <c r="C52" s="1062"/>
      <c r="D52" s="440"/>
      <c r="E52" s="379"/>
      <c r="F52" s="380"/>
      <c r="G52" s="1032" t="s">
        <v>941</v>
      </c>
      <c r="H52" s="949"/>
      <c r="I52" s="949"/>
      <c r="J52" s="492">
        <v>877668</v>
      </c>
      <c r="K52" s="1049"/>
      <c r="L52" s="493"/>
      <c r="M52" s="494"/>
      <c r="N52" s="494"/>
      <c r="O52" s="494"/>
      <c r="P52" s="495"/>
      <c r="Q52" s="943"/>
      <c r="R52" s="946"/>
      <c r="S52" s="947"/>
      <c r="T52" s="947"/>
      <c r="U52" s="947"/>
      <c r="V52" s="496"/>
      <c r="W52" s="1046"/>
      <c r="X52" s="461"/>
      <c r="Y52" s="382"/>
      <c r="Z52" s="394"/>
      <c r="AA52" s="392"/>
      <c r="AB52" s="393"/>
      <c r="AC52" s="385"/>
    </row>
    <row r="53" spans="1:29" ht="15.75">
      <c r="A53" s="497"/>
      <c r="B53" s="498"/>
      <c r="C53" s="594"/>
      <c r="D53" s="499"/>
      <c r="E53" s="500"/>
      <c r="F53" s="501"/>
      <c r="G53" s="1031"/>
      <c r="H53" s="962"/>
      <c r="I53" s="962"/>
      <c r="J53" s="502"/>
      <c r="K53" s="1048">
        <f>SUM(J53:J55)</f>
        <v>0</v>
      </c>
      <c r="L53" s="1031" t="s">
        <v>616</v>
      </c>
      <c r="M53" s="962"/>
      <c r="N53" s="962"/>
      <c r="O53" s="962"/>
      <c r="P53" s="502">
        <v>6245115</v>
      </c>
      <c r="Q53" s="954">
        <f>SUM(P53:P55)</f>
        <v>6245115</v>
      </c>
      <c r="R53" s="503"/>
      <c r="S53" s="504"/>
      <c r="T53" s="504"/>
      <c r="U53" s="504"/>
      <c r="V53" s="505"/>
      <c r="W53" s="506"/>
      <c r="X53" s="507"/>
      <c r="Y53" s="508"/>
      <c r="Z53" s="509"/>
      <c r="AA53" s="510"/>
      <c r="AB53" s="511"/>
      <c r="AC53" s="512"/>
    </row>
    <row r="54" spans="1:29" ht="15.75">
      <c r="A54" s="1002" t="s">
        <v>542</v>
      </c>
      <c r="B54" s="1003"/>
      <c r="C54" s="1004"/>
      <c r="D54" s="440">
        <f>SUM('5. kiadások megbontása'!G66)</f>
        <v>6245115</v>
      </c>
      <c r="E54" s="379">
        <f>SUM('5. kiadások megbontása'!H66)</f>
        <v>0</v>
      </c>
      <c r="F54" s="380">
        <f>SUM(D54:E54)</f>
        <v>6245115</v>
      </c>
      <c r="G54" s="403"/>
      <c r="H54" s="404"/>
      <c r="I54" s="404"/>
      <c r="J54" s="513"/>
      <c r="K54" s="1049"/>
      <c r="L54" s="937"/>
      <c r="M54" s="938"/>
      <c r="N54" s="938"/>
      <c r="O54" s="938"/>
      <c r="P54" s="360"/>
      <c r="Q54" s="928"/>
      <c r="R54" s="1064"/>
      <c r="S54" s="936"/>
      <c r="T54" s="936"/>
      <c r="U54" s="936"/>
      <c r="V54" s="514"/>
      <c r="W54" s="506">
        <f>SUM(V54)</f>
        <v>0</v>
      </c>
      <c r="X54" s="461">
        <f>SUM(K54+Q53+W55)</f>
        <v>6245115</v>
      </c>
      <c r="Y54" s="382">
        <v>0</v>
      </c>
      <c r="Z54" s="394">
        <f>SUM(X54:Y54)</f>
        <v>6245115</v>
      </c>
      <c r="AA54" s="489">
        <f>X54-D54</f>
        <v>0</v>
      </c>
      <c r="AB54" s="393">
        <f>Y54-E54</f>
        <v>0</v>
      </c>
      <c r="AC54" s="395">
        <f>SUM(AA54:AB54)</f>
        <v>0</v>
      </c>
    </row>
    <row r="55" spans="1:29" ht="16.5" thickBot="1">
      <c r="A55" s="375"/>
      <c r="B55" s="486"/>
      <c r="C55" s="490"/>
      <c r="D55" s="462"/>
      <c r="E55" s="463"/>
      <c r="F55" s="515"/>
      <c r="G55" s="516"/>
      <c r="H55" s="517"/>
      <c r="I55" s="517"/>
      <c r="J55" s="518"/>
      <c r="K55" s="1050"/>
      <c r="L55" s="433"/>
      <c r="M55" s="399"/>
      <c r="N55" s="399"/>
      <c r="O55" s="399"/>
      <c r="P55" s="399"/>
      <c r="Q55" s="928"/>
      <c r="R55" s="481"/>
      <c r="S55" s="481"/>
      <c r="T55" s="481"/>
      <c r="U55" s="481"/>
      <c r="V55" s="481"/>
      <c r="W55" s="519"/>
      <c r="X55" s="520"/>
      <c r="Y55" s="521"/>
      <c r="Z55" s="466"/>
      <c r="AA55" s="522"/>
      <c r="AB55" s="523"/>
      <c r="AC55" s="524"/>
    </row>
    <row r="56" spans="1:223" s="579" customFormat="1" ht="36.75" customHeight="1" thickBot="1" thickTop="1">
      <c r="A56" s="1038" t="s">
        <v>117</v>
      </c>
      <c r="B56" s="1039"/>
      <c r="C56" s="1040"/>
      <c r="D56" s="595">
        <f>SUM(D45:D55)</f>
        <v>246939574</v>
      </c>
      <c r="E56" s="596">
        <f>SUM(E45:E55)</f>
        <v>755190</v>
      </c>
      <c r="F56" s="597">
        <f>SUM(D56:E56)</f>
        <v>247694764</v>
      </c>
      <c r="G56" s="598"/>
      <c r="H56" s="1072" t="s">
        <v>112</v>
      </c>
      <c r="I56" s="1073"/>
      <c r="J56" s="1074"/>
      <c r="K56" s="599">
        <f>SUM(K44:K55)</f>
        <v>199514665</v>
      </c>
      <c r="L56" s="600"/>
      <c r="M56" s="1051" t="s">
        <v>113</v>
      </c>
      <c r="N56" s="1051"/>
      <c r="O56" s="1051"/>
      <c r="P56" s="1052"/>
      <c r="Q56" s="601">
        <f>SUM(Q45:Q55)</f>
        <v>6245115</v>
      </c>
      <c r="R56" s="602"/>
      <c r="S56" s="1051" t="s">
        <v>114</v>
      </c>
      <c r="T56" s="1051"/>
      <c r="U56" s="1051"/>
      <c r="V56" s="1052"/>
      <c r="W56" s="603">
        <f>SUM(W45:W55)</f>
        <v>2809611</v>
      </c>
      <c r="X56" s="604">
        <f>SUM(X43:X55)</f>
        <v>208569391</v>
      </c>
      <c r="Y56" s="605">
        <f>SUM(Y43:Y55)</f>
        <v>0</v>
      </c>
      <c r="Z56" s="606">
        <f>SUM(X56:Y56)</f>
        <v>208569391</v>
      </c>
      <c r="AA56" s="604">
        <f>X56-D56</f>
        <v>-38370183</v>
      </c>
      <c r="AB56" s="607">
        <f>Y56-E56</f>
        <v>-755190</v>
      </c>
      <c r="AC56" s="606">
        <f>SUM(AA56:AB56)</f>
        <v>-39125373</v>
      </c>
      <c r="AD56" s="608"/>
      <c r="AE56" s="608"/>
      <c r="AF56" s="608"/>
      <c r="AG56" s="608"/>
      <c r="AH56" s="608"/>
      <c r="AI56" s="608"/>
      <c r="AJ56" s="608"/>
      <c r="AK56" s="608"/>
      <c r="AL56" s="608"/>
      <c r="AM56" s="608"/>
      <c r="AN56" s="608"/>
      <c r="AO56" s="608"/>
      <c r="AP56" s="608"/>
      <c r="AQ56" s="608"/>
      <c r="AR56" s="608"/>
      <c r="AS56" s="608"/>
      <c r="AT56" s="608"/>
      <c r="AU56" s="608"/>
      <c r="AV56" s="608"/>
      <c r="AW56" s="608"/>
      <c r="AX56" s="608"/>
      <c r="AY56" s="608"/>
      <c r="AZ56" s="608"/>
      <c r="BA56" s="608"/>
      <c r="BB56" s="608"/>
      <c r="BC56" s="608"/>
      <c r="BD56" s="608"/>
      <c r="BE56" s="608"/>
      <c r="BF56" s="608"/>
      <c r="BG56" s="608"/>
      <c r="BH56" s="608"/>
      <c r="BI56" s="608"/>
      <c r="BJ56" s="608"/>
      <c r="BK56" s="608"/>
      <c r="BL56" s="608"/>
      <c r="BM56" s="608"/>
      <c r="BN56" s="608"/>
      <c r="BO56" s="608"/>
      <c r="BP56" s="608"/>
      <c r="BQ56" s="608"/>
      <c r="BR56" s="608"/>
      <c r="BS56" s="608"/>
      <c r="BT56" s="608"/>
      <c r="BU56" s="608"/>
      <c r="BV56" s="608"/>
      <c r="BW56" s="608"/>
      <c r="BX56" s="608"/>
      <c r="BY56" s="608"/>
      <c r="BZ56" s="608"/>
      <c r="CA56" s="608"/>
      <c r="CB56" s="608"/>
      <c r="CC56" s="608"/>
      <c r="CD56" s="608"/>
      <c r="CE56" s="608"/>
      <c r="CF56" s="608"/>
      <c r="CG56" s="608"/>
      <c r="CH56" s="608"/>
      <c r="CI56" s="608"/>
      <c r="CJ56" s="608"/>
      <c r="CK56" s="608"/>
      <c r="CL56" s="608"/>
      <c r="CM56" s="608"/>
      <c r="CN56" s="608"/>
      <c r="CO56" s="608"/>
      <c r="CP56" s="608"/>
      <c r="CQ56" s="608"/>
      <c r="CR56" s="608"/>
      <c r="CS56" s="608"/>
      <c r="CT56" s="608"/>
      <c r="CU56" s="608"/>
      <c r="CV56" s="608"/>
      <c r="CW56" s="608"/>
      <c r="CX56" s="608"/>
      <c r="CY56" s="608"/>
      <c r="CZ56" s="608"/>
      <c r="DA56" s="608"/>
      <c r="DB56" s="608"/>
      <c r="DC56" s="608"/>
      <c r="DD56" s="608"/>
      <c r="DE56" s="608"/>
      <c r="DF56" s="608"/>
      <c r="DG56" s="608"/>
      <c r="DH56" s="608"/>
      <c r="DI56" s="608"/>
      <c r="DJ56" s="608"/>
      <c r="DK56" s="608"/>
      <c r="DL56" s="608"/>
      <c r="DM56" s="608"/>
      <c r="DN56" s="608"/>
      <c r="DO56" s="608"/>
      <c r="DP56" s="608"/>
      <c r="DQ56" s="608"/>
      <c r="DR56" s="608"/>
      <c r="DS56" s="608"/>
      <c r="DT56" s="608"/>
      <c r="DU56" s="608"/>
      <c r="DV56" s="608"/>
      <c r="DW56" s="608"/>
      <c r="DX56" s="608"/>
      <c r="DY56" s="608"/>
      <c r="DZ56" s="608"/>
      <c r="EA56" s="608"/>
      <c r="EB56" s="608"/>
      <c r="EC56" s="608"/>
      <c r="ED56" s="608"/>
      <c r="EE56" s="608"/>
      <c r="EF56" s="608"/>
      <c r="EG56" s="608"/>
      <c r="EH56" s="608"/>
      <c r="EI56" s="608"/>
      <c r="EJ56" s="608"/>
      <c r="EK56" s="608"/>
      <c r="EL56" s="608"/>
      <c r="EM56" s="608"/>
      <c r="EN56" s="608"/>
      <c r="EO56" s="608"/>
      <c r="EP56" s="608"/>
      <c r="EQ56" s="608"/>
      <c r="ER56" s="608"/>
      <c r="ES56" s="608"/>
      <c r="ET56" s="608"/>
      <c r="EU56" s="608"/>
      <c r="EV56" s="608"/>
      <c r="EW56" s="608"/>
      <c r="EX56" s="608"/>
      <c r="EY56" s="608"/>
      <c r="EZ56" s="608"/>
      <c r="FA56" s="608"/>
      <c r="FB56" s="608"/>
      <c r="FC56" s="608"/>
      <c r="FD56" s="608"/>
      <c r="FE56" s="608"/>
      <c r="FF56" s="608"/>
      <c r="FG56" s="608"/>
      <c r="FH56" s="608"/>
      <c r="FI56" s="608"/>
      <c r="FJ56" s="608"/>
      <c r="FK56" s="608"/>
      <c r="FL56" s="608"/>
      <c r="FM56" s="608"/>
      <c r="FN56" s="608"/>
      <c r="FO56" s="608"/>
      <c r="FP56" s="608"/>
      <c r="FQ56" s="608"/>
      <c r="FR56" s="608"/>
      <c r="FS56" s="608"/>
      <c r="FT56" s="608"/>
      <c r="FU56" s="608"/>
      <c r="FV56" s="608"/>
      <c r="FW56" s="608"/>
      <c r="FX56" s="608"/>
      <c r="FY56" s="608"/>
      <c r="FZ56" s="608"/>
      <c r="GA56" s="608"/>
      <c r="GB56" s="608"/>
      <c r="GC56" s="608"/>
      <c r="GD56" s="608"/>
      <c r="GE56" s="608"/>
      <c r="GF56" s="608"/>
      <c r="GG56" s="608"/>
      <c r="GH56" s="608"/>
      <c r="GI56" s="608"/>
      <c r="GJ56" s="608"/>
      <c r="GK56" s="608"/>
      <c r="GL56" s="608"/>
      <c r="GM56" s="608"/>
      <c r="GN56" s="608"/>
      <c r="GO56" s="608"/>
      <c r="GP56" s="608"/>
      <c r="GQ56" s="608"/>
      <c r="GR56" s="608"/>
      <c r="GS56" s="608"/>
      <c r="GT56" s="608"/>
      <c r="GU56" s="608"/>
      <c r="GV56" s="608"/>
      <c r="GW56" s="608"/>
      <c r="GX56" s="608"/>
      <c r="GY56" s="608"/>
      <c r="GZ56" s="608"/>
      <c r="HA56" s="608"/>
      <c r="HB56" s="608"/>
      <c r="HC56" s="608"/>
      <c r="HD56" s="608"/>
      <c r="HE56" s="608"/>
      <c r="HF56" s="608"/>
      <c r="HG56" s="608"/>
      <c r="HH56" s="608"/>
      <c r="HI56" s="608"/>
      <c r="HJ56" s="608"/>
      <c r="HK56" s="608"/>
      <c r="HL56" s="608"/>
      <c r="HM56" s="608"/>
      <c r="HN56" s="608"/>
      <c r="HO56" s="608"/>
    </row>
    <row r="57" spans="1:29" ht="21" customHeight="1" thickBot="1" thickTop="1">
      <c r="A57" s="1043" t="s">
        <v>398</v>
      </c>
      <c r="B57" s="1044"/>
      <c r="C57" s="1045"/>
      <c r="D57" s="526">
        <f>SUM(D56,D40,D31)</f>
        <v>1191069151</v>
      </c>
      <c r="E57" s="527">
        <f>SUM(E56,E40,E31)</f>
        <v>133503645</v>
      </c>
      <c r="F57" s="528">
        <f>SUM(D57:E57)</f>
        <v>1324572796</v>
      </c>
      <c r="G57" s="529"/>
      <c r="H57" s="1069" t="s">
        <v>118</v>
      </c>
      <c r="I57" s="1070"/>
      <c r="J57" s="1071"/>
      <c r="K57" s="530">
        <f>SUM(K56,K40,K31)</f>
        <v>497167855</v>
      </c>
      <c r="L57" s="531"/>
      <c r="M57" s="1065" t="s">
        <v>119</v>
      </c>
      <c r="N57" s="1065"/>
      <c r="O57" s="1065"/>
      <c r="P57" s="1066"/>
      <c r="Q57" s="532">
        <f>SUM(Q56,Q40,Q31)</f>
        <v>269603803</v>
      </c>
      <c r="R57" s="533"/>
      <c r="S57" s="1065" t="s">
        <v>120</v>
      </c>
      <c r="T57" s="1065"/>
      <c r="U57" s="1065"/>
      <c r="V57" s="1066"/>
      <c r="W57" s="534">
        <f>SUM(W56,W40,W31)</f>
        <v>557801138</v>
      </c>
      <c r="X57" s="535">
        <f>SUM(X56,X40,X31)</f>
        <v>1061889839</v>
      </c>
      <c r="Y57" s="536">
        <f>SUM(Y56,Y40,Y31)</f>
        <v>262682957</v>
      </c>
      <c r="Z57" s="537">
        <f>SUM(W57+Q57+K57)</f>
        <v>1324572796</v>
      </c>
      <c r="AA57" s="538">
        <f>SUM(AA56,AA40,AA31)</f>
        <v>-129179312</v>
      </c>
      <c r="AB57" s="539">
        <f>SUM(AB56,AB40,AB31)</f>
        <v>129179312</v>
      </c>
      <c r="AC57" s="540">
        <f>SUM(AC56,AC40,AC31)</f>
        <v>0</v>
      </c>
    </row>
    <row r="58" spans="1:29" ht="19.5" thickTop="1">
      <c r="A58" s="1067"/>
      <c r="B58" s="1068"/>
      <c r="C58" s="1068"/>
      <c r="D58" s="481"/>
      <c r="E58" s="481"/>
      <c r="F58" s="481"/>
      <c r="G58" s="412"/>
      <c r="H58" s="412"/>
      <c r="I58" s="412"/>
      <c r="J58" s="541"/>
      <c r="K58" s="456"/>
      <c r="L58" s="410"/>
      <c r="M58" s="399"/>
      <c r="N58" s="399"/>
      <c r="O58" s="399"/>
      <c r="P58" s="399"/>
      <c r="Q58" s="399"/>
      <c r="R58" s="410"/>
      <c r="S58" s="481"/>
      <c r="T58" s="481"/>
      <c r="U58" s="481"/>
      <c r="V58" s="481"/>
      <c r="W58" s="481"/>
      <c r="X58" s="481"/>
      <c r="Y58" s="481"/>
      <c r="Z58" s="481"/>
      <c r="AA58" s="481"/>
      <c r="AB58" s="481"/>
      <c r="AC58" s="410"/>
    </row>
    <row r="59" spans="1:29" ht="15.75">
      <c r="A59" s="481"/>
      <c r="B59" s="481"/>
      <c r="C59" s="481"/>
      <c r="D59" s="1041" t="s">
        <v>539</v>
      </c>
      <c r="E59" s="1042"/>
      <c r="F59" s="1042"/>
      <c r="G59" s="363"/>
      <c r="H59" s="363"/>
      <c r="I59" s="363"/>
      <c r="J59" s="356"/>
      <c r="K59" s="456"/>
      <c r="L59" s="399"/>
      <c r="M59" s="399"/>
      <c r="N59" s="399"/>
      <c r="O59" s="399"/>
      <c r="P59" s="399"/>
      <c r="Q59" s="399"/>
      <c r="R59" s="399"/>
      <c r="S59" s="481"/>
      <c r="T59" s="481"/>
      <c r="U59" s="481"/>
      <c r="V59" s="481"/>
      <c r="W59" s="1041" t="s">
        <v>121</v>
      </c>
      <c r="X59" s="1042"/>
      <c r="Y59" s="1042"/>
      <c r="Z59" s="542"/>
      <c r="AA59" s="1041" t="s">
        <v>104</v>
      </c>
      <c r="AB59" s="1042"/>
      <c r="AC59" s="1042"/>
    </row>
    <row r="60" spans="1:29" ht="15.75">
      <c r="A60" s="481"/>
      <c r="B60" s="481"/>
      <c r="C60" s="481"/>
      <c r="D60" s="543" t="s">
        <v>105</v>
      </c>
      <c r="E60" s="543" t="s">
        <v>122</v>
      </c>
      <c r="F60" s="543" t="s">
        <v>106</v>
      </c>
      <c r="G60" s="363"/>
      <c r="H60" s="363"/>
      <c r="I60" s="363"/>
      <c r="J60" s="356"/>
      <c r="K60" s="456"/>
      <c r="L60" s="399"/>
      <c r="M60" s="399"/>
      <c r="N60" s="399"/>
      <c r="O60" s="399"/>
      <c r="P60" s="399"/>
      <c r="Q60" s="399"/>
      <c r="R60" s="399"/>
      <c r="S60" s="1047"/>
      <c r="T60" s="1047"/>
      <c r="U60" s="1047"/>
      <c r="V60" s="1047"/>
      <c r="W60" s="543" t="s">
        <v>105</v>
      </c>
      <c r="X60" s="543" t="s">
        <v>122</v>
      </c>
      <c r="Y60" s="543" t="s">
        <v>106</v>
      </c>
      <c r="Z60" s="544"/>
      <c r="AA60" s="543" t="s">
        <v>105</v>
      </c>
      <c r="AB60" s="543" t="s">
        <v>122</v>
      </c>
      <c r="AC60" s="543" t="s">
        <v>106</v>
      </c>
    </row>
    <row r="61" spans="1:29" ht="15.75">
      <c r="A61" s="481"/>
      <c r="B61" s="481"/>
      <c r="C61" s="545" t="s">
        <v>123</v>
      </c>
      <c r="D61" s="481"/>
      <c r="E61" s="481"/>
      <c r="F61" s="481"/>
      <c r="G61" s="363"/>
      <c r="H61" s="363"/>
      <c r="I61" s="363"/>
      <c r="J61" s="356"/>
      <c r="K61" s="456"/>
      <c r="L61" s="399"/>
      <c r="M61" s="399"/>
      <c r="N61" s="399"/>
      <c r="O61" s="399"/>
      <c r="P61" s="399"/>
      <c r="Q61" s="399"/>
      <c r="R61" s="399"/>
      <c r="S61" s="481"/>
      <c r="T61" s="545" t="s">
        <v>123</v>
      </c>
      <c r="U61" s="481"/>
      <c r="V61" s="1041"/>
      <c r="W61" s="1042"/>
      <c r="X61" s="481"/>
      <c r="Y61" s="481"/>
      <c r="Z61" s="481"/>
      <c r="AA61" s="481"/>
      <c r="AB61" s="481"/>
      <c r="AC61" s="399"/>
    </row>
    <row r="62" spans="1:29" ht="15.75">
      <c r="A62" s="481"/>
      <c r="B62" s="481"/>
      <c r="C62" s="481" t="s">
        <v>124</v>
      </c>
      <c r="D62" s="546">
        <f>SUM(D10)</f>
        <v>698907897</v>
      </c>
      <c r="E62" s="546">
        <f>SUM(E10)</f>
        <v>82441623</v>
      </c>
      <c r="F62" s="546">
        <f>SUM(D62:E62)</f>
        <v>781349520</v>
      </c>
      <c r="G62" s="363"/>
      <c r="H62" s="363"/>
      <c r="I62" s="363"/>
      <c r="J62" s="356"/>
      <c r="K62" s="456"/>
      <c r="L62" s="399"/>
      <c r="M62" s="399"/>
      <c r="N62" s="399"/>
      <c r="O62" s="399"/>
      <c r="P62" s="399"/>
      <c r="Q62" s="399"/>
      <c r="R62" s="399"/>
      <c r="S62" s="481"/>
      <c r="T62" s="481" t="s">
        <v>124</v>
      </c>
      <c r="U62" s="481"/>
      <c r="V62" s="481"/>
      <c r="W62" s="546">
        <f>SUM(X14)</f>
        <v>653988243</v>
      </c>
      <c r="X62" s="546">
        <f>Y14</f>
        <v>232935957</v>
      </c>
      <c r="Y62" s="546">
        <f>SUM(W62:X62)</f>
        <v>886924200</v>
      </c>
      <c r="Z62" s="463"/>
      <c r="AA62" s="546">
        <f aca="true" t="shared" si="0" ref="AA62:AB64">W62-D62</f>
        <v>-44919654</v>
      </c>
      <c r="AB62" s="546">
        <f t="shared" si="0"/>
        <v>150494334</v>
      </c>
      <c r="AC62" s="463">
        <f>SUM(AA62:AB62)</f>
        <v>105574680</v>
      </c>
    </row>
    <row r="63" spans="1:29" ht="15.75">
      <c r="A63" s="481"/>
      <c r="B63" s="481"/>
      <c r="C63" s="481" t="s">
        <v>405</v>
      </c>
      <c r="D63" s="546">
        <f>SUM(D36)</f>
        <v>131791977</v>
      </c>
      <c r="E63" s="546">
        <f>SUM(E36)</f>
        <v>500000</v>
      </c>
      <c r="F63" s="546">
        <f>SUM(D63:E63)</f>
        <v>132291977</v>
      </c>
      <c r="G63" s="363"/>
      <c r="H63" s="363"/>
      <c r="I63" s="363"/>
      <c r="J63" s="547"/>
      <c r="K63" s="456"/>
      <c r="L63" s="399"/>
      <c r="M63" s="399"/>
      <c r="N63" s="399"/>
      <c r="O63" s="399"/>
      <c r="P63" s="399"/>
      <c r="Q63" s="399"/>
      <c r="R63" s="399"/>
      <c r="S63" s="481"/>
      <c r="T63" s="481" t="s">
        <v>405</v>
      </c>
      <c r="U63" s="481"/>
      <c r="V63" s="481"/>
      <c r="W63" s="546">
        <f>SUM(X36)</f>
        <v>139761410</v>
      </c>
      <c r="X63" s="546">
        <f>Y36</f>
        <v>0</v>
      </c>
      <c r="Y63" s="546">
        <f>SUM(W63:X63)</f>
        <v>139761410</v>
      </c>
      <c r="Z63" s="463"/>
      <c r="AA63" s="546">
        <f t="shared" si="0"/>
        <v>7969433</v>
      </c>
      <c r="AB63" s="546">
        <f t="shared" si="0"/>
        <v>-500000</v>
      </c>
      <c r="AC63" s="463">
        <f>SUM(AA63:AB63)</f>
        <v>7469433</v>
      </c>
    </row>
    <row r="64" spans="1:29" ht="12.75">
      <c r="A64" s="481"/>
      <c r="B64" s="481"/>
      <c r="C64" s="548" t="s">
        <v>125</v>
      </c>
      <c r="D64" s="549">
        <f>SUM(D47)</f>
        <v>240694459</v>
      </c>
      <c r="E64" s="549">
        <f>SUM(E47)</f>
        <v>755190</v>
      </c>
      <c r="F64" s="549">
        <f>SUM(D64:E64)</f>
        <v>241449649</v>
      </c>
      <c r="G64" s="481"/>
      <c r="H64" s="481"/>
      <c r="I64" s="481"/>
      <c r="J64" s="481"/>
      <c r="K64" s="399"/>
      <c r="L64" s="399"/>
      <c r="M64" s="399"/>
      <c r="N64" s="399"/>
      <c r="O64" s="399"/>
      <c r="P64" s="399"/>
      <c r="Q64" s="399"/>
      <c r="R64" s="399"/>
      <c r="S64" s="481"/>
      <c r="T64" s="548" t="s">
        <v>125</v>
      </c>
      <c r="U64" s="550"/>
      <c r="V64" s="550"/>
      <c r="W64" s="549">
        <f>SUM(X47)</f>
        <v>202324276</v>
      </c>
      <c r="X64" s="549">
        <f>Y47</f>
        <v>0</v>
      </c>
      <c r="Y64" s="549">
        <f>SUM(W64:X64)</f>
        <v>202324276</v>
      </c>
      <c r="Z64" s="463"/>
      <c r="AA64" s="549">
        <f t="shared" si="0"/>
        <v>-38370183</v>
      </c>
      <c r="AB64" s="549">
        <f t="shared" si="0"/>
        <v>-755190</v>
      </c>
      <c r="AC64" s="549">
        <f>SUM(AA64:AB64)</f>
        <v>-39125373</v>
      </c>
    </row>
    <row r="65" spans="1:29" ht="12.75">
      <c r="A65" s="481"/>
      <c r="B65" s="481"/>
      <c r="C65" s="551" t="s">
        <v>397</v>
      </c>
      <c r="D65" s="546">
        <f>SUM(D62:D64)</f>
        <v>1071394333</v>
      </c>
      <c r="E65" s="546">
        <f>SUM(E62:E64)</f>
        <v>83696813</v>
      </c>
      <c r="F65" s="546">
        <f>SUM(F62:F64)</f>
        <v>1155091146</v>
      </c>
      <c r="G65" s="481"/>
      <c r="H65" s="481"/>
      <c r="I65" s="481"/>
      <c r="J65" s="481"/>
      <c r="K65" s="399"/>
      <c r="L65" s="399"/>
      <c r="M65" s="399"/>
      <c r="N65" s="399"/>
      <c r="O65" s="399"/>
      <c r="P65" s="399"/>
      <c r="Q65" s="399"/>
      <c r="R65" s="399"/>
      <c r="S65" s="481"/>
      <c r="T65" s="551" t="s">
        <v>397</v>
      </c>
      <c r="U65" s="481"/>
      <c r="V65" s="551"/>
      <c r="W65" s="546">
        <f>SUM(W62:W64)</f>
        <v>996073929</v>
      </c>
      <c r="X65" s="546">
        <f>SUM(X62:X64)</f>
        <v>232935957</v>
      </c>
      <c r="Y65" s="546">
        <f>SUM(Y62:Y64)</f>
        <v>1229009886</v>
      </c>
      <c r="Z65" s="463"/>
      <c r="AA65" s="546">
        <f>SUM(AA62:AA64)</f>
        <v>-75320404</v>
      </c>
      <c r="AB65" s="546">
        <f>SUM(AB62:AB64)</f>
        <v>149239144</v>
      </c>
      <c r="AC65" s="546">
        <f>SUM(AC62:AC64)</f>
        <v>73918740</v>
      </c>
    </row>
    <row r="66" spans="1:29" ht="12.75">
      <c r="A66" s="481"/>
      <c r="B66" s="481"/>
      <c r="C66" s="551"/>
      <c r="D66" s="546"/>
      <c r="E66" s="546"/>
      <c r="F66" s="546"/>
      <c r="G66" s="481"/>
      <c r="H66" s="481"/>
      <c r="I66" s="481"/>
      <c r="J66" s="481"/>
      <c r="K66" s="481"/>
      <c r="L66" s="399"/>
      <c r="M66" s="399"/>
      <c r="N66" s="399"/>
      <c r="O66" s="399"/>
      <c r="P66" s="399"/>
      <c r="Q66" s="399"/>
      <c r="R66" s="399"/>
      <c r="S66" s="481"/>
      <c r="T66" s="481"/>
      <c r="U66" s="481"/>
      <c r="V66" s="481"/>
      <c r="W66" s="481"/>
      <c r="X66" s="481"/>
      <c r="Y66" s="481"/>
      <c r="Z66" s="481"/>
      <c r="AA66" s="481"/>
      <c r="AB66" s="481"/>
      <c r="AC66" s="399"/>
    </row>
    <row r="67" spans="1:29" ht="12.75">
      <c r="A67" s="481"/>
      <c r="B67" s="481"/>
      <c r="C67" s="545" t="s">
        <v>126</v>
      </c>
      <c r="D67" s="546"/>
      <c r="E67" s="546"/>
      <c r="F67" s="546"/>
      <c r="G67" s="481"/>
      <c r="H67" s="481"/>
      <c r="I67" s="481"/>
      <c r="J67" s="481"/>
      <c r="K67" s="481"/>
      <c r="L67" s="399"/>
      <c r="M67" s="399"/>
      <c r="N67" s="399"/>
      <c r="O67" s="399"/>
      <c r="P67" s="399"/>
      <c r="Q67" s="399"/>
      <c r="R67" s="399"/>
      <c r="S67" s="481"/>
      <c r="T67" s="545" t="s">
        <v>126</v>
      </c>
      <c r="U67" s="552"/>
      <c r="V67" s="545"/>
      <c r="W67" s="553"/>
      <c r="X67" s="553"/>
      <c r="Y67" s="481"/>
      <c r="Z67" s="481"/>
      <c r="AA67" s="481"/>
      <c r="AB67" s="481"/>
      <c r="AC67" s="399"/>
    </row>
    <row r="68" spans="1:29" ht="12.75">
      <c r="A68" s="481"/>
      <c r="B68" s="481"/>
      <c r="C68" s="481" t="s">
        <v>124</v>
      </c>
      <c r="D68" s="546">
        <f>SUM(D28)</f>
        <v>66095459</v>
      </c>
      <c r="E68" s="546">
        <f>SUM(E28)</f>
        <v>49464059</v>
      </c>
      <c r="F68" s="546">
        <f>SUM(D68:E68)</f>
        <v>115559518</v>
      </c>
      <c r="G68" s="481"/>
      <c r="H68" s="481"/>
      <c r="I68" s="481"/>
      <c r="J68" s="481"/>
      <c r="K68" s="481"/>
      <c r="L68" s="399"/>
      <c r="M68" s="399"/>
      <c r="N68" s="399"/>
      <c r="O68" s="399"/>
      <c r="P68" s="399"/>
      <c r="Q68" s="399"/>
      <c r="R68" s="399"/>
      <c r="S68" s="481"/>
      <c r="T68" s="481" t="s">
        <v>124</v>
      </c>
      <c r="U68" s="481"/>
      <c r="V68" s="481"/>
      <c r="W68" s="546">
        <f>SUM(X28)</f>
        <v>17655000</v>
      </c>
      <c r="X68" s="546">
        <f>Y28</f>
        <v>29747000</v>
      </c>
      <c r="Y68" s="546">
        <f>SUM(W68:X68)</f>
        <v>47402000</v>
      </c>
      <c r="Z68" s="463"/>
      <c r="AA68" s="546">
        <f aca="true" t="shared" si="1" ref="AA68:AB70">W68-D68</f>
        <v>-48440459</v>
      </c>
      <c r="AB68" s="546">
        <f t="shared" si="1"/>
        <v>-19717059</v>
      </c>
      <c r="AC68" s="463">
        <f>SUM(AA68:AB68)</f>
        <v>-68157518</v>
      </c>
    </row>
    <row r="69" spans="1:29" ht="12.75">
      <c r="A69" s="481"/>
      <c r="B69" s="481"/>
      <c r="C69" s="481" t="s">
        <v>405</v>
      </c>
      <c r="D69" s="546">
        <v>0</v>
      </c>
      <c r="E69" s="546">
        <v>0</v>
      </c>
      <c r="F69" s="546">
        <f>SUM(D69:E69)</f>
        <v>0</v>
      </c>
      <c r="G69" s="481"/>
      <c r="H69" s="481"/>
      <c r="I69" s="481"/>
      <c r="J69" s="481"/>
      <c r="K69" s="481"/>
      <c r="L69" s="399"/>
      <c r="M69" s="399"/>
      <c r="N69" s="399"/>
      <c r="O69" s="399"/>
      <c r="P69" s="399"/>
      <c r="Q69" s="399"/>
      <c r="R69" s="399"/>
      <c r="S69" s="481"/>
      <c r="T69" s="481" t="s">
        <v>405</v>
      </c>
      <c r="U69" s="481"/>
      <c r="V69" s="481"/>
      <c r="W69" s="546">
        <v>0</v>
      </c>
      <c r="X69" s="546">
        <v>0</v>
      </c>
      <c r="Y69" s="546">
        <f>SUM(W69:X69)</f>
        <v>0</v>
      </c>
      <c r="Z69" s="463"/>
      <c r="AA69" s="546">
        <f t="shared" si="1"/>
        <v>0</v>
      </c>
      <c r="AB69" s="546">
        <f t="shared" si="1"/>
        <v>0</v>
      </c>
      <c r="AC69" s="463">
        <f>SUM(AA69:AB69)</f>
        <v>0</v>
      </c>
    </row>
    <row r="70" spans="1:29" ht="12.75">
      <c r="A70" s="481"/>
      <c r="B70" s="481"/>
      <c r="C70" s="548" t="s">
        <v>125</v>
      </c>
      <c r="D70" s="549">
        <f>SUM(D54)</f>
        <v>6245115</v>
      </c>
      <c r="E70" s="549">
        <f>SUM(E54)</f>
        <v>0</v>
      </c>
      <c r="F70" s="549">
        <f>SUM(D70:E70)</f>
        <v>6245115</v>
      </c>
      <c r="G70" s="481"/>
      <c r="H70" s="481"/>
      <c r="I70" s="481"/>
      <c r="J70" s="481"/>
      <c r="K70" s="481"/>
      <c r="L70" s="399"/>
      <c r="M70" s="399"/>
      <c r="N70" s="399"/>
      <c r="O70" s="399"/>
      <c r="P70" s="399"/>
      <c r="Q70" s="399"/>
      <c r="R70" s="399"/>
      <c r="S70" s="481"/>
      <c r="T70" s="548" t="s">
        <v>125</v>
      </c>
      <c r="U70" s="550"/>
      <c r="V70" s="550"/>
      <c r="W70" s="549">
        <f>SUM(X54)</f>
        <v>6245115</v>
      </c>
      <c r="X70" s="549">
        <v>0</v>
      </c>
      <c r="Y70" s="549">
        <f>SUM(W70:X70)</f>
        <v>6245115</v>
      </c>
      <c r="Z70" s="463"/>
      <c r="AA70" s="549">
        <f t="shared" si="1"/>
        <v>0</v>
      </c>
      <c r="AB70" s="549">
        <f t="shared" si="1"/>
        <v>0</v>
      </c>
      <c r="AC70" s="549">
        <f>SUM(AA70:AB70)</f>
        <v>0</v>
      </c>
    </row>
    <row r="71" spans="1:29" ht="12.75">
      <c r="A71" s="481"/>
      <c r="B71" s="481"/>
      <c r="C71" s="551" t="s">
        <v>397</v>
      </c>
      <c r="D71" s="546">
        <f>SUM(D68:D70)</f>
        <v>72340574</v>
      </c>
      <c r="E71" s="546">
        <f>SUM(E68:E70)</f>
        <v>49464059</v>
      </c>
      <c r="F71" s="546">
        <f>SUM(F68:F70)</f>
        <v>121804633</v>
      </c>
      <c r="G71" s="481"/>
      <c r="H71" s="481"/>
      <c r="I71" s="481"/>
      <c r="J71" s="481"/>
      <c r="K71" s="481"/>
      <c r="L71" s="399"/>
      <c r="M71" s="399"/>
      <c r="N71" s="399"/>
      <c r="O71" s="399"/>
      <c r="P71" s="399"/>
      <c r="Q71" s="399"/>
      <c r="R71" s="399"/>
      <c r="S71" s="481"/>
      <c r="T71" s="551" t="s">
        <v>397</v>
      </c>
      <c r="U71" s="481"/>
      <c r="V71" s="551"/>
      <c r="W71" s="546">
        <f>SUM(W68:W70)</f>
        <v>23900115</v>
      </c>
      <c r="X71" s="546">
        <f>SUM(X68:X70)</f>
        <v>29747000</v>
      </c>
      <c r="Y71" s="546">
        <f>SUM(Y68:Y70)</f>
        <v>53647115</v>
      </c>
      <c r="Z71" s="463"/>
      <c r="AA71" s="546">
        <f>SUM(AA68:AA70)</f>
        <v>-48440459</v>
      </c>
      <c r="AB71" s="546">
        <f>SUM(AB68:AB70)</f>
        <v>-19717059</v>
      </c>
      <c r="AC71" s="546">
        <f>SUM(AC68:AC70)</f>
        <v>-68157518</v>
      </c>
    </row>
    <row r="72" spans="1:29" ht="12.75">
      <c r="A72" s="481"/>
      <c r="B72" s="481"/>
      <c r="C72" s="551"/>
      <c r="D72" s="546"/>
      <c r="E72" s="546"/>
      <c r="F72" s="546"/>
      <c r="G72" s="481"/>
      <c r="H72" s="481"/>
      <c r="I72" s="481"/>
      <c r="J72" s="481"/>
      <c r="K72" s="481"/>
      <c r="L72" s="481"/>
      <c r="M72" s="481"/>
      <c r="N72" s="481"/>
      <c r="O72" s="481"/>
      <c r="P72" s="481"/>
      <c r="Q72" s="481"/>
      <c r="R72" s="481"/>
      <c r="S72" s="481"/>
      <c r="T72" s="481"/>
      <c r="U72" s="481"/>
      <c r="V72" s="481"/>
      <c r="W72" s="481"/>
      <c r="X72" s="481"/>
      <c r="Y72" s="481"/>
      <c r="Z72" s="399"/>
      <c r="AA72" s="546"/>
      <c r="AB72" s="546"/>
      <c r="AC72" s="399"/>
    </row>
    <row r="73" spans="1:29" ht="12.75">
      <c r="A73" s="481"/>
      <c r="B73" s="481"/>
      <c r="C73" s="545" t="s">
        <v>127</v>
      </c>
      <c r="D73" s="546"/>
      <c r="E73" s="546"/>
      <c r="F73" s="546"/>
      <c r="G73" s="481"/>
      <c r="H73" s="481"/>
      <c r="I73" s="481"/>
      <c r="J73" s="481"/>
      <c r="K73" s="481"/>
      <c r="L73" s="481"/>
      <c r="M73" s="481"/>
      <c r="N73" s="481"/>
      <c r="O73" s="481"/>
      <c r="P73" s="481"/>
      <c r="Q73" s="481"/>
      <c r="R73" s="481"/>
      <c r="S73" s="481"/>
      <c r="T73" s="545" t="s">
        <v>127</v>
      </c>
      <c r="U73" s="481"/>
      <c r="V73" s="545"/>
      <c r="W73" s="481"/>
      <c r="X73" s="481"/>
      <c r="Y73" s="481"/>
      <c r="Z73" s="399"/>
      <c r="AA73" s="546"/>
      <c r="AB73" s="546"/>
      <c r="AC73" s="399"/>
    </row>
    <row r="74" spans="1:29" ht="12.75">
      <c r="A74" s="481"/>
      <c r="B74" s="481"/>
      <c r="C74" s="481" t="s">
        <v>124</v>
      </c>
      <c r="D74" s="546">
        <f>SUM(D26)</f>
        <v>47334244</v>
      </c>
      <c r="E74" s="546">
        <f>SUM(E26)</f>
        <v>342773</v>
      </c>
      <c r="F74" s="546">
        <f>SUM(D74:E74)</f>
        <v>47677017</v>
      </c>
      <c r="G74" s="481"/>
      <c r="H74" s="481"/>
      <c r="I74" s="481"/>
      <c r="J74" s="481"/>
      <c r="K74" s="481"/>
      <c r="L74" s="481"/>
      <c r="M74" s="481"/>
      <c r="N74" s="481"/>
      <c r="O74" s="481"/>
      <c r="P74" s="481"/>
      <c r="Q74" s="481"/>
      <c r="R74" s="481"/>
      <c r="S74" s="481"/>
      <c r="T74" s="481" t="s">
        <v>124</v>
      </c>
      <c r="U74" s="481"/>
      <c r="V74" s="481"/>
      <c r="W74" s="546">
        <f>SUM(X26)</f>
        <v>41915795</v>
      </c>
      <c r="X74" s="546">
        <v>0</v>
      </c>
      <c r="Y74" s="546">
        <f>SUM(W74:X74)</f>
        <v>41915795</v>
      </c>
      <c r="Z74" s="463"/>
      <c r="AA74" s="546">
        <f aca="true" t="shared" si="2" ref="AA74:AB76">W74-D74</f>
        <v>-5418449</v>
      </c>
      <c r="AB74" s="546">
        <f t="shared" si="2"/>
        <v>-342773</v>
      </c>
      <c r="AC74" s="463">
        <f>SUM(AA74:AB74)</f>
        <v>-5761222</v>
      </c>
    </row>
    <row r="75" spans="1:29" ht="12.75">
      <c r="A75" s="481"/>
      <c r="B75" s="481"/>
      <c r="C75" s="481" t="s">
        <v>405</v>
      </c>
      <c r="D75" s="546">
        <v>0</v>
      </c>
      <c r="E75" s="546">
        <v>0</v>
      </c>
      <c r="F75" s="546">
        <f>SUM(D75:E75)</f>
        <v>0</v>
      </c>
      <c r="G75" s="481"/>
      <c r="H75" s="481"/>
      <c r="I75" s="481"/>
      <c r="J75" s="481"/>
      <c r="K75" s="481"/>
      <c r="L75" s="481"/>
      <c r="M75" s="481"/>
      <c r="N75" s="481"/>
      <c r="O75" s="481"/>
      <c r="P75" s="481"/>
      <c r="Q75" s="481"/>
      <c r="R75" s="481"/>
      <c r="S75" s="481"/>
      <c r="T75" s="481" t="s">
        <v>405</v>
      </c>
      <c r="U75" s="481"/>
      <c r="V75" s="481"/>
      <c r="W75" s="546">
        <v>0</v>
      </c>
      <c r="X75" s="546">
        <v>0</v>
      </c>
      <c r="Y75" s="546">
        <f>SUM(W75:X75)</f>
        <v>0</v>
      </c>
      <c r="Z75" s="463"/>
      <c r="AA75" s="546">
        <f t="shared" si="2"/>
        <v>0</v>
      </c>
      <c r="AB75" s="546">
        <f t="shared" si="2"/>
        <v>0</v>
      </c>
      <c r="AC75" s="463">
        <f>SUM(AA75:AB75)</f>
        <v>0</v>
      </c>
    </row>
    <row r="76" spans="1:29" ht="12.75">
      <c r="A76" s="481"/>
      <c r="B76" s="481"/>
      <c r="C76" s="548" t="s">
        <v>125</v>
      </c>
      <c r="D76" s="549">
        <v>0</v>
      </c>
      <c r="E76" s="549">
        <v>0</v>
      </c>
      <c r="F76" s="549">
        <f>SUM(D76:E76)</f>
        <v>0</v>
      </c>
      <c r="G76" s="481"/>
      <c r="H76" s="481"/>
      <c r="I76" s="481"/>
      <c r="J76" s="481"/>
      <c r="K76" s="481"/>
      <c r="L76" s="481"/>
      <c r="M76" s="481"/>
      <c r="N76" s="481"/>
      <c r="O76" s="481"/>
      <c r="P76" s="481"/>
      <c r="Q76" s="481"/>
      <c r="R76" s="481"/>
      <c r="S76" s="481"/>
      <c r="T76" s="548" t="s">
        <v>125</v>
      </c>
      <c r="U76" s="550"/>
      <c r="V76" s="550"/>
      <c r="W76" s="549">
        <v>0</v>
      </c>
      <c r="X76" s="549">
        <v>0</v>
      </c>
      <c r="Y76" s="549">
        <f>SUM(W76:X76)</f>
        <v>0</v>
      </c>
      <c r="Z76" s="463"/>
      <c r="AA76" s="549">
        <f t="shared" si="2"/>
        <v>0</v>
      </c>
      <c r="AB76" s="549">
        <f t="shared" si="2"/>
        <v>0</v>
      </c>
      <c r="AC76" s="549">
        <f>SUM(AA76:AB76)</f>
        <v>0</v>
      </c>
    </row>
    <row r="77" spans="1:29" ht="12.75">
      <c r="A77" s="481"/>
      <c r="B77" s="481"/>
      <c r="C77" s="551" t="s">
        <v>397</v>
      </c>
      <c r="D77" s="546">
        <f>SUM(D74:D76)</f>
        <v>47334244</v>
      </c>
      <c r="E77" s="546">
        <f>SUM(E74:E76)</f>
        <v>342773</v>
      </c>
      <c r="F77" s="546">
        <f>SUM(F74:F76)</f>
        <v>47677017</v>
      </c>
      <c r="G77" s="481"/>
      <c r="H77" s="481"/>
      <c r="I77" s="481"/>
      <c r="J77" s="481"/>
      <c r="K77" s="481"/>
      <c r="L77" s="481"/>
      <c r="M77" s="481"/>
      <c r="N77" s="481"/>
      <c r="O77" s="481"/>
      <c r="P77" s="481"/>
      <c r="Q77" s="481"/>
      <c r="R77" s="481"/>
      <c r="S77" s="481"/>
      <c r="T77" s="551" t="s">
        <v>397</v>
      </c>
      <c r="U77" s="481"/>
      <c r="V77" s="551"/>
      <c r="W77" s="546">
        <f>SUM(W74:W76)</f>
        <v>41915795</v>
      </c>
      <c r="X77" s="546">
        <f>SUM(X74:X76)</f>
        <v>0</v>
      </c>
      <c r="Y77" s="546">
        <f>SUM(Y74:Y76)</f>
        <v>41915795</v>
      </c>
      <c r="Z77" s="463"/>
      <c r="AA77" s="546">
        <f>SUM(AA74:AA76)</f>
        <v>-5418449</v>
      </c>
      <c r="AB77" s="546">
        <f>SUM(AB74:AB76)</f>
        <v>-342773</v>
      </c>
      <c r="AC77" s="546">
        <f>SUM(AC74:AC76)</f>
        <v>-5761222</v>
      </c>
    </row>
    <row r="78" spans="1:29" ht="12.75">
      <c r="A78" s="481"/>
      <c r="B78" s="481"/>
      <c r="C78" s="551"/>
      <c r="D78" s="481"/>
      <c r="E78" s="481"/>
      <c r="F78" s="481"/>
      <c r="G78" s="481"/>
      <c r="H78" s="481"/>
      <c r="I78" s="481"/>
      <c r="J78" s="481"/>
      <c r="K78" s="481"/>
      <c r="L78" s="481"/>
      <c r="M78" s="481"/>
      <c r="N78" s="481"/>
      <c r="O78" s="481"/>
      <c r="P78" s="481"/>
      <c r="Q78" s="481"/>
      <c r="R78" s="481"/>
      <c r="S78" s="481"/>
      <c r="T78" s="481"/>
      <c r="U78" s="481"/>
      <c r="V78" s="481"/>
      <c r="W78" s="481"/>
      <c r="X78" s="481"/>
      <c r="Y78" s="481"/>
      <c r="Z78" s="399"/>
      <c r="AA78" s="546"/>
      <c r="AB78" s="546"/>
      <c r="AC78" s="399"/>
    </row>
    <row r="79" spans="1:29" ht="12.75">
      <c r="A79" s="481"/>
      <c r="B79" s="481"/>
      <c r="C79" s="554" t="s">
        <v>128</v>
      </c>
      <c r="D79" s="555">
        <f>SUM(D77,D71,D65)</f>
        <v>1191069151</v>
      </c>
      <c r="E79" s="555">
        <f>SUM(E77,E71,E65)</f>
        <v>133503645</v>
      </c>
      <c r="F79" s="555">
        <f>SUM(F77,F71,F65)</f>
        <v>1324572796</v>
      </c>
      <c r="G79" s="554"/>
      <c r="H79" s="554"/>
      <c r="I79" s="554"/>
      <c r="J79" s="554"/>
      <c r="K79" s="554"/>
      <c r="L79" s="554"/>
      <c r="M79" s="554"/>
      <c r="N79" s="554"/>
      <c r="O79" s="554"/>
      <c r="P79" s="554"/>
      <c r="Q79" s="554"/>
      <c r="R79" s="554"/>
      <c r="S79" s="554"/>
      <c r="T79" s="554" t="s">
        <v>128</v>
      </c>
      <c r="U79" s="554"/>
      <c r="V79" s="554"/>
      <c r="W79" s="555">
        <f>SUM(W77,W71,W65)</f>
        <v>1061889839</v>
      </c>
      <c r="X79" s="555">
        <f>SUM(X77,X71,X65)</f>
        <v>262682957</v>
      </c>
      <c r="Y79" s="555">
        <f>SUM(Y77,Y71,Y65)</f>
        <v>1324572796</v>
      </c>
      <c r="Z79" s="379"/>
      <c r="AA79" s="555">
        <f>SUM(AA77,AA71,AA65)</f>
        <v>-129179312</v>
      </c>
      <c r="AB79" s="555">
        <f>SUM(AB77,AB71,AB65)</f>
        <v>129179312</v>
      </c>
      <c r="AC79" s="555">
        <f>SUM(AC77,AC71,AC65)</f>
        <v>0</v>
      </c>
    </row>
    <row r="80" spans="1:29" ht="12.75">
      <c r="A80" s="554"/>
      <c r="B80" s="554"/>
      <c r="D80" s="481"/>
      <c r="E80" s="481"/>
      <c r="F80" s="481"/>
      <c r="G80" s="481"/>
      <c r="H80" s="481"/>
      <c r="I80" s="481"/>
      <c r="J80" s="481"/>
      <c r="K80" s="481"/>
      <c r="L80" s="481"/>
      <c r="M80" s="481"/>
      <c r="N80" s="481"/>
      <c r="O80" s="481"/>
      <c r="P80" s="481"/>
      <c r="Q80" s="481"/>
      <c r="R80" s="481"/>
      <c r="S80" s="481"/>
      <c r="T80" s="481"/>
      <c r="U80" s="481"/>
      <c r="V80" s="481"/>
      <c r="W80" s="481"/>
      <c r="X80" s="481"/>
      <c r="Y80" s="481"/>
      <c r="Z80" s="481"/>
      <c r="AA80" s="481"/>
      <c r="AB80" s="481"/>
      <c r="AC80" s="399"/>
    </row>
    <row r="81" spans="1:29" ht="12.75">
      <c r="A81" s="481"/>
      <c r="B81" s="481"/>
      <c r="C81" s="481"/>
      <c r="D81" s="481"/>
      <c r="E81" s="481"/>
      <c r="F81" s="481"/>
      <c r="G81" s="481"/>
      <c r="H81" s="481"/>
      <c r="I81" s="481"/>
      <c r="J81" s="481"/>
      <c r="K81" s="481"/>
      <c r="L81" s="481"/>
      <c r="M81" s="481"/>
      <c r="N81" s="481"/>
      <c r="O81" s="481"/>
      <c r="P81" s="481"/>
      <c r="Q81" s="481"/>
      <c r="R81" s="481"/>
      <c r="S81" s="481"/>
      <c r="T81" s="481"/>
      <c r="U81" s="481"/>
      <c r="V81" s="481"/>
      <c r="W81" s="481"/>
      <c r="X81" s="481"/>
      <c r="Y81" s="481"/>
      <c r="Z81" s="481"/>
      <c r="AA81" s="481"/>
      <c r="AB81" s="481"/>
      <c r="AC81" s="399"/>
    </row>
    <row r="82" spans="1:3" ht="12.75">
      <c r="A82" s="481"/>
      <c r="B82" s="481"/>
      <c r="C82" s="481"/>
    </row>
  </sheetData>
  <sheetProtection/>
  <mergeCells count="162">
    <mergeCell ref="G30:I30"/>
    <mergeCell ref="L23:O23"/>
    <mergeCell ref="L29:O29"/>
    <mergeCell ref="K29:K30"/>
    <mergeCell ref="Q29:Q30"/>
    <mergeCell ref="V61:W61"/>
    <mergeCell ref="S40:V40"/>
    <mergeCell ref="R42:W43"/>
    <mergeCell ref="R35:U35"/>
    <mergeCell ref="R36:U36"/>
    <mergeCell ref="G25:I25"/>
    <mergeCell ref="G35:I35"/>
    <mergeCell ref="R54:U54"/>
    <mergeCell ref="R52:U52"/>
    <mergeCell ref="S57:V57"/>
    <mergeCell ref="A58:C58"/>
    <mergeCell ref="H57:J57"/>
    <mergeCell ref="M57:P57"/>
    <mergeCell ref="H56:J56"/>
    <mergeCell ref="M56:P56"/>
    <mergeCell ref="A42:C43"/>
    <mergeCell ref="A54:C54"/>
    <mergeCell ref="G46:I46"/>
    <mergeCell ref="L53:O53"/>
    <mergeCell ref="L54:O54"/>
    <mergeCell ref="D59:F59"/>
    <mergeCell ref="A47:C47"/>
    <mergeCell ref="D42:F42"/>
    <mergeCell ref="G42:K43"/>
    <mergeCell ref="A52:C52"/>
    <mergeCell ref="AA59:AC59"/>
    <mergeCell ref="S60:V60"/>
    <mergeCell ref="L36:O36"/>
    <mergeCell ref="G48:I48"/>
    <mergeCell ref="G47:I47"/>
    <mergeCell ref="G49:I49"/>
    <mergeCell ref="K53:K55"/>
    <mergeCell ref="S56:V56"/>
    <mergeCell ref="R48:U48"/>
    <mergeCell ref="K44:K52"/>
    <mergeCell ref="A56:C56"/>
    <mergeCell ref="G52:I52"/>
    <mergeCell ref="G53:I53"/>
    <mergeCell ref="W59:Y59"/>
    <mergeCell ref="A57:C57"/>
    <mergeCell ref="L42:Q43"/>
    <mergeCell ref="G45:I45"/>
    <mergeCell ref="W45:W52"/>
    <mergeCell ref="G51:I51"/>
    <mergeCell ref="Q53:Q55"/>
    <mergeCell ref="G50:I50"/>
    <mergeCell ref="A40:C40"/>
    <mergeCell ref="H40:J40"/>
    <mergeCell ref="M40:P40"/>
    <mergeCell ref="G37:I37"/>
    <mergeCell ref="AA42:AC42"/>
    <mergeCell ref="L45:O45"/>
    <mergeCell ref="Q45:Q52"/>
    <mergeCell ref="R47:U47"/>
    <mergeCell ref="G44:I44"/>
    <mergeCell ref="X42:Z42"/>
    <mergeCell ref="A32:C33"/>
    <mergeCell ref="D32:F32"/>
    <mergeCell ref="G32:K33"/>
    <mergeCell ref="L34:O35"/>
    <mergeCell ref="L32:Q33"/>
    <mergeCell ref="K34:K39"/>
    <mergeCell ref="Q34:Q39"/>
    <mergeCell ref="P34:P35"/>
    <mergeCell ref="G34:I34"/>
    <mergeCell ref="R38:U38"/>
    <mergeCell ref="B26:C26"/>
    <mergeCell ref="L18:O18"/>
    <mergeCell ref="W34:W39"/>
    <mergeCell ref="R37:U37"/>
    <mergeCell ref="R39:U39"/>
    <mergeCell ref="M31:P31"/>
    <mergeCell ref="R34:U34"/>
    <mergeCell ref="B36:C36"/>
    <mergeCell ref="G38:I38"/>
    <mergeCell ref="A30:C30"/>
    <mergeCell ref="A31:C31"/>
    <mergeCell ref="H31:J31"/>
    <mergeCell ref="L30:O30"/>
    <mergeCell ref="G17:I17"/>
    <mergeCell ref="G22:I22"/>
    <mergeCell ref="A28:C28"/>
    <mergeCell ref="L25:O25"/>
    <mergeCell ref="K8:K21"/>
    <mergeCell ref="L22:O22"/>
    <mergeCell ref="AA32:AC32"/>
    <mergeCell ref="R32:W33"/>
    <mergeCell ref="X32:Z32"/>
    <mergeCell ref="W8:W21"/>
    <mergeCell ref="R17:U17"/>
    <mergeCell ref="R10:U10"/>
    <mergeCell ref="S31:V31"/>
    <mergeCell ref="R14:U14"/>
    <mergeCell ref="R18:U18"/>
    <mergeCell ref="R27:U27"/>
    <mergeCell ref="T1:AB1"/>
    <mergeCell ref="X6:Z6"/>
    <mergeCell ref="AA6:AC6"/>
    <mergeCell ref="A6:C7"/>
    <mergeCell ref="L6:Q7"/>
    <mergeCell ref="R6:W7"/>
    <mergeCell ref="D6:F6"/>
    <mergeCell ref="G6:K7"/>
    <mergeCell ref="A3:AC3"/>
    <mergeCell ref="G8:I8"/>
    <mergeCell ref="G12:I12"/>
    <mergeCell ref="R8:U8"/>
    <mergeCell ref="L11:O11"/>
    <mergeCell ref="L8:O8"/>
    <mergeCell ref="R11:U11"/>
    <mergeCell ref="R12:U12"/>
    <mergeCell ref="G9:I9"/>
    <mergeCell ref="R9:U9"/>
    <mergeCell ref="G10:I10"/>
    <mergeCell ref="L9:O9"/>
    <mergeCell ref="L19:O19"/>
    <mergeCell ref="L15:O15"/>
    <mergeCell ref="L16:O16"/>
    <mergeCell ref="Q8:Q21"/>
    <mergeCell ref="R13:U13"/>
    <mergeCell ref="R15:U15"/>
    <mergeCell ref="L14:O14"/>
    <mergeCell ref="L10:O10"/>
    <mergeCell ref="Q25:Q26"/>
    <mergeCell ref="L26:O26"/>
    <mergeCell ref="K22:K24"/>
    <mergeCell ref="R20:U20"/>
    <mergeCell ref="R19:U19"/>
    <mergeCell ref="R21:U21"/>
    <mergeCell ref="Q22:Q24"/>
    <mergeCell ref="R26:U26"/>
    <mergeCell ref="K25:K26"/>
    <mergeCell ref="G19:I19"/>
    <mergeCell ref="G13:I13"/>
    <mergeCell ref="R24:U24"/>
    <mergeCell ref="R16:U16"/>
    <mergeCell ref="G11:I11"/>
    <mergeCell ref="G16:I16"/>
    <mergeCell ref="G15:I15"/>
    <mergeCell ref="L24:O24"/>
    <mergeCell ref="G14:I14"/>
    <mergeCell ref="L27:O27"/>
    <mergeCell ref="L12:O12"/>
    <mergeCell ref="L17:O17"/>
    <mergeCell ref="L20:O20"/>
    <mergeCell ref="L21:O21"/>
    <mergeCell ref="L13:O13"/>
    <mergeCell ref="G26:I26"/>
    <mergeCell ref="K27:K28"/>
    <mergeCell ref="R30:U30"/>
    <mergeCell ref="W22:W24"/>
    <mergeCell ref="R22:U22"/>
    <mergeCell ref="G24:I24"/>
    <mergeCell ref="L28:O28"/>
    <mergeCell ref="W27:W28"/>
    <mergeCell ref="R28:U28"/>
    <mergeCell ref="Q27:Q28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3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N62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29.00390625" style="0" customWidth="1"/>
    <col min="14" max="14" width="9.125" style="182" customWidth="1"/>
  </cols>
  <sheetData>
    <row r="1" spans="8:13" ht="15">
      <c r="H1" s="1"/>
      <c r="I1" s="1"/>
      <c r="J1" s="1"/>
      <c r="K1" s="1"/>
      <c r="L1" s="1"/>
      <c r="M1" s="6" t="s">
        <v>1020</v>
      </c>
    </row>
    <row r="2" spans="8:13" ht="12.75">
      <c r="H2" s="1"/>
      <c r="I2" s="1"/>
      <c r="J2" s="1"/>
      <c r="K2" s="1"/>
      <c r="L2" s="1"/>
      <c r="M2" s="2"/>
    </row>
    <row r="3" spans="8:13" ht="12.75">
      <c r="H3" s="1"/>
      <c r="I3" s="1"/>
      <c r="J3" s="1"/>
      <c r="K3" s="1"/>
      <c r="L3" s="1"/>
      <c r="M3" s="2"/>
    </row>
    <row r="4" spans="1:14" s="85" customFormat="1" ht="14.25" customHeight="1">
      <c r="A4" s="1077" t="s">
        <v>583</v>
      </c>
      <c r="B4" s="1077"/>
      <c r="C4" s="1077"/>
      <c r="D4" s="1077"/>
      <c r="E4" s="1077"/>
      <c r="F4" s="1077"/>
      <c r="G4" s="1077"/>
      <c r="H4" s="1077"/>
      <c r="I4" s="1077"/>
      <c r="J4" s="1077"/>
      <c r="K4" s="1077"/>
      <c r="L4" s="1077"/>
      <c r="M4" s="1077"/>
      <c r="N4" s="183"/>
    </row>
    <row r="5" spans="1:14" s="85" customFormat="1" ht="14.25" customHeight="1">
      <c r="A5" s="1077" t="s">
        <v>492</v>
      </c>
      <c r="B5" s="1077"/>
      <c r="C5" s="1077"/>
      <c r="D5" s="1077"/>
      <c r="E5" s="1077"/>
      <c r="F5" s="1077"/>
      <c r="G5" s="1077"/>
      <c r="H5" s="1077"/>
      <c r="I5" s="1077"/>
      <c r="J5" s="1077"/>
      <c r="K5" s="1077"/>
      <c r="L5" s="1077"/>
      <c r="M5" s="1077"/>
      <c r="N5" s="183"/>
    </row>
    <row r="6" spans="1:14" s="85" customFormat="1" ht="18" customHeight="1">
      <c r="A6" s="1077"/>
      <c r="B6" s="1077"/>
      <c r="C6" s="1077"/>
      <c r="D6" s="1077"/>
      <c r="E6" s="1077"/>
      <c r="F6" s="1077"/>
      <c r="G6" s="1077"/>
      <c r="H6" s="1077"/>
      <c r="I6" s="1077"/>
      <c r="J6" s="1077"/>
      <c r="K6" s="1077"/>
      <c r="L6" s="1077"/>
      <c r="M6" s="1077"/>
      <c r="N6" s="183"/>
    </row>
    <row r="7" spans="1:14" s="84" customFormat="1" ht="12.75">
      <c r="A7" s="164" t="s">
        <v>394</v>
      </c>
      <c r="B7" s="133" t="s">
        <v>375</v>
      </c>
      <c r="C7" s="133" t="s">
        <v>376</v>
      </c>
      <c r="D7" s="133" t="s">
        <v>377</v>
      </c>
      <c r="E7" s="133" t="s">
        <v>378</v>
      </c>
      <c r="F7" s="133" t="s">
        <v>379</v>
      </c>
      <c r="G7" s="133" t="s">
        <v>380</v>
      </c>
      <c r="H7" s="133" t="s">
        <v>381</v>
      </c>
      <c r="I7" s="133" t="s">
        <v>382</v>
      </c>
      <c r="J7" s="133" t="s">
        <v>383</v>
      </c>
      <c r="K7" s="133" t="s">
        <v>384</v>
      </c>
      <c r="L7" s="133" t="s">
        <v>385</v>
      </c>
      <c r="M7" s="133" t="s">
        <v>386</v>
      </c>
      <c r="N7" s="184"/>
    </row>
    <row r="8" spans="1:14" s="87" customFormat="1" ht="22.5" customHeight="1">
      <c r="A8" s="185" t="s">
        <v>653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7"/>
    </row>
    <row r="9" spans="1:14" s="189" customFormat="1" ht="27" customHeight="1">
      <c r="A9" s="186" t="s">
        <v>887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8"/>
    </row>
    <row r="10" spans="1:14" s="86" customFormat="1" ht="12.75">
      <c r="A10" s="168" t="s">
        <v>702</v>
      </c>
      <c r="B10" s="135">
        <v>1</v>
      </c>
      <c r="C10" s="135">
        <v>1</v>
      </c>
      <c r="D10" s="135">
        <v>1</v>
      </c>
      <c r="E10" s="135">
        <v>1</v>
      </c>
      <c r="F10" s="135">
        <v>1</v>
      </c>
      <c r="G10" s="135">
        <v>1</v>
      </c>
      <c r="H10" s="135">
        <v>1</v>
      </c>
      <c r="I10" s="135">
        <v>1</v>
      </c>
      <c r="J10" s="135">
        <v>1</v>
      </c>
      <c r="K10" s="135">
        <v>1</v>
      </c>
      <c r="L10" s="135">
        <v>1</v>
      </c>
      <c r="M10" s="135">
        <v>1</v>
      </c>
      <c r="N10" s="190"/>
    </row>
    <row r="11" spans="1:14" s="86" customFormat="1" ht="12.75">
      <c r="A11" s="168" t="s">
        <v>703</v>
      </c>
      <c r="B11" s="135">
        <v>16</v>
      </c>
      <c r="C11" s="135">
        <v>16</v>
      </c>
      <c r="D11" s="135">
        <v>16</v>
      </c>
      <c r="E11" s="135">
        <v>16</v>
      </c>
      <c r="F11" s="135">
        <v>16</v>
      </c>
      <c r="G11" s="135">
        <v>16</v>
      </c>
      <c r="H11" s="135">
        <v>16</v>
      </c>
      <c r="I11" s="135">
        <v>16</v>
      </c>
      <c r="J11" s="135">
        <v>15</v>
      </c>
      <c r="K11" s="135">
        <v>15</v>
      </c>
      <c r="L11" s="135">
        <v>15</v>
      </c>
      <c r="M11" s="135">
        <v>15</v>
      </c>
      <c r="N11" s="190"/>
    </row>
    <row r="12" spans="1:14" s="86" customFormat="1" ht="12.75" customHeight="1">
      <c r="A12" s="168" t="s">
        <v>704</v>
      </c>
      <c r="B12" s="135">
        <v>4</v>
      </c>
      <c r="C12" s="135">
        <v>4</v>
      </c>
      <c r="D12" s="135">
        <v>4</v>
      </c>
      <c r="E12" s="135">
        <v>4</v>
      </c>
      <c r="F12" s="135">
        <v>3</v>
      </c>
      <c r="G12" s="135">
        <v>3</v>
      </c>
      <c r="H12" s="135">
        <v>3</v>
      </c>
      <c r="I12" s="135">
        <v>3</v>
      </c>
      <c r="J12" s="135">
        <v>3</v>
      </c>
      <c r="K12" s="135">
        <v>3</v>
      </c>
      <c r="L12" s="135">
        <v>3</v>
      </c>
      <c r="M12" s="135">
        <v>3</v>
      </c>
      <c r="N12" s="190"/>
    </row>
    <row r="13" spans="1:14" s="86" customFormat="1" ht="12.75">
      <c r="A13" s="191" t="s">
        <v>705</v>
      </c>
      <c r="B13" s="135">
        <v>9</v>
      </c>
      <c r="C13" s="135">
        <v>9</v>
      </c>
      <c r="D13" s="135">
        <v>9</v>
      </c>
      <c r="E13" s="135">
        <v>9</v>
      </c>
      <c r="F13" s="135">
        <v>9</v>
      </c>
      <c r="G13" s="135">
        <v>9</v>
      </c>
      <c r="H13" s="135">
        <v>9</v>
      </c>
      <c r="I13" s="135">
        <v>9</v>
      </c>
      <c r="J13" s="135">
        <v>8</v>
      </c>
      <c r="K13" s="135">
        <v>8</v>
      </c>
      <c r="L13" s="135">
        <v>8</v>
      </c>
      <c r="M13" s="135">
        <v>8</v>
      </c>
      <c r="N13" s="190"/>
    </row>
    <row r="14" spans="1:14" s="86" customFormat="1" ht="12.75">
      <c r="A14" s="168" t="s">
        <v>706</v>
      </c>
      <c r="B14" s="135">
        <v>1</v>
      </c>
      <c r="C14" s="135">
        <v>1</v>
      </c>
      <c r="D14" s="135">
        <v>1</v>
      </c>
      <c r="E14" s="135">
        <v>1</v>
      </c>
      <c r="F14" s="135">
        <v>1</v>
      </c>
      <c r="G14" s="135">
        <v>1</v>
      </c>
      <c r="H14" s="135">
        <v>1</v>
      </c>
      <c r="I14" s="135">
        <v>1</v>
      </c>
      <c r="J14" s="135">
        <v>1</v>
      </c>
      <c r="K14" s="135">
        <v>1</v>
      </c>
      <c r="L14" s="135">
        <v>1</v>
      </c>
      <c r="M14" s="135">
        <v>1</v>
      </c>
      <c r="N14" s="190"/>
    </row>
    <row r="15" spans="1:14" s="86" customFormat="1" ht="12.75">
      <c r="A15" s="168" t="s">
        <v>707</v>
      </c>
      <c r="B15" s="135">
        <v>1</v>
      </c>
      <c r="C15" s="135">
        <v>1</v>
      </c>
      <c r="D15" s="135">
        <v>1</v>
      </c>
      <c r="E15" s="135">
        <v>1</v>
      </c>
      <c r="F15" s="135">
        <v>1</v>
      </c>
      <c r="G15" s="135">
        <v>1</v>
      </c>
      <c r="H15" s="135">
        <v>1</v>
      </c>
      <c r="I15" s="135">
        <v>1</v>
      </c>
      <c r="J15" s="135">
        <v>1</v>
      </c>
      <c r="K15" s="135">
        <v>1</v>
      </c>
      <c r="L15" s="135">
        <v>1</v>
      </c>
      <c r="M15" s="135">
        <v>1</v>
      </c>
      <c r="N15" s="190"/>
    </row>
    <row r="16" spans="1:14" s="189" customFormat="1" ht="22.5" customHeight="1">
      <c r="A16" s="186" t="s">
        <v>870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8"/>
    </row>
    <row r="17" spans="1:14" s="86" customFormat="1" ht="12.75">
      <c r="A17" s="168" t="s">
        <v>708</v>
      </c>
      <c r="B17" s="135">
        <v>2</v>
      </c>
      <c r="C17" s="135">
        <v>2</v>
      </c>
      <c r="D17" s="135">
        <v>2</v>
      </c>
      <c r="E17" s="135">
        <v>2</v>
      </c>
      <c r="F17" s="135">
        <v>2</v>
      </c>
      <c r="G17" s="135">
        <v>2</v>
      </c>
      <c r="H17" s="135">
        <v>2</v>
      </c>
      <c r="I17" s="135">
        <v>2</v>
      </c>
      <c r="J17" s="135">
        <v>2</v>
      </c>
      <c r="K17" s="135">
        <v>2</v>
      </c>
      <c r="L17" s="135">
        <v>2</v>
      </c>
      <c r="M17" s="135">
        <v>2</v>
      </c>
      <c r="N17" s="190"/>
    </row>
    <row r="18" spans="1:14" s="86" customFormat="1" ht="12.75">
      <c r="A18" s="168" t="s">
        <v>711</v>
      </c>
      <c r="B18" s="135">
        <v>1</v>
      </c>
      <c r="C18" s="135">
        <v>1</v>
      </c>
      <c r="D18" s="135">
        <v>1</v>
      </c>
      <c r="E18" s="135">
        <v>1</v>
      </c>
      <c r="F18" s="135">
        <v>1</v>
      </c>
      <c r="G18" s="135">
        <v>1</v>
      </c>
      <c r="H18" s="135">
        <v>1</v>
      </c>
      <c r="I18" s="135">
        <v>1</v>
      </c>
      <c r="J18" s="135">
        <v>1</v>
      </c>
      <c r="K18" s="135">
        <v>1</v>
      </c>
      <c r="L18" s="135">
        <v>1</v>
      </c>
      <c r="M18" s="135">
        <v>1</v>
      </c>
      <c r="N18" s="190"/>
    </row>
    <row r="19" spans="1:14" s="189" customFormat="1" ht="25.5">
      <c r="A19" s="192" t="s">
        <v>869</v>
      </c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8"/>
    </row>
    <row r="20" spans="1:14" s="86" customFormat="1" ht="12.75">
      <c r="A20" s="168" t="s">
        <v>708</v>
      </c>
      <c r="B20" s="135">
        <v>1</v>
      </c>
      <c r="C20" s="135">
        <v>1</v>
      </c>
      <c r="D20" s="135">
        <v>1</v>
      </c>
      <c r="E20" s="135">
        <v>1</v>
      </c>
      <c r="F20" s="135">
        <v>1</v>
      </c>
      <c r="G20" s="135">
        <v>1</v>
      </c>
      <c r="H20" s="135">
        <v>1</v>
      </c>
      <c r="I20" s="135">
        <v>1</v>
      </c>
      <c r="J20" s="135">
        <v>0</v>
      </c>
      <c r="K20" s="135">
        <v>0</v>
      </c>
      <c r="L20" s="135">
        <v>0</v>
      </c>
      <c r="M20" s="135">
        <v>0</v>
      </c>
      <c r="N20" s="190"/>
    </row>
    <row r="21" spans="1:14" s="86" customFormat="1" ht="12.75">
      <c r="A21" s="168" t="s">
        <v>709</v>
      </c>
      <c r="B21" s="135">
        <v>1</v>
      </c>
      <c r="C21" s="135">
        <v>1</v>
      </c>
      <c r="D21" s="135">
        <v>1</v>
      </c>
      <c r="E21" s="135">
        <v>1</v>
      </c>
      <c r="F21" s="135">
        <v>1</v>
      </c>
      <c r="G21" s="135">
        <v>1</v>
      </c>
      <c r="H21" s="135">
        <v>1</v>
      </c>
      <c r="I21" s="135">
        <v>1</v>
      </c>
      <c r="J21" s="135">
        <v>0</v>
      </c>
      <c r="K21" s="135">
        <v>0</v>
      </c>
      <c r="L21" s="135">
        <v>0</v>
      </c>
      <c r="M21" s="135">
        <v>0</v>
      </c>
      <c r="N21" s="190"/>
    </row>
    <row r="22" spans="1:14" s="86" customFormat="1" ht="12.75">
      <c r="A22" s="168" t="s">
        <v>710</v>
      </c>
      <c r="B22" s="135">
        <v>1</v>
      </c>
      <c r="C22" s="135">
        <v>1</v>
      </c>
      <c r="D22" s="135">
        <v>1</v>
      </c>
      <c r="E22" s="135">
        <v>1</v>
      </c>
      <c r="F22" s="135">
        <v>1</v>
      </c>
      <c r="G22" s="135">
        <v>1</v>
      </c>
      <c r="H22" s="135">
        <v>1</v>
      </c>
      <c r="I22" s="135">
        <v>1</v>
      </c>
      <c r="J22" s="135">
        <v>0</v>
      </c>
      <c r="K22" s="135">
        <v>0</v>
      </c>
      <c r="L22" s="135">
        <v>0</v>
      </c>
      <c r="M22" s="135">
        <v>0</v>
      </c>
      <c r="N22" s="190"/>
    </row>
    <row r="23" spans="1:14" s="189" customFormat="1" ht="22.5" customHeight="1">
      <c r="A23" s="186" t="s">
        <v>654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8"/>
    </row>
    <row r="24" spans="1:14" s="86" customFormat="1" ht="12.75">
      <c r="A24" s="168" t="s">
        <v>712</v>
      </c>
      <c r="B24" s="135">
        <v>1</v>
      </c>
      <c r="C24" s="135">
        <v>1</v>
      </c>
      <c r="D24" s="135">
        <v>1</v>
      </c>
      <c r="E24" s="135">
        <v>1</v>
      </c>
      <c r="F24" s="135">
        <v>1</v>
      </c>
      <c r="G24" s="135">
        <v>1</v>
      </c>
      <c r="H24" s="135">
        <v>1</v>
      </c>
      <c r="I24" s="135">
        <v>1</v>
      </c>
      <c r="J24" s="135">
        <v>1</v>
      </c>
      <c r="K24" s="135">
        <v>1</v>
      </c>
      <c r="L24" s="135">
        <v>1</v>
      </c>
      <c r="M24" s="135">
        <v>1</v>
      </c>
      <c r="N24" s="190"/>
    </row>
    <row r="25" spans="1:14" s="86" customFormat="1" ht="12.75">
      <c r="A25" s="168" t="s">
        <v>714</v>
      </c>
      <c r="B25" s="135">
        <v>4</v>
      </c>
      <c r="C25" s="135">
        <v>4</v>
      </c>
      <c r="D25" s="135">
        <v>4</v>
      </c>
      <c r="E25" s="135">
        <v>4</v>
      </c>
      <c r="F25" s="135">
        <v>4</v>
      </c>
      <c r="G25" s="135">
        <v>4</v>
      </c>
      <c r="H25" s="135">
        <v>4</v>
      </c>
      <c r="I25" s="135">
        <v>4</v>
      </c>
      <c r="J25" s="135">
        <v>4</v>
      </c>
      <c r="K25" s="135">
        <v>4</v>
      </c>
      <c r="L25" s="135">
        <v>4</v>
      </c>
      <c r="M25" s="135">
        <v>4</v>
      </c>
      <c r="N25" s="190"/>
    </row>
    <row r="26" spans="1:14" s="189" customFormat="1" ht="22.5" customHeight="1">
      <c r="A26" s="186" t="s">
        <v>871</v>
      </c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8"/>
    </row>
    <row r="27" spans="1:14" s="86" customFormat="1" ht="12.75">
      <c r="A27" s="168" t="s">
        <v>712</v>
      </c>
      <c r="B27" s="135">
        <v>1</v>
      </c>
      <c r="C27" s="135">
        <v>1</v>
      </c>
      <c r="D27" s="135">
        <v>1</v>
      </c>
      <c r="E27" s="135">
        <v>1</v>
      </c>
      <c r="F27" s="135">
        <v>1</v>
      </c>
      <c r="G27" s="135">
        <v>1</v>
      </c>
      <c r="H27" s="135">
        <v>1</v>
      </c>
      <c r="I27" s="135">
        <v>1</v>
      </c>
      <c r="J27" s="135">
        <v>1</v>
      </c>
      <c r="K27" s="135">
        <v>1</v>
      </c>
      <c r="L27" s="135">
        <v>1</v>
      </c>
      <c r="M27" s="135">
        <v>1</v>
      </c>
      <c r="N27" s="190"/>
    </row>
    <row r="28" spans="1:14" s="86" customFormat="1" ht="12.75">
      <c r="A28" s="168" t="s">
        <v>713</v>
      </c>
      <c r="B28" s="135">
        <v>5</v>
      </c>
      <c r="C28" s="135">
        <v>5</v>
      </c>
      <c r="D28" s="135">
        <v>5</v>
      </c>
      <c r="E28" s="135">
        <v>5</v>
      </c>
      <c r="F28" s="135">
        <v>5</v>
      </c>
      <c r="G28" s="135">
        <v>5</v>
      </c>
      <c r="H28" s="135">
        <v>5</v>
      </c>
      <c r="I28" s="135">
        <v>5</v>
      </c>
      <c r="J28" s="135">
        <v>5</v>
      </c>
      <c r="K28" s="135">
        <v>5</v>
      </c>
      <c r="L28" s="135">
        <v>5</v>
      </c>
      <c r="M28" s="135">
        <v>5</v>
      </c>
      <c r="N28" s="190"/>
    </row>
    <row r="29" spans="1:14" s="189" customFormat="1" ht="22.5" customHeight="1">
      <c r="A29" s="186" t="s">
        <v>715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8"/>
    </row>
    <row r="30" spans="1:14" s="86" customFormat="1" ht="12.75">
      <c r="A30" s="168" t="s">
        <v>716</v>
      </c>
      <c r="B30" s="135">
        <v>1</v>
      </c>
      <c r="C30" s="135">
        <v>1</v>
      </c>
      <c r="D30" s="135">
        <v>1</v>
      </c>
      <c r="E30" s="135">
        <v>1</v>
      </c>
      <c r="F30" s="135">
        <v>1</v>
      </c>
      <c r="G30" s="135">
        <v>1</v>
      </c>
      <c r="H30" s="135">
        <v>1</v>
      </c>
      <c r="I30" s="135">
        <v>1</v>
      </c>
      <c r="J30" s="135">
        <v>1</v>
      </c>
      <c r="K30" s="135">
        <v>1</v>
      </c>
      <c r="L30" s="135">
        <v>1</v>
      </c>
      <c r="M30" s="135">
        <v>1</v>
      </c>
      <c r="N30" s="190"/>
    </row>
    <row r="31" spans="1:14" s="86" customFormat="1" ht="12.75">
      <c r="A31" s="168" t="s">
        <v>888</v>
      </c>
      <c r="B31" s="135">
        <v>1</v>
      </c>
      <c r="C31" s="135">
        <v>1</v>
      </c>
      <c r="D31" s="135">
        <v>1</v>
      </c>
      <c r="E31" s="135">
        <v>1</v>
      </c>
      <c r="F31" s="135">
        <v>1</v>
      </c>
      <c r="G31" s="135">
        <v>1</v>
      </c>
      <c r="H31" s="135">
        <v>1</v>
      </c>
      <c r="I31" s="135">
        <v>1</v>
      </c>
      <c r="J31" s="135">
        <v>1</v>
      </c>
      <c r="K31" s="135">
        <v>1</v>
      </c>
      <c r="L31" s="135">
        <v>1</v>
      </c>
      <c r="M31" s="135">
        <v>1</v>
      </c>
      <c r="N31" s="190"/>
    </row>
    <row r="32" spans="1:14" s="86" customFormat="1" ht="12.75">
      <c r="A32" s="168" t="s">
        <v>889</v>
      </c>
      <c r="B32" s="135">
        <v>0.5</v>
      </c>
      <c r="C32" s="135">
        <v>0.5</v>
      </c>
      <c r="D32" s="135">
        <v>0.5</v>
      </c>
      <c r="E32" s="135">
        <v>0.5</v>
      </c>
      <c r="F32" s="135">
        <v>0.5</v>
      </c>
      <c r="G32" s="135">
        <v>0.5</v>
      </c>
      <c r="H32" s="135">
        <v>0.5</v>
      </c>
      <c r="I32" s="135">
        <v>0.5</v>
      </c>
      <c r="J32" s="135">
        <v>0.5</v>
      </c>
      <c r="K32" s="135">
        <v>0.5</v>
      </c>
      <c r="L32" s="135">
        <v>0.5</v>
      </c>
      <c r="M32" s="135">
        <v>0.5</v>
      </c>
      <c r="N32" s="190"/>
    </row>
    <row r="33" spans="1:14" s="161" customFormat="1" ht="51">
      <c r="A33" s="166" t="s">
        <v>655</v>
      </c>
      <c r="B33" s="160">
        <f aca="true" t="shared" si="0" ref="B33:M33">SUM(B10:B32)</f>
        <v>51.5</v>
      </c>
      <c r="C33" s="160">
        <f t="shared" si="0"/>
        <v>51.5</v>
      </c>
      <c r="D33" s="160">
        <f t="shared" si="0"/>
        <v>51.5</v>
      </c>
      <c r="E33" s="160">
        <f t="shared" si="0"/>
        <v>51.5</v>
      </c>
      <c r="F33" s="160">
        <f t="shared" si="0"/>
        <v>50.5</v>
      </c>
      <c r="G33" s="160">
        <f t="shared" si="0"/>
        <v>50.5</v>
      </c>
      <c r="H33" s="160">
        <f t="shared" si="0"/>
        <v>50.5</v>
      </c>
      <c r="I33" s="160">
        <f t="shared" si="0"/>
        <v>50.5</v>
      </c>
      <c r="J33" s="160">
        <f t="shared" si="0"/>
        <v>45.5</v>
      </c>
      <c r="K33" s="160">
        <f t="shared" si="0"/>
        <v>45.5</v>
      </c>
      <c r="L33" s="160">
        <f t="shared" si="0"/>
        <v>45.5</v>
      </c>
      <c r="M33" s="160">
        <f t="shared" si="0"/>
        <v>45.5</v>
      </c>
      <c r="N33" s="193"/>
    </row>
    <row r="34" spans="1:14" s="86" customFormat="1" ht="14.25" customHeight="1">
      <c r="A34" s="165"/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90"/>
    </row>
    <row r="35" spans="1:14" s="87" customFormat="1" ht="22.5" customHeight="1">
      <c r="A35" s="185" t="s">
        <v>405</v>
      </c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7"/>
    </row>
    <row r="36" spans="1:14" s="86" customFormat="1" ht="12.75">
      <c r="A36" s="168" t="s">
        <v>467</v>
      </c>
      <c r="B36" s="135">
        <v>23</v>
      </c>
      <c r="C36" s="135">
        <v>23</v>
      </c>
      <c r="D36" s="135">
        <v>23</v>
      </c>
      <c r="E36" s="135">
        <v>23</v>
      </c>
      <c r="F36" s="135">
        <v>23</v>
      </c>
      <c r="G36" s="135">
        <v>23</v>
      </c>
      <c r="H36" s="135">
        <v>23</v>
      </c>
      <c r="I36" s="135">
        <v>23</v>
      </c>
      <c r="J36" s="135">
        <v>23</v>
      </c>
      <c r="K36" s="135">
        <v>23</v>
      </c>
      <c r="L36" s="135">
        <v>23</v>
      </c>
      <c r="M36" s="135">
        <v>23</v>
      </c>
      <c r="N36" s="190"/>
    </row>
    <row r="37" spans="1:14" s="87" customFormat="1" ht="22.5" customHeight="1">
      <c r="A37" s="185" t="s">
        <v>468</v>
      </c>
      <c r="B37" s="160">
        <f aca="true" t="shared" si="1" ref="B37:M37">SUM(B36:B36)</f>
        <v>23</v>
      </c>
      <c r="C37" s="160">
        <f t="shared" si="1"/>
        <v>23</v>
      </c>
      <c r="D37" s="160">
        <f t="shared" si="1"/>
        <v>23</v>
      </c>
      <c r="E37" s="160">
        <f t="shared" si="1"/>
        <v>23</v>
      </c>
      <c r="F37" s="160">
        <f t="shared" si="1"/>
        <v>23</v>
      </c>
      <c r="G37" s="160">
        <f t="shared" si="1"/>
        <v>23</v>
      </c>
      <c r="H37" s="160">
        <f t="shared" si="1"/>
        <v>23</v>
      </c>
      <c r="I37" s="160">
        <f t="shared" si="1"/>
        <v>23</v>
      </c>
      <c r="J37" s="160">
        <f t="shared" si="1"/>
        <v>23</v>
      </c>
      <c r="K37" s="160">
        <f t="shared" si="1"/>
        <v>23</v>
      </c>
      <c r="L37" s="160">
        <f t="shared" si="1"/>
        <v>23</v>
      </c>
      <c r="M37" s="160">
        <f t="shared" si="1"/>
        <v>23</v>
      </c>
      <c r="N37" s="137"/>
    </row>
    <row r="38" spans="1:13" s="137" customFormat="1" ht="14.25" customHeight="1">
      <c r="A38" s="169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</row>
    <row r="39" spans="1:14" s="87" customFormat="1" ht="22.5" customHeight="1">
      <c r="A39" s="185" t="s">
        <v>491</v>
      </c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7"/>
    </row>
    <row r="40" spans="1:14" s="86" customFormat="1" ht="12.75">
      <c r="A40" s="168" t="s">
        <v>717</v>
      </c>
      <c r="B40" s="135">
        <v>1</v>
      </c>
      <c r="C40" s="135">
        <v>1</v>
      </c>
      <c r="D40" s="135">
        <v>1</v>
      </c>
      <c r="E40" s="135">
        <v>1</v>
      </c>
      <c r="F40" s="135">
        <v>1</v>
      </c>
      <c r="G40" s="135">
        <v>1</v>
      </c>
      <c r="H40" s="135">
        <v>1</v>
      </c>
      <c r="I40" s="135">
        <v>1</v>
      </c>
      <c r="J40" s="135">
        <v>1</v>
      </c>
      <c r="K40" s="135">
        <v>1</v>
      </c>
      <c r="L40" s="135">
        <v>1</v>
      </c>
      <c r="M40" s="135">
        <v>1</v>
      </c>
      <c r="N40" s="190"/>
    </row>
    <row r="41" spans="1:14" s="86" customFormat="1" ht="12.75">
      <c r="A41" s="170" t="s">
        <v>718</v>
      </c>
      <c r="B41" s="135">
        <v>1</v>
      </c>
      <c r="C41" s="135">
        <v>1</v>
      </c>
      <c r="D41" s="135">
        <v>1</v>
      </c>
      <c r="E41" s="135">
        <v>1</v>
      </c>
      <c r="F41" s="135">
        <v>1</v>
      </c>
      <c r="G41" s="135">
        <v>1</v>
      </c>
      <c r="H41" s="135">
        <v>1</v>
      </c>
      <c r="I41" s="135">
        <v>1</v>
      </c>
      <c r="J41" s="135">
        <v>1</v>
      </c>
      <c r="K41" s="135">
        <v>1</v>
      </c>
      <c r="L41" s="135">
        <v>1</v>
      </c>
      <c r="M41" s="135">
        <v>1</v>
      </c>
      <c r="N41" s="190"/>
    </row>
    <row r="42" spans="1:14" s="189" customFormat="1" ht="22.5" customHeight="1">
      <c r="A42" s="186" t="s">
        <v>719</v>
      </c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8"/>
    </row>
    <row r="43" spans="1:14" s="86" customFormat="1" ht="12.75">
      <c r="A43" s="170" t="s">
        <v>388</v>
      </c>
      <c r="B43" s="135">
        <v>12</v>
      </c>
      <c r="C43" s="135">
        <v>12</v>
      </c>
      <c r="D43" s="135">
        <v>12</v>
      </c>
      <c r="E43" s="135">
        <v>12</v>
      </c>
      <c r="F43" s="135">
        <v>12</v>
      </c>
      <c r="G43" s="135">
        <v>12</v>
      </c>
      <c r="H43" s="135">
        <v>12</v>
      </c>
      <c r="I43" s="135">
        <v>12</v>
      </c>
      <c r="J43" s="135">
        <v>12</v>
      </c>
      <c r="K43" s="135">
        <v>12</v>
      </c>
      <c r="L43" s="135">
        <v>12</v>
      </c>
      <c r="M43" s="135">
        <v>12</v>
      </c>
      <c r="N43" s="190"/>
    </row>
    <row r="44" spans="1:14" s="189" customFormat="1" ht="22.5" customHeight="1">
      <c r="A44" s="186" t="s">
        <v>370</v>
      </c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8"/>
    </row>
    <row r="45" spans="1:14" s="86" customFormat="1" ht="12.75">
      <c r="A45" s="168" t="s">
        <v>371</v>
      </c>
      <c r="B45" s="135">
        <v>2</v>
      </c>
      <c r="C45" s="135">
        <v>2</v>
      </c>
      <c r="D45" s="135">
        <v>2</v>
      </c>
      <c r="E45" s="135">
        <v>2</v>
      </c>
      <c r="F45" s="135">
        <v>2</v>
      </c>
      <c r="G45" s="135">
        <v>2</v>
      </c>
      <c r="H45" s="135">
        <v>2</v>
      </c>
      <c r="I45" s="135">
        <v>2</v>
      </c>
      <c r="J45" s="135">
        <v>2</v>
      </c>
      <c r="K45" s="135">
        <v>2</v>
      </c>
      <c r="L45" s="135">
        <v>2</v>
      </c>
      <c r="M45" s="135">
        <v>2</v>
      </c>
      <c r="N45" s="190"/>
    </row>
    <row r="46" spans="1:14" s="189" customFormat="1" ht="22.5" customHeight="1">
      <c r="A46" s="186" t="s">
        <v>390</v>
      </c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8"/>
    </row>
    <row r="47" spans="1:14" s="86" customFormat="1" ht="12.75">
      <c r="A47" s="167" t="s">
        <v>732</v>
      </c>
      <c r="B47" s="135">
        <v>1</v>
      </c>
      <c r="C47" s="135">
        <v>1</v>
      </c>
      <c r="D47" s="135">
        <v>1</v>
      </c>
      <c r="E47" s="135">
        <v>1</v>
      </c>
      <c r="F47" s="135">
        <v>1</v>
      </c>
      <c r="G47" s="135">
        <v>1</v>
      </c>
      <c r="H47" s="135">
        <v>1</v>
      </c>
      <c r="I47" s="135">
        <v>1</v>
      </c>
      <c r="J47" s="135">
        <v>1</v>
      </c>
      <c r="K47" s="135">
        <v>1</v>
      </c>
      <c r="L47" s="135">
        <v>1</v>
      </c>
      <c r="M47" s="135">
        <v>1</v>
      </c>
      <c r="N47" s="190"/>
    </row>
    <row r="48" spans="1:14" s="86" customFormat="1" ht="12.75">
      <c r="A48" s="167" t="s">
        <v>391</v>
      </c>
      <c r="B48" s="135">
        <v>3</v>
      </c>
      <c r="C48" s="135">
        <v>3</v>
      </c>
      <c r="D48" s="135">
        <v>3</v>
      </c>
      <c r="E48" s="135">
        <v>3</v>
      </c>
      <c r="F48" s="135">
        <v>3</v>
      </c>
      <c r="G48" s="135">
        <v>3</v>
      </c>
      <c r="H48" s="135">
        <v>3</v>
      </c>
      <c r="I48" s="135">
        <v>3</v>
      </c>
      <c r="J48" s="135">
        <v>3</v>
      </c>
      <c r="K48" s="135">
        <v>3</v>
      </c>
      <c r="L48" s="135">
        <v>3</v>
      </c>
      <c r="M48" s="135">
        <v>3</v>
      </c>
      <c r="N48" s="190"/>
    </row>
    <row r="49" spans="1:14" s="189" customFormat="1" ht="22.5" customHeight="1">
      <c r="A49" s="186" t="s">
        <v>392</v>
      </c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8"/>
    </row>
    <row r="50" spans="1:14" s="86" customFormat="1" ht="12.75">
      <c r="A50" s="167" t="s">
        <v>393</v>
      </c>
      <c r="B50" s="178">
        <v>5</v>
      </c>
      <c r="C50" s="178">
        <v>5</v>
      </c>
      <c r="D50" s="178">
        <v>5</v>
      </c>
      <c r="E50" s="178">
        <v>5</v>
      </c>
      <c r="F50" s="178">
        <v>5</v>
      </c>
      <c r="G50" s="178">
        <v>5</v>
      </c>
      <c r="H50" s="135">
        <v>5</v>
      </c>
      <c r="I50" s="135">
        <v>5</v>
      </c>
      <c r="J50" s="135">
        <v>5</v>
      </c>
      <c r="K50" s="135">
        <v>5</v>
      </c>
      <c r="L50" s="135">
        <v>5</v>
      </c>
      <c r="M50" s="135">
        <v>5</v>
      </c>
      <c r="N50" s="190"/>
    </row>
    <row r="51" spans="1:14" s="87" customFormat="1" ht="22.5" customHeight="1">
      <c r="A51" s="185" t="s">
        <v>466</v>
      </c>
      <c r="B51" s="160">
        <f aca="true" t="shared" si="2" ref="B51:M51">SUM(B40:B50)</f>
        <v>25</v>
      </c>
      <c r="C51" s="160">
        <f t="shared" si="2"/>
        <v>25</v>
      </c>
      <c r="D51" s="160">
        <f t="shared" si="2"/>
        <v>25</v>
      </c>
      <c r="E51" s="160">
        <f t="shared" si="2"/>
        <v>25</v>
      </c>
      <c r="F51" s="160">
        <f t="shared" si="2"/>
        <v>25</v>
      </c>
      <c r="G51" s="160">
        <f t="shared" si="2"/>
        <v>25</v>
      </c>
      <c r="H51" s="160">
        <f t="shared" si="2"/>
        <v>25</v>
      </c>
      <c r="I51" s="160">
        <f t="shared" si="2"/>
        <v>25</v>
      </c>
      <c r="J51" s="160">
        <f t="shared" si="2"/>
        <v>25</v>
      </c>
      <c r="K51" s="160">
        <f t="shared" si="2"/>
        <v>25</v>
      </c>
      <c r="L51" s="160">
        <f t="shared" si="2"/>
        <v>25</v>
      </c>
      <c r="M51" s="160">
        <f t="shared" si="2"/>
        <v>25</v>
      </c>
      <c r="N51" s="137"/>
    </row>
    <row r="52" spans="1:14" s="87" customFormat="1" ht="30.75" customHeight="1">
      <c r="A52" s="171" t="s">
        <v>469</v>
      </c>
      <c r="B52" s="568">
        <f aca="true" t="shared" si="3" ref="B52:M52">SUM(B51,B37,B33)</f>
        <v>99.5</v>
      </c>
      <c r="C52" s="568">
        <f t="shared" si="3"/>
        <v>99.5</v>
      </c>
      <c r="D52" s="568">
        <f t="shared" si="3"/>
        <v>99.5</v>
      </c>
      <c r="E52" s="568">
        <f t="shared" si="3"/>
        <v>99.5</v>
      </c>
      <c r="F52" s="568">
        <f t="shared" si="3"/>
        <v>98.5</v>
      </c>
      <c r="G52" s="568">
        <f t="shared" si="3"/>
        <v>98.5</v>
      </c>
      <c r="H52" s="568">
        <f t="shared" si="3"/>
        <v>98.5</v>
      </c>
      <c r="I52" s="568">
        <f t="shared" si="3"/>
        <v>98.5</v>
      </c>
      <c r="J52" s="568">
        <f t="shared" si="3"/>
        <v>93.5</v>
      </c>
      <c r="K52" s="568">
        <f t="shared" si="3"/>
        <v>93.5</v>
      </c>
      <c r="L52" s="568">
        <f t="shared" si="3"/>
        <v>93.5</v>
      </c>
      <c r="M52" s="568">
        <f t="shared" si="3"/>
        <v>93.5</v>
      </c>
      <c r="N52" s="137"/>
    </row>
    <row r="53" spans="1:14" s="86" customFormat="1" ht="6" customHeight="1">
      <c r="A53" s="165"/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90"/>
    </row>
    <row r="54" spans="1:14" s="87" customFormat="1" ht="25.5" customHeight="1">
      <c r="A54" s="185" t="s">
        <v>389</v>
      </c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7"/>
    </row>
    <row r="55" spans="1:14" s="86" customFormat="1" ht="36" customHeight="1">
      <c r="A55" s="566" t="s">
        <v>1011</v>
      </c>
      <c r="B55" s="567">
        <v>0</v>
      </c>
      <c r="C55" s="567">
        <v>0</v>
      </c>
      <c r="D55" s="567">
        <v>12</v>
      </c>
      <c r="E55" s="567">
        <v>12</v>
      </c>
      <c r="F55" s="567">
        <v>12</v>
      </c>
      <c r="G55" s="567">
        <v>12</v>
      </c>
      <c r="H55" s="567">
        <v>12</v>
      </c>
      <c r="I55" s="567">
        <v>12</v>
      </c>
      <c r="J55" s="567">
        <v>12</v>
      </c>
      <c r="K55" s="567">
        <v>12</v>
      </c>
      <c r="L55" s="567">
        <v>12</v>
      </c>
      <c r="M55" s="567">
        <v>12</v>
      </c>
      <c r="N55" s="190"/>
    </row>
    <row r="56" spans="1:14" s="86" customFormat="1" ht="45" customHeight="1">
      <c r="A56" s="566" t="s">
        <v>1012</v>
      </c>
      <c r="B56" s="567">
        <v>0</v>
      </c>
      <c r="C56" s="567">
        <v>0</v>
      </c>
      <c r="D56" s="567">
        <v>9</v>
      </c>
      <c r="E56" s="567">
        <v>9</v>
      </c>
      <c r="F56" s="567">
        <v>9</v>
      </c>
      <c r="G56" s="567">
        <v>9</v>
      </c>
      <c r="H56" s="567">
        <v>9</v>
      </c>
      <c r="I56" s="567">
        <v>9</v>
      </c>
      <c r="J56" s="567">
        <v>9</v>
      </c>
      <c r="K56" s="567">
        <v>9</v>
      </c>
      <c r="L56" s="567">
        <v>9</v>
      </c>
      <c r="M56" s="567">
        <v>0</v>
      </c>
      <c r="N56" s="190"/>
    </row>
    <row r="57" spans="1:14" s="86" customFormat="1" ht="42" customHeight="1">
      <c r="A57" s="566" t="s">
        <v>1013</v>
      </c>
      <c r="B57" s="567">
        <v>0</v>
      </c>
      <c r="C57" s="567">
        <v>0</v>
      </c>
      <c r="D57" s="567">
        <v>72</v>
      </c>
      <c r="E57" s="567">
        <v>72</v>
      </c>
      <c r="F57" s="567">
        <v>72</v>
      </c>
      <c r="G57" s="567">
        <v>72</v>
      </c>
      <c r="H57" s="567">
        <v>72</v>
      </c>
      <c r="I57" s="567">
        <v>72</v>
      </c>
      <c r="J57" s="567">
        <v>72</v>
      </c>
      <c r="K57" s="567">
        <v>72</v>
      </c>
      <c r="L57" s="567">
        <v>72</v>
      </c>
      <c r="M57" s="567">
        <v>72</v>
      </c>
      <c r="N57" s="190"/>
    </row>
    <row r="58" spans="1:14" s="86" customFormat="1" ht="54.75" customHeight="1">
      <c r="A58" s="566" t="s">
        <v>957</v>
      </c>
      <c r="B58" s="567">
        <v>0</v>
      </c>
      <c r="C58" s="567">
        <v>0</v>
      </c>
      <c r="D58" s="567">
        <v>0</v>
      </c>
      <c r="E58" s="567">
        <v>0</v>
      </c>
      <c r="F58" s="567">
        <v>33</v>
      </c>
      <c r="G58" s="567">
        <v>33</v>
      </c>
      <c r="H58" s="567">
        <v>33</v>
      </c>
      <c r="I58" s="567">
        <v>33</v>
      </c>
      <c r="J58" s="567">
        <v>33</v>
      </c>
      <c r="K58" s="567">
        <v>33</v>
      </c>
      <c r="L58" s="567">
        <v>33</v>
      </c>
      <c r="M58" s="567">
        <v>0</v>
      </c>
      <c r="N58" s="190"/>
    </row>
    <row r="59" spans="1:14" s="86" customFormat="1" ht="42" customHeight="1">
      <c r="A59" s="566" t="s">
        <v>954</v>
      </c>
      <c r="B59" s="567">
        <v>0</v>
      </c>
      <c r="C59" s="567">
        <v>0</v>
      </c>
      <c r="D59" s="567">
        <v>12</v>
      </c>
      <c r="E59" s="567">
        <v>12</v>
      </c>
      <c r="F59" s="567">
        <v>12</v>
      </c>
      <c r="G59" s="567">
        <v>12</v>
      </c>
      <c r="H59" s="567">
        <v>12</v>
      </c>
      <c r="I59" s="567">
        <v>12</v>
      </c>
      <c r="J59" s="567">
        <v>12</v>
      </c>
      <c r="K59" s="567">
        <v>12</v>
      </c>
      <c r="L59" s="567">
        <v>12</v>
      </c>
      <c r="M59" s="567">
        <v>12</v>
      </c>
      <c r="N59" s="190"/>
    </row>
    <row r="60" spans="1:14" s="86" customFormat="1" ht="42" customHeight="1">
      <c r="A60" s="566" t="s">
        <v>955</v>
      </c>
      <c r="B60" s="567">
        <v>0</v>
      </c>
      <c r="C60" s="567">
        <v>0</v>
      </c>
      <c r="D60" s="567">
        <v>15</v>
      </c>
      <c r="E60" s="567">
        <v>15</v>
      </c>
      <c r="F60" s="567">
        <v>15</v>
      </c>
      <c r="G60" s="567">
        <v>15</v>
      </c>
      <c r="H60" s="567">
        <v>15</v>
      </c>
      <c r="I60" s="567">
        <v>15</v>
      </c>
      <c r="J60" s="567">
        <v>15</v>
      </c>
      <c r="K60" s="567">
        <v>15</v>
      </c>
      <c r="L60" s="567">
        <v>15</v>
      </c>
      <c r="M60" s="567">
        <v>15</v>
      </c>
      <c r="N60" s="190"/>
    </row>
    <row r="61" spans="1:14" s="86" customFormat="1" ht="42" customHeight="1">
      <c r="A61" s="566" t="s">
        <v>956</v>
      </c>
      <c r="B61" s="567">
        <v>0</v>
      </c>
      <c r="C61" s="567">
        <v>0</v>
      </c>
      <c r="D61" s="567">
        <v>15</v>
      </c>
      <c r="E61" s="567">
        <v>15</v>
      </c>
      <c r="F61" s="567">
        <v>15</v>
      </c>
      <c r="G61" s="567">
        <v>15</v>
      </c>
      <c r="H61" s="567">
        <v>15</v>
      </c>
      <c r="I61" s="567">
        <v>15</v>
      </c>
      <c r="J61" s="567">
        <v>15</v>
      </c>
      <c r="K61" s="567">
        <v>15</v>
      </c>
      <c r="L61" s="567">
        <v>15</v>
      </c>
      <c r="M61" s="567">
        <v>15</v>
      </c>
      <c r="N61" s="190"/>
    </row>
    <row r="62" spans="1:14" s="87" customFormat="1" ht="32.25" customHeight="1">
      <c r="A62" s="171" t="s">
        <v>582</v>
      </c>
      <c r="B62" s="568">
        <f aca="true" t="shared" si="4" ref="B62:M62">SUM(B55:B61)</f>
        <v>0</v>
      </c>
      <c r="C62" s="568">
        <f t="shared" si="4"/>
        <v>0</v>
      </c>
      <c r="D62" s="568">
        <f t="shared" si="4"/>
        <v>135</v>
      </c>
      <c r="E62" s="568">
        <f t="shared" si="4"/>
        <v>135</v>
      </c>
      <c r="F62" s="568">
        <f t="shared" si="4"/>
        <v>168</v>
      </c>
      <c r="G62" s="568">
        <f t="shared" si="4"/>
        <v>168</v>
      </c>
      <c r="H62" s="568">
        <f t="shared" si="4"/>
        <v>168</v>
      </c>
      <c r="I62" s="568">
        <f t="shared" si="4"/>
        <v>168</v>
      </c>
      <c r="J62" s="568">
        <f t="shared" si="4"/>
        <v>168</v>
      </c>
      <c r="K62" s="568">
        <f t="shared" si="4"/>
        <v>168</v>
      </c>
      <c r="L62" s="568">
        <f t="shared" si="4"/>
        <v>168</v>
      </c>
      <c r="M62" s="568">
        <f t="shared" si="4"/>
        <v>126</v>
      </c>
      <c r="N62" s="137"/>
    </row>
  </sheetData>
  <sheetProtection/>
  <mergeCells count="3">
    <mergeCell ref="A4:M4"/>
    <mergeCell ref="A5:M5"/>
    <mergeCell ref="A6:M6"/>
  </mergeCells>
  <printOptions horizontalCentered="1" verticalCentered="1"/>
  <pageMargins left="0.7086614173228347" right="0.7086614173228347" top="0.5511811023622047" bottom="0.5511811023622047" header="0.31496062992125984" footer="0.31496062992125984"/>
  <pageSetup horizontalDpi="600" verticalDpi="600" orientation="landscape" paperSize="9" scale="75" r:id="rId1"/>
  <rowBreaks count="1" manualBreakCount="1">
    <brk id="37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H70"/>
  <sheetViews>
    <sheetView zoomScaleSheetLayoutView="100" zoomScalePageLayoutView="0" workbookViewId="0" topLeftCell="A1">
      <selection activeCell="C2" sqref="C2"/>
    </sheetView>
  </sheetViews>
  <sheetFormatPr defaultColWidth="8.875" defaultRowHeight="12.75"/>
  <cols>
    <col min="1" max="1" width="4.125" style="89" bestFit="1" customWidth="1"/>
    <col min="2" max="2" width="2.375" style="3" customWidth="1"/>
    <col min="3" max="3" width="88.625" style="3" customWidth="1"/>
    <col min="4" max="4" width="15.125" style="3" bestFit="1" customWidth="1"/>
    <col min="5" max="16384" width="8.875" style="3" customWidth="1"/>
  </cols>
  <sheetData>
    <row r="1" spans="3:5" ht="15">
      <c r="C1" s="855" t="s">
        <v>1021</v>
      </c>
      <c r="D1" s="1082"/>
      <c r="E1" s="88"/>
    </row>
    <row r="2" spans="3:5" ht="15">
      <c r="C2" s="6"/>
      <c r="D2" s="177"/>
      <c r="E2" s="88"/>
    </row>
    <row r="3" spans="2:4" ht="15.75">
      <c r="B3" s="1085" t="s">
        <v>851</v>
      </c>
      <c r="C3" s="1085"/>
      <c r="D3" s="1085"/>
    </row>
    <row r="4" spans="2:4" ht="15">
      <c r="B4" s="200"/>
      <c r="C4" s="200"/>
      <c r="D4" s="200"/>
    </row>
    <row r="5" ht="15.75" thickBot="1">
      <c r="D5" s="6"/>
    </row>
    <row r="6" spans="1:4" s="4" customFormat="1" ht="14.25">
      <c r="A6" s="1089" t="s">
        <v>482</v>
      </c>
      <c r="B6" s="1086" t="s">
        <v>394</v>
      </c>
      <c r="C6" s="1087"/>
      <c r="D6" s="7" t="s">
        <v>407</v>
      </c>
    </row>
    <row r="7" spans="1:4" s="109" customFormat="1" ht="12">
      <c r="A7" s="1090"/>
      <c r="B7" s="1088" t="s">
        <v>476</v>
      </c>
      <c r="C7" s="1088"/>
      <c r="D7" s="108" t="s">
        <v>477</v>
      </c>
    </row>
    <row r="8" spans="1:4" s="4" customFormat="1" ht="14.25">
      <c r="A8" s="115">
        <v>1</v>
      </c>
      <c r="B8" s="110" t="s">
        <v>400</v>
      </c>
      <c r="C8" s="11"/>
      <c r="D8" s="336"/>
    </row>
    <row r="9" spans="1:4" s="13" customFormat="1" ht="15">
      <c r="A9" s="115">
        <v>2</v>
      </c>
      <c r="B9" s="111" t="s">
        <v>491</v>
      </c>
      <c r="C9" s="12"/>
      <c r="D9" s="337"/>
    </row>
    <row r="10" spans="1:4" ht="18.75" customHeight="1">
      <c r="A10" s="115">
        <v>3</v>
      </c>
      <c r="B10" s="91" t="s">
        <v>408</v>
      </c>
      <c r="C10" s="163" t="s">
        <v>872</v>
      </c>
      <c r="D10" s="338">
        <v>3000000</v>
      </c>
    </row>
    <row r="11" spans="1:4" ht="27.75" customHeight="1">
      <c r="A11" s="115">
        <v>4</v>
      </c>
      <c r="B11" s="91" t="s">
        <v>408</v>
      </c>
      <c r="C11" s="163" t="s">
        <v>962</v>
      </c>
      <c r="D11" s="338">
        <f>3700000+9000000</f>
        <v>12700000</v>
      </c>
    </row>
    <row r="12" spans="1:4" ht="43.5" customHeight="1">
      <c r="A12" s="115">
        <v>5</v>
      </c>
      <c r="B12" s="91" t="s">
        <v>408</v>
      </c>
      <c r="C12" s="163" t="s">
        <v>965</v>
      </c>
      <c r="D12" s="338">
        <f>17462500+100000</f>
        <v>17562500</v>
      </c>
    </row>
    <row r="13" spans="1:4" ht="27.75" customHeight="1">
      <c r="A13" s="115">
        <v>6</v>
      </c>
      <c r="B13" s="91" t="s">
        <v>408</v>
      </c>
      <c r="C13" s="163" t="s">
        <v>873</v>
      </c>
      <c r="D13" s="338">
        <v>525300</v>
      </c>
    </row>
    <row r="14" spans="1:4" ht="27.75" customHeight="1">
      <c r="A14" s="115">
        <v>7</v>
      </c>
      <c r="B14" s="91" t="s">
        <v>408</v>
      </c>
      <c r="C14" s="163" t="s">
        <v>874</v>
      </c>
      <c r="D14" s="338">
        <v>3225085</v>
      </c>
    </row>
    <row r="15" spans="1:4" ht="18.75" customHeight="1">
      <c r="A15" s="115">
        <v>8</v>
      </c>
      <c r="B15" s="91" t="s">
        <v>408</v>
      </c>
      <c r="C15" s="163" t="s">
        <v>875</v>
      </c>
      <c r="D15" s="338">
        <v>25400</v>
      </c>
    </row>
    <row r="16" spans="1:4" ht="27.75" customHeight="1">
      <c r="A16" s="115">
        <v>9</v>
      </c>
      <c r="B16" s="91" t="s">
        <v>408</v>
      </c>
      <c r="C16" s="163" t="s">
        <v>876</v>
      </c>
      <c r="D16" s="338">
        <f>4445000-2059095</f>
        <v>2385905</v>
      </c>
    </row>
    <row r="17" spans="1:4" ht="27.75" customHeight="1">
      <c r="A17" s="115">
        <v>10</v>
      </c>
      <c r="B17" s="91" t="s">
        <v>408</v>
      </c>
      <c r="C17" s="163" t="s">
        <v>877</v>
      </c>
      <c r="D17" s="338">
        <v>11201400</v>
      </c>
    </row>
    <row r="18" spans="1:4" ht="45.75" customHeight="1">
      <c r="A18" s="115">
        <v>11</v>
      </c>
      <c r="B18" s="91" t="s">
        <v>408</v>
      </c>
      <c r="C18" s="163" t="s">
        <v>878</v>
      </c>
      <c r="D18" s="338">
        <v>1237243</v>
      </c>
    </row>
    <row r="19" spans="1:4" ht="17.25" customHeight="1">
      <c r="A19" s="115">
        <v>12</v>
      </c>
      <c r="B19" s="91" t="s">
        <v>408</v>
      </c>
      <c r="C19" s="163" t="s">
        <v>958</v>
      </c>
      <c r="D19" s="338">
        <v>3150000</v>
      </c>
    </row>
    <row r="20" spans="1:4" ht="17.25" customHeight="1">
      <c r="A20" s="115">
        <v>13</v>
      </c>
      <c r="B20" s="761" t="s">
        <v>408</v>
      </c>
      <c r="C20" s="758" t="s">
        <v>961</v>
      </c>
      <c r="D20" s="338">
        <v>500000</v>
      </c>
    </row>
    <row r="21" spans="1:4" ht="17.25" customHeight="1">
      <c r="A21" s="115">
        <v>14</v>
      </c>
      <c r="B21" s="761" t="s">
        <v>408</v>
      </c>
      <c r="C21" s="758" t="s">
        <v>963</v>
      </c>
      <c r="D21" s="338">
        <v>1707563</v>
      </c>
    </row>
    <row r="22" spans="1:4" ht="17.25" customHeight="1">
      <c r="A22" s="115">
        <v>15</v>
      </c>
      <c r="B22" s="761" t="s">
        <v>408</v>
      </c>
      <c r="C22" s="758" t="s">
        <v>964</v>
      </c>
      <c r="D22" s="338">
        <v>1398066</v>
      </c>
    </row>
    <row r="23" spans="1:4" ht="17.25" customHeight="1">
      <c r="A23" s="115">
        <v>16</v>
      </c>
      <c r="B23" s="761" t="s">
        <v>408</v>
      </c>
      <c r="C23" s="758" t="s">
        <v>966</v>
      </c>
      <c r="D23" s="338">
        <v>88773</v>
      </c>
    </row>
    <row r="24" spans="1:4" s="37" customFormat="1" ht="15">
      <c r="A24" s="115">
        <v>17</v>
      </c>
      <c r="B24" s="91"/>
      <c r="C24" s="15" t="s">
        <v>424</v>
      </c>
      <c r="D24" s="339">
        <f>SUM(D10:D23)</f>
        <v>58707235</v>
      </c>
    </row>
    <row r="25" spans="1:4" s="37" customFormat="1" ht="15">
      <c r="A25" s="115">
        <v>18</v>
      </c>
      <c r="B25" s="1079" t="s">
        <v>405</v>
      </c>
      <c r="C25" s="1080"/>
      <c r="D25" s="1081"/>
    </row>
    <row r="26" spans="1:4" ht="18.75" customHeight="1">
      <c r="A26" s="115">
        <v>19</v>
      </c>
      <c r="B26" s="91" t="s">
        <v>408</v>
      </c>
      <c r="C26" s="163" t="s">
        <v>880</v>
      </c>
      <c r="D26" s="338">
        <v>374000</v>
      </c>
    </row>
    <row r="27" spans="1:4" ht="18.75" customHeight="1">
      <c r="A27" s="115">
        <v>20</v>
      </c>
      <c r="B27" s="91" t="s">
        <v>408</v>
      </c>
      <c r="C27" s="163" t="s">
        <v>879</v>
      </c>
      <c r="D27" s="338">
        <v>126000</v>
      </c>
    </row>
    <row r="28" spans="1:4" s="37" customFormat="1" ht="15">
      <c r="A28" s="115">
        <v>21</v>
      </c>
      <c r="B28" s="162"/>
      <c r="C28" s="15" t="s">
        <v>554</v>
      </c>
      <c r="D28" s="339">
        <f>SUM(D26:D27)</f>
        <v>500000</v>
      </c>
    </row>
    <row r="29" spans="1:4" s="37" customFormat="1" ht="15">
      <c r="A29" s="115">
        <v>22</v>
      </c>
      <c r="B29" s="1079" t="s">
        <v>684</v>
      </c>
      <c r="C29" s="1080"/>
      <c r="D29" s="1081"/>
    </row>
    <row r="30" spans="1:4" ht="18.75" customHeight="1">
      <c r="A30" s="115">
        <v>23</v>
      </c>
      <c r="B30" s="91" t="s">
        <v>408</v>
      </c>
      <c r="C30" s="163" t="s">
        <v>853</v>
      </c>
      <c r="D30" s="338">
        <v>231140</v>
      </c>
    </row>
    <row r="31" spans="1:4" ht="18.75" customHeight="1">
      <c r="A31" s="115">
        <v>24</v>
      </c>
      <c r="B31" s="91" t="s">
        <v>408</v>
      </c>
      <c r="C31" s="163" t="s">
        <v>854</v>
      </c>
      <c r="D31" s="338">
        <v>127000</v>
      </c>
    </row>
    <row r="32" spans="1:4" ht="18.75" customHeight="1">
      <c r="A32" s="115">
        <v>25</v>
      </c>
      <c r="B32" s="91" t="s">
        <v>408</v>
      </c>
      <c r="C32" s="163" t="s">
        <v>855</v>
      </c>
      <c r="D32" s="338">
        <v>124000</v>
      </c>
    </row>
    <row r="33" spans="1:4" ht="18.75" customHeight="1">
      <c r="A33" s="115">
        <v>26</v>
      </c>
      <c r="B33" s="91" t="s">
        <v>408</v>
      </c>
      <c r="C33" s="163" t="s">
        <v>856</v>
      </c>
      <c r="D33" s="338">
        <v>76200</v>
      </c>
    </row>
    <row r="34" spans="1:4" s="37" customFormat="1" ht="15">
      <c r="A34" s="115">
        <v>27</v>
      </c>
      <c r="B34" s="162"/>
      <c r="C34" s="15" t="s">
        <v>685</v>
      </c>
      <c r="D34" s="339">
        <f>SUM(D30:D33)</f>
        <v>558340</v>
      </c>
    </row>
    <row r="35" spans="1:4" s="4" customFormat="1" ht="15" thickBot="1">
      <c r="A35" s="116">
        <v>28</v>
      </c>
      <c r="B35" s="16" t="s">
        <v>397</v>
      </c>
      <c r="C35" s="16"/>
      <c r="D35" s="340">
        <f>SUM(D34+D28+D24)</f>
        <v>59765575</v>
      </c>
    </row>
    <row r="36" spans="1:4" ht="15">
      <c r="A36" s="692">
        <v>29</v>
      </c>
      <c r="B36" s="1083" t="s">
        <v>406</v>
      </c>
      <c r="C36" s="1083"/>
      <c r="D36" s="1084"/>
    </row>
    <row r="37" spans="1:4" s="13" customFormat="1" ht="15">
      <c r="A37" s="115">
        <v>30</v>
      </c>
      <c r="B37" s="138" t="s">
        <v>491</v>
      </c>
      <c r="C37" s="14"/>
      <c r="D37" s="8"/>
    </row>
    <row r="38" spans="1:4" ht="18.75" customHeight="1">
      <c r="A38" s="115">
        <v>31</v>
      </c>
      <c r="B38" s="91" t="s">
        <v>408</v>
      </c>
      <c r="C38" s="163" t="s">
        <v>683</v>
      </c>
      <c r="D38" s="338">
        <v>1000000</v>
      </c>
    </row>
    <row r="39" spans="1:4" ht="18.75" customHeight="1">
      <c r="A39" s="115">
        <v>32</v>
      </c>
      <c r="B39" s="91" t="s">
        <v>408</v>
      </c>
      <c r="C39" s="163" t="s">
        <v>881</v>
      </c>
      <c r="D39" s="338">
        <v>254000</v>
      </c>
    </row>
    <row r="40" spans="1:4" s="37" customFormat="1" ht="29.25" customHeight="1">
      <c r="A40" s="115">
        <v>33</v>
      </c>
      <c r="B40" s="91" t="s">
        <v>408</v>
      </c>
      <c r="C40" s="163" t="s">
        <v>882</v>
      </c>
      <c r="D40" s="338">
        <v>1587500</v>
      </c>
    </row>
    <row r="41" spans="1:4" s="37" customFormat="1" ht="29.25" customHeight="1">
      <c r="A41" s="115">
        <v>34</v>
      </c>
      <c r="B41" s="91" t="s">
        <v>408</v>
      </c>
      <c r="C41" s="163" t="s">
        <v>883</v>
      </c>
      <c r="D41" s="338">
        <v>2500000</v>
      </c>
    </row>
    <row r="42" spans="1:4" s="37" customFormat="1" ht="33" customHeight="1">
      <c r="A42" s="115">
        <v>35</v>
      </c>
      <c r="B42" s="91" t="s">
        <v>408</v>
      </c>
      <c r="C42" s="163" t="s">
        <v>884</v>
      </c>
      <c r="D42" s="338">
        <v>11154409</v>
      </c>
    </row>
    <row r="43" spans="1:4" s="37" customFormat="1" ht="18" customHeight="1">
      <c r="A43" s="115">
        <v>36</v>
      </c>
      <c r="B43" s="91" t="s">
        <v>408</v>
      </c>
      <c r="C43" s="163" t="s">
        <v>960</v>
      </c>
      <c r="D43" s="338">
        <v>2645132</v>
      </c>
    </row>
    <row r="44" spans="1:4" s="13" customFormat="1" ht="15">
      <c r="A44" s="115">
        <v>37</v>
      </c>
      <c r="B44" s="113"/>
      <c r="C44" s="5" t="s">
        <v>424</v>
      </c>
      <c r="D44" s="341">
        <f>SUM(D36:D43)</f>
        <v>19141041</v>
      </c>
    </row>
    <row r="45" spans="1:4" s="37" customFormat="1" ht="15">
      <c r="A45" s="115">
        <v>38</v>
      </c>
      <c r="B45" s="1079" t="s">
        <v>684</v>
      </c>
      <c r="C45" s="1080"/>
      <c r="D45" s="1081"/>
    </row>
    <row r="46" spans="1:4" ht="18.75" customHeight="1">
      <c r="A46" s="115">
        <v>39</v>
      </c>
      <c r="B46" s="91" t="s">
        <v>408</v>
      </c>
      <c r="C46" s="163" t="s">
        <v>852</v>
      </c>
      <c r="D46" s="338">
        <v>196850</v>
      </c>
    </row>
    <row r="47" spans="1:4" s="37" customFormat="1" ht="15">
      <c r="A47" s="115">
        <v>40</v>
      </c>
      <c r="B47" s="345"/>
      <c r="C47" s="15" t="s">
        <v>685</v>
      </c>
      <c r="D47" s="339">
        <f>SUM(D46:D46)</f>
        <v>196850</v>
      </c>
    </row>
    <row r="48" spans="1:4" ht="15.75" thickBot="1">
      <c r="A48" s="116">
        <v>41</v>
      </c>
      <c r="B48" s="112" t="s">
        <v>397</v>
      </c>
      <c r="C48" s="16"/>
      <c r="D48" s="342">
        <f>SUM(D44+D47)</f>
        <v>19337891</v>
      </c>
    </row>
    <row r="49" spans="1:4" ht="15">
      <c r="A49" s="115">
        <v>42</v>
      </c>
      <c r="B49" s="1083" t="s">
        <v>132</v>
      </c>
      <c r="C49" s="1083"/>
      <c r="D49" s="1084"/>
    </row>
    <row r="50" spans="1:4" s="13" customFormat="1" ht="15">
      <c r="A50" s="115">
        <v>43</v>
      </c>
      <c r="B50" s="17" t="s">
        <v>491</v>
      </c>
      <c r="C50" s="14"/>
      <c r="D50" s="9"/>
    </row>
    <row r="51" spans="1:4" s="37" customFormat="1" ht="20.25" customHeight="1">
      <c r="A51" s="115">
        <v>44</v>
      </c>
      <c r="B51" s="91" t="s">
        <v>408</v>
      </c>
      <c r="C51" s="163" t="s">
        <v>472</v>
      </c>
      <c r="D51" s="569">
        <v>449520</v>
      </c>
    </row>
    <row r="52" spans="1:4" ht="32.25" customHeight="1">
      <c r="A52" s="115">
        <v>45</v>
      </c>
      <c r="B52" s="91" t="s">
        <v>408</v>
      </c>
      <c r="C52" s="163" t="s">
        <v>885</v>
      </c>
      <c r="D52" s="569">
        <f>80026110-35026110</f>
        <v>45000000</v>
      </c>
    </row>
    <row r="53" spans="1:4" ht="27.75" customHeight="1">
      <c r="A53" s="115">
        <v>46</v>
      </c>
      <c r="B53" s="91" t="s">
        <v>408</v>
      </c>
      <c r="C53" s="163" t="s">
        <v>886</v>
      </c>
      <c r="D53" s="338">
        <f>1159500-904841</f>
        <v>254659</v>
      </c>
    </row>
    <row r="54" spans="1:4" ht="30" customHeight="1">
      <c r="A54" s="759">
        <v>47</v>
      </c>
      <c r="B54" s="91" t="s">
        <v>408</v>
      </c>
      <c r="C54" s="163" t="s">
        <v>959</v>
      </c>
      <c r="D54" s="760">
        <v>788000</v>
      </c>
    </row>
    <row r="55" spans="1:4" s="4" customFormat="1" ht="15" thickBot="1">
      <c r="A55" s="116">
        <v>48</v>
      </c>
      <c r="B55" s="18" t="s">
        <v>397</v>
      </c>
      <c r="C55" s="16"/>
      <c r="D55" s="343">
        <f>SUM(D51:D54)</f>
        <v>46492179</v>
      </c>
    </row>
    <row r="56" spans="1:4" ht="15" hidden="1">
      <c r="A56" s="692">
        <v>45</v>
      </c>
      <c r="B56" s="1083" t="s">
        <v>473</v>
      </c>
      <c r="C56" s="1083"/>
      <c r="D56" s="1084"/>
    </row>
    <row r="57" spans="1:4" s="13" customFormat="1" ht="15" hidden="1">
      <c r="A57" s="115">
        <v>46</v>
      </c>
      <c r="B57" s="91"/>
      <c r="C57" s="20"/>
      <c r="D57" s="19"/>
    </row>
    <row r="58" spans="1:4" s="4" customFormat="1" ht="15" hidden="1" thickBot="1">
      <c r="A58" s="115">
        <v>47</v>
      </c>
      <c r="B58" s="18" t="s">
        <v>397</v>
      </c>
      <c r="C58" s="16"/>
      <c r="D58" s="10">
        <f>SUM(D57:D57)</f>
        <v>0</v>
      </c>
    </row>
    <row r="59" spans="1:4" ht="15">
      <c r="A59" s="115">
        <v>49</v>
      </c>
      <c r="B59" s="1083" t="s">
        <v>474</v>
      </c>
      <c r="C59" s="1083"/>
      <c r="D59" s="1084"/>
    </row>
    <row r="60" spans="1:4" ht="15">
      <c r="A60" s="115">
        <v>50</v>
      </c>
      <c r="B60" s="17" t="s">
        <v>491</v>
      </c>
      <c r="C60" s="107"/>
      <c r="D60" s="106"/>
    </row>
    <row r="61" spans="1:4" ht="18.75" customHeight="1">
      <c r="A61" s="115">
        <v>51</v>
      </c>
      <c r="B61" s="91" t="s">
        <v>408</v>
      </c>
      <c r="C61" s="163" t="s">
        <v>850</v>
      </c>
      <c r="D61" s="338">
        <f>3550000-680000</f>
        <v>2870000</v>
      </c>
    </row>
    <row r="62" spans="1:4" ht="30">
      <c r="A62" s="115">
        <v>52</v>
      </c>
      <c r="B62" s="91" t="s">
        <v>408</v>
      </c>
      <c r="C62" s="92" t="s">
        <v>967</v>
      </c>
      <c r="D62" s="344">
        <f>389000+4649000</f>
        <v>5038000</v>
      </c>
    </row>
    <row r="63" spans="1:4" s="4" customFormat="1" ht="15" thickBot="1">
      <c r="A63" s="116">
        <v>53</v>
      </c>
      <c r="B63" s="18" t="s">
        <v>397</v>
      </c>
      <c r="C63" s="16"/>
      <c r="D63" s="343">
        <f>SUM(D61:D62)</f>
        <v>7908000</v>
      </c>
    </row>
    <row r="64" spans="1:4" ht="21" customHeight="1" thickBot="1">
      <c r="A64" s="116">
        <v>54</v>
      </c>
      <c r="B64" s="114" t="s">
        <v>398</v>
      </c>
      <c r="C64" s="18"/>
      <c r="D64" s="343">
        <f>SUM(D63+D55+D48+D35)</f>
        <v>133503645</v>
      </c>
    </row>
    <row r="66" ht="21" customHeight="1"/>
    <row r="68" spans="2:4" ht="15">
      <c r="B68" s="1078"/>
      <c r="C68" s="1078"/>
      <c r="D68" s="1078"/>
    </row>
    <row r="70" ht="15">
      <c r="H70" s="90"/>
    </row>
  </sheetData>
  <sheetProtection/>
  <mergeCells count="13">
    <mergeCell ref="A6:A7"/>
    <mergeCell ref="B56:D56"/>
    <mergeCell ref="B59:D59"/>
    <mergeCell ref="B68:D68"/>
    <mergeCell ref="B29:D29"/>
    <mergeCell ref="C1:D1"/>
    <mergeCell ref="B49:D49"/>
    <mergeCell ref="B3:D3"/>
    <mergeCell ref="B6:C6"/>
    <mergeCell ref="B45:D45"/>
    <mergeCell ref="B36:D36"/>
    <mergeCell ref="B7:C7"/>
    <mergeCell ref="B25:D2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75" r:id="rId1"/>
  <rowBreaks count="1" manualBreakCount="1">
    <brk id="48" max="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E52"/>
  <sheetViews>
    <sheetView zoomScalePageLayoutView="0" workbookViewId="0" topLeftCell="A1">
      <selection activeCell="C2" sqref="C2"/>
    </sheetView>
  </sheetViews>
  <sheetFormatPr defaultColWidth="8.875" defaultRowHeight="12.75"/>
  <cols>
    <col min="1" max="1" width="4.125" style="94" bestFit="1" customWidth="1"/>
    <col min="2" max="2" width="2.375" style="51" customWidth="1"/>
    <col min="3" max="3" width="81.25390625" style="51" customWidth="1"/>
    <col min="4" max="4" width="15.375" style="51" bestFit="1" customWidth="1"/>
    <col min="5" max="16384" width="8.875" style="51" customWidth="1"/>
  </cols>
  <sheetData>
    <row r="1" spans="3:5" ht="15">
      <c r="C1" s="855" t="s">
        <v>1022</v>
      </c>
      <c r="D1" s="1082"/>
      <c r="E1" s="88"/>
    </row>
    <row r="2" spans="3:5" ht="15">
      <c r="C2" s="2"/>
      <c r="D2" s="88"/>
      <c r="E2" s="88"/>
    </row>
    <row r="3" spans="2:4" ht="15">
      <c r="B3" s="1094" t="s">
        <v>409</v>
      </c>
      <c r="C3" s="1094"/>
      <c r="D3" s="1094"/>
    </row>
    <row r="4" spans="2:4" ht="15">
      <c r="B4" s="1094" t="s">
        <v>492</v>
      </c>
      <c r="C4" s="1094"/>
      <c r="D4" s="1094"/>
    </row>
    <row r="5" spans="2:4" ht="15">
      <c r="B5" s="53"/>
      <c r="C5" s="53"/>
      <c r="D5" s="53"/>
    </row>
    <row r="6" ht="15">
      <c r="D6" s="52"/>
    </row>
    <row r="7" spans="1:4" s="54" customFormat="1" ht="21" customHeight="1">
      <c r="A7" s="1091" t="s">
        <v>482</v>
      </c>
      <c r="B7" s="1095" t="s">
        <v>394</v>
      </c>
      <c r="C7" s="1095"/>
      <c r="D7" s="96" t="s">
        <v>407</v>
      </c>
    </row>
    <row r="8" spans="1:4" s="93" customFormat="1" ht="12">
      <c r="A8" s="1092"/>
      <c r="B8" s="1096" t="s">
        <v>476</v>
      </c>
      <c r="C8" s="1097"/>
      <c r="D8" s="95" t="s">
        <v>477</v>
      </c>
    </row>
    <row r="9" spans="1:4" s="54" customFormat="1" ht="25.5" customHeight="1">
      <c r="A9" s="95">
        <v>1</v>
      </c>
      <c r="B9" s="56" t="s">
        <v>420</v>
      </c>
      <c r="C9" s="55"/>
      <c r="D9" s="101"/>
    </row>
    <row r="10" spans="1:4" ht="15">
      <c r="A10" s="95">
        <v>2</v>
      </c>
      <c r="B10" s="97" t="s">
        <v>490</v>
      </c>
      <c r="C10" s="92" t="s">
        <v>981</v>
      </c>
      <c r="D10" s="198">
        <v>1000000</v>
      </c>
    </row>
    <row r="11" spans="1:4" ht="15">
      <c r="A11" s="95">
        <v>3</v>
      </c>
      <c r="B11" s="97" t="s">
        <v>490</v>
      </c>
      <c r="C11" s="92" t="s">
        <v>982</v>
      </c>
      <c r="D11" s="762">
        <v>-1000000</v>
      </c>
    </row>
    <row r="12" spans="1:4" s="54" customFormat="1" ht="15.75" customHeight="1">
      <c r="A12" s="95">
        <v>4</v>
      </c>
      <c r="B12" s="56" t="s">
        <v>397</v>
      </c>
      <c r="C12" s="56"/>
      <c r="D12" s="199">
        <f>SUM(D10:D11)</f>
        <v>0</v>
      </c>
    </row>
    <row r="13" spans="1:4" s="54" customFormat="1" ht="6" customHeight="1">
      <c r="A13" s="100"/>
      <c r="B13" s="99"/>
      <c r="C13" s="99"/>
      <c r="D13" s="101"/>
    </row>
    <row r="14" spans="1:4" s="54" customFormat="1" ht="25.5" customHeight="1">
      <c r="A14" s="95">
        <v>5</v>
      </c>
      <c r="B14" s="1093" t="s">
        <v>419</v>
      </c>
      <c r="C14" s="1093"/>
      <c r="D14" s="1093"/>
    </row>
    <row r="15" spans="1:4" ht="15">
      <c r="A15" s="95">
        <v>6</v>
      </c>
      <c r="B15" s="97" t="s">
        <v>490</v>
      </c>
      <c r="C15" s="92" t="s">
        <v>729</v>
      </c>
      <c r="D15" s="198">
        <v>300000</v>
      </c>
    </row>
    <row r="16" spans="1:4" ht="15">
      <c r="A16" s="95">
        <v>7</v>
      </c>
      <c r="B16" s="97" t="s">
        <v>490</v>
      </c>
      <c r="C16" s="92" t="s">
        <v>983</v>
      </c>
      <c r="D16" s="198">
        <v>153824</v>
      </c>
    </row>
    <row r="17" spans="1:4" ht="15.75" customHeight="1">
      <c r="A17" s="95">
        <v>8</v>
      </c>
      <c r="B17" s="56" t="s">
        <v>397</v>
      </c>
      <c r="C17" s="56"/>
      <c r="D17" s="199">
        <f>SUM(D15:D16)</f>
        <v>453824</v>
      </c>
    </row>
    <row r="18" spans="1:4" s="54" customFormat="1" ht="7.5" customHeight="1">
      <c r="A18" s="100"/>
      <c r="B18" s="99"/>
      <c r="C18" s="99"/>
      <c r="D18" s="101"/>
    </row>
    <row r="19" spans="1:4" s="54" customFormat="1" ht="25.5" customHeight="1">
      <c r="A19" s="95">
        <v>9</v>
      </c>
      <c r="B19" s="56" t="s">
        <v>731</v>
      </c>
      <c r="C19" s="55"/>
      <c r="D19" s="101"/>
    </row>
    <row r="20" spans="1:4" ht="15">
      <c r="A20" s="95">
        <v>10</v>
      </c>
      <c r="B20" s="97" t="s">
        <v>490</v>
      </c>
      <c r="C20" s="92" t="s">
        <v>968</v>
      </c>
      <c r="D20" s="198">
        <v>1000000</v>
      </c>
    </row>
    <row r="21" spans="1:4" ht="15">
      <c r="A21" s="95">
        <v>11</v>
      </c>
      <c r="B21" s="97" t="s">
        <v>490</v>
      </c>
      <c r="C21" s="92" t="s">
        <v>969</v>
      </c>
      <c r="D21" s="762">
        <v>-40723</v>
      </c>
    </row>
    <row r="22" spans="1:4" ht="30">
      <c r="A22" s="95">
        <v>12</v>
      </c>
      <c r="B22" s="97" t="s">
        <v>490</v>
      </c>
      <c r="C22" s="92" t="s">
        <v>970</v>
      </c>
      <c r="D22" s="762">
        <v>-500000</v>
      </c>
    </row>
    <row r="23" spans="1:4" ht="15" customHeight="1">
      <c r="A23" s="95">
        <v>13</v>
      </c>
      <c r="B23" s="97" t="s">
        <v>490</v>
      </c>
      <c r="C23" s="92" t="s">
        <v>976</v>
      </c>
      <c r="D23" s="198">
        <v>1553784</v>
      </c>
    </row>
    <row r="24" spans="1:4" ht="15">
      <c r="A24" s="95">
        <v>14</v>
      </c>
      <c r="B24" s="97" t="s">
        <v>490</v>
      </c>
      <c r="C24" s="92" t="s">
        <v>977</v>
      </c>
      <c r="D24" s="198">
        <v>750000</v>
      </c>
    </row>
    <row r="25" spans="1:4" ht="15">
      <c r="A25" s="95">
        <v>15</v>
      </c>
      <c r="B25" s="97" t="s">
        <v>490</v>
      </c>
      <c r="C25" s="92" t="s">
        <v>978</v>
      </c>
      <c r="D25" s="762">
        <v>-668467</v>
      </c>
    </row>
    <row r="26" spans="1:4" ht="15">
      <c r="A26" s="95">
        <v>16</v>
      </c>
      <c r="B26" s="97" t="s">
        <v>490</v>
      </c>
      <c r="C26" s="92" t="s">
        <v>979</v>
      </c>
      <c r="D26" s="762">
        <v>-1467722</v>
      </c>
    </row>
    <row r="27" spans="1:4" ht="15">
      <c r="A27" s="95">
        <v>17</v>
      </c>
      <c r="B27" s="97" t="s">
        <v>490</v>
      </c>
      <c r="C27" s="92" t="s">
        <v>980</v>
      </c>
      <c r="D27" s="762">
        <v>-100000</v>
      </c>
    </row>
    <row r="28" spans="1:4" s="54" customFormat="1" ht="15.75" customHeight="1">
      <c r="A28" s="95">
        <v>18</v>
      </c>
      <c r="B28" s="56" t="s">
        <v>397</v>
      </c>
      <c r="C28" s="56"/>
      <c r="D28" s="199">
        <f>SUM(D20:D27)</f>
        <v>526872</v>
      </c>
    </row>
    <row r="29" spans="1:4" s="54" customFormat="1" ht="7.5" customHeight="1">
      <c r="A29" s="100"/>
      <c r="B29" s="99"/>
      <c r="C29" s="99"/>
      <c r="D29" s="101"/>
    </row>
    <row r="30" spans="1:4" s="54" customFormat="1" ht="24" customHeight="1">
      <c r="A30" s="95">
        <v>19</v>
      </c>
      <c r="B30" s="1093" t="s">
        <v>912</v>
      </c>
      <c r="C30" s="1093"/>
      <c r="D30" s="1093"/>
    </row>
    <row r="31" spans="1:4" ht="15">
      <c r="A31" s="95">
        <v>20</v>
      </c>
      <c r="B31" s="97" t="s">
        <v>490</v>
      </c>
      <c r="C31" s="92" t="s">
        <v>971</v>
      </c>
      <c r="D31" s="198">
        <v>6865581</v>
      </c>
    </row>
    <row r="32" spans="1:4" ht="15">
      <c r="A32" s="95">
        <v>21</v>
      </c>
      <c r="B32" s="97" t="s">
        <v>490</v>
      </c>
      <c r="C32" s="92" t="s">
        <v>973</v>
      </c>
      <c r="D32" s="762">
        <f>-6762752-102829</f>
        <v>-6865581</v>
      </c>
    </row>
    <row r="33" spans="1:4" s="54" customFormat="1" ht="15.75" customHeight="1">
      <c r="A33" s="95">
        <v>22</v>
      </c>
      <c r="B33" s="56" t="s">
        <v>397</v>
      </c>
      <c r="C33" s="56"/>
      <c r="D33" s="199">
        <f>SUM(D31:D32)</f>
        <v>0</v>
      </c>
    </row>
    <row r="34" spans="1:4" s="54" customFormat="1" ht="7.5" customHeight="1">
      <c r="A34" s="95"/>
      <c r="B34" s="56"/>
      <c r="C34" s="56"/>
      <c r="D34" s="199"/>
    </row>
    <row r="35" spans="1:4" s="54" customFormat="1" ht="24" customHeight="1">
      <c r="A35" s="95">
        <v>23</v>
      </c>
      <c r="B35" s="1093" t="s">
        <v>913</v>
      </c>
      <c r="C35" s="1093"/>
      <c r="D35" s="1093"/>
    </row>
    <row r="36" spans="1:4" ht="15">
      <c r="A36" s="95">
        <v>24</v>
      </c>
      <c r="B36" s="97" t="s">
        <v>490</v>
      </c>
      <c r="C36" s="92" t="s">
        <v>972</v>
      </c>
      <c r="D36" s="198">
        <v>30016102</v>
      </c>
    </row>
    <row r="37" spans="1:4" ht="15">
      <c r="A37" s="95">
        <v>25</v>
      </c>
      <c r="B37" s="97" t="s">
        <v>490</v>
      </c>
      <c r="C37" s="92" t="s">
        <v>973</v>
      </c>
      <c r="D37" s="762">
        <f>-50995-5512457-430000-379000-4649000-255887-18738763</f>
        <v>-30016102</v>
      </c>
    </row>
    <row r="38" spans="1:4" s="54" customFormat="1" ht="15.75" customHeight="1">
      <c r="A38" s="95">
        <v>26</v>
      </c>
      <c r="B38" s="56" t="s">
        <v>397</v>
      </c>
      <c r="C38" s="56"/>
      <c r="D38" s="199">
        <f>SUM(D36:D37)</f>
        <v>0</v>
      </c>
    </row>
    <row r="39" spans="1:4" s="54" customFormat="1" ht="7.5" customHeight="1">
      <c r="A39" s="95"/>
      <c r="B39" s="56"/>
      <c r="C39" s="56"/>
      <c r="D39" s="199"/>
    </row>
    <row r="40" spans="1:4" ht="15.75" customHeight="1">
      <c r="A40" s="95">
        <v>27</v>
      </c>
      <c r="B40" s="56" t="s">
        <v>422</v>
      </c>
      <c r="C40" s="56"/>
      <c r="D40" s="199">
        <f>SUM(D12,D17,D28,D33,D38)</f>
        <v>980696</v>
      </c>
    </row>
    <row r="41" spans="1:4" s="54" customFormat="1" ht="6.75" customHeight="1">
      <c r="A41" s="95"/>
      <c r="B41" s="56"/>
      <c r="C41" s="56"/>
      <c r="D41" s="199"/>
    </row>
    <row r="42" spans="1:4" s="54" customFormat="1" ht="25.5" customHeight="1">
      <c r="A42" s="95">
        <v>28</v>
      </c>
      <c r="B42" s="1093" t="s">
        <v>404</v>
      </c>
      <c r="C42" s="1093"/>
      <c r="D42" s="1093"/>
    </row>
    <row r="43" spans="1:4" ht="30">
      <c r="A43" s="95">
        <v>29</v>
      </c>
      <c r="B43" s="97" t="s">
        <v>490</v>
      </c>
      <c r="C43" s="92" t="s">
        <v>730</v>
      </c>
      <c r="D43" s="198">
        <v>389000</v>
      </c>
    </row>
    <row r="44" spans="1:4" ht="15">
      <c r="A44" s="95">
        <v>30</v>
      </c>
      <c r="B44" s="97" t="s">
        <v>490</v>
      </c>
      <c r="C44" s="92" t="s">
        <v>974</v>
      </c>
      <c r="D44" s="198">
        <v>4649000</v>
      </c>
    </row>
    <row r="45" spans="1:4" s="93" customFormat="1" ht="18" customHeight="1">
      <c r="A45" s="95">
        <v>31</v>
      </c>
      <c r="B45" s="763" t="s">
        <v>975</v>
      </c>
      <c r="C45" s="763"/>
      <c r="D45" s="764">
        <f>SUM(D43:D44)</f>
        <v>5038000</v>
      </c>
    </row>
    <row r="46" spans="1:4" ht="30">
      <c r="A46" s="95">
        <v>32</v>
      </c>
      <c r="B46" s="97" t="s">
        <v>490</v>
      </c>
      <c r="C46" s="92" t="s">
        <v>906</v>
      </c>
      <c r="D46" s="198">
        <v>799000</v>
      </c>
    </row>
    <row r="47" spans="1:4" ht="30">
      <c r="A47" s="95">
        <v>33</v>
      </c>
      <c r="B47" s="97" t="s">
        <v>490</v>
      </c>
      <c r="C47" s="92" t="s">
        <v>907</v>
      </c>
      <c r="D47" s="198">
        <v>2071000</v>
      </c>
    </row>
    <row r="48" spans="1:4" s="93" customFormat="1" ht="18" customHeight="1">
      <c r="A48" s="95">
        <v>34</v>
      </c>
      <c r="B48" s="763" t="s">
        <v>984</v>
      </c>
      <c r="C48" s="763"/>
      <c r="D48" s="764">
        <f>SUM(D46:D47)</f>
        <v>2870000</v>
      </c>
    </row>
    <row r="49" spans="1:4" s="54" customFormat="1" ht="6.75" customHeight="1">
      <c r="A49" s="95"/>
      <c r="B49" s="97"/>
      <c r="C49" s="92"/>
      <c r="D49" s="98"/>
    </row>
    <row r="50" spans="1:4" ht="15.75" customHeight="1">
      <c r="A50" s="95">
        <v>35</v>
      </c>
      <c r="B50" s="56" t="s">
        <v>423</v>
      </c>
      <c r="C50" s="56"/>
      <c r="D50" s="199">
        <f>SUM(D48+D45)</f>
        <v>7908000</v>
      </c>
    </row>
    <row r="51" spans="1:4" s="54" customFormat="1" ht="6.75" customHeight="1">
      <c r="A51" s="100"/>
      <c r="B51" s="99"/>
      <c r="C51" s="99"/>
      <c r="D51" s="101"/>
    </row>
    <row r="52" spans="1:4" ht="15.75" customHeight="1">
      <c r="A52" s="95">
        <v>36</v>
      </c>
      <c r="B52" s="56" t="s">
        <v>421</v>
      </c>
      <c r="C52" s="56"/>
      <c r="D52" s="199">
        <f>SUM(D50,D40)</f>
        <v>8888696</v>
      </c>
    </row>
  </sheetData>
  <sheetProtection/>
  <mergeCells count="10">
    <mergeCell ref="A7:A8"/>
    <mergeCell ref="B42:D42"/>
    <mergeCell ref="B14:D14"/>
    <mergeCell ref="C1:D1"/>
    <mergeCell ref="B3:D3"/>
    <mergeCell ref="B7:C7"/>
    <mergeCell ref="B4:D4"/>
    <mergeCell ref="B8:C8"/>
    <mergeCell ref="B30:D30"/>
    <mergeCell ref="B35:D3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OTP Bank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Tóth Erika</cp:lastModifiedBy>
  <cp:lastPrinted>2017-06-23T06:50:25Z</cp:lastPrinted>
  <dcterms:created xsi:type="dcterms:W3CDTF">2001-11-30T10:27:10Z</dcterms:created>
  <dcterms:modified xsi:type="dcterms:W3CDTF">2017-06-23T07:49:02Z</dcterms:modified>
  <cp:category/>
  <cp:version/>
  <cp:contentType/>
  <cp:contentStatus/>
</cp:coreProperties>
</file>