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6" activeTab="20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" sheetId="20" r:id="rId20"/>
    <sheet name="20 közvetett" sheetId="21" r:id="rId21"/>
    <sheet name="21 MÉRLEG" sheetId="22" r:id="rId22"/>
    <sheet name="22 FELH TERV" sheetId="23" r:id="rId23"/>
    <sheet name="23 GÖRDÜLŐ" sheetId="24" r:id="rId24"/>
  </sheets>
  <externalReferences>
    <externalReference r:id="rId27"/>
  </externalReferences>
  <definedNames>
    <definedName name="_4._sz._sor_részletezése">#REF!</definedName>
    <definedName name="_xlnm.Print_Titles" localSheetId="10">'10 Járób'!$1:$5</definedName>
    <definedName name="_xlnm.Print_Titles" localSheetId="11">'11 Szoci'!$1:$5</definedName>
    <definedName name="_xlnm.Print_Titles" localSheetId="12">'12 Ovi'!$1:$5</definedName>
    <definedName name="_xlnm.Print_Titles" localSheetId="13">'13 Művház'!$1:$5</definedName>
    <definedName name="_xlnm.Print_Titles" localSheetId="14">'14 Könyvt'!$1:$5</definedName>
    <definedName name="_xlnm.Print_Titles" localSheetId="19">'19 EU proj'!$1:$6</definedName>
    <definedName name="_xlnm.Print_Titles" localSheetId="2">'2 Össz'!$1:$5</definedName>
    <definedName name="_xlnm.Print_Titles" localSheetId="21">'21 MÉRLEG'!$1:$4</definedName>
    <definedName name="_xlnm.Print_Titles" localSheetId="22">'22 FELH TERV'!$1:$6</definedName>
    <definedName name="_xlnm.Print_Titles" localSheetId="23">'23 GÖRDÜLŐ'!$1:$6</definedName>
    <definedName name="_xlnm.Print_Titles" localSheetId="3">'3 Adók és tám'!$1:$6</definedName>
    <definedName name="_xlnm.Print_Titles" localSheetId="4">'4 Átvett és Felh bev'!$1:$9</definedName>
    <definedName name="_xlnm.Print_Titles" localSheetId="5">'5 Beruh kiad'!$1:$8</definedName>
    <definedName name="_xlnm.Print_Titles" localSheetId="7">('7 Önk'!$B:$C,'7 Önk'!$1:$5)</definedName>
    <definedName name="_xlnm.Print_Titles" localSheetId="8">'8 PH'!$1:$5</definedName>
    <definedName name="_xlnm.Print_Titles" localSheetId="9">'9 VGIG'!$1:$5</definedName>
    <definedName name="_xlnm.Print_Area" localSheetId="1">'1 kiem'!$A$1:$D$31</definedName>
    <definedName name="_xlnm.Print_Area" localSheetId="10">'10 Járób'!$B$1:$F$134</definedName>
    <definedName name="_xlnm.Print_Area" localSheetId="11">'11 Szoci'!$B$1:$F$134</definedName>
    <definedName name="_xlnm.Print_Area" localSheetId="12">'12 Ovi'!$B$1:$F$134</definedName>
    <definedName name="_xlnm.Print_Area" localSheetId="13">'13 Művház'!$B$1:$F$134</definedName>
    <definedName name="_xlnm.Print_Area" localSheetId="14">'14 Könyvt'!$B$1:$F$134</definedName>
    <definedName name="_xlnm.Print_Area" localSheetId="15">'15 létszám'!$A$1:$K$37</definedName>
    <definedName name="_xlnm.Print_Area" localSheetId="16">'16 szociális kiad'!$B$1:$D$27</definedName>
    <definedName name="_xlnm.Print_Area" localSheetId="17">'17 hitelek'!$B$1:$E$84</definedName>
    <definedName name="_xlnm.Print_Area" localSheetId="18">'18 TÖBB ÉVES'!$A$1:$I$27</definedName>
    <definedName name="_xlnm.Print_Area" localSheetId="19">'19 EU proj'!$A$1:$B$198</definedName>
    <definedName name="_xlnm.Print_Area" localSheetId="2">'2 Össz'!$A$1:$E$155</definedName>
    <definedName name="_xlnm.Print_Area" localSheetId="20">'20 közvetett'!$A$1:$E$19</definedName>
    <definedName name="_xlnm.Print_Area" localSheetId="21">'21 MÉRLEG'!$A$1:$E$154</definedName>
    <definedName name="_xlnm.Print_Area" localSheetId="22">'22 FELH TERV'!$A$1:$O$154</definedName>
    <definedName name="_xlnm.Print_Area" localSheetId="23">'23 GÖRDÜLŐ'!$A$1:$F$151</definedName>
    <definedName name="_xlnm.Print_Area" localSheetId="3">'3 Adók és tám'!$B$1:$D$80</definedName>
    <definedName name="_xlnm.Print_Area" localSheetId="4">'4 Átvett és Felh bev'!$B$1:$E$95</definedName>
    <definedName name="_xlnm.Print_Area" localSheetId="5">'5 Beruh kiad'!$B$1:$E$76</definedName>
    <definedName name="_xlnm.Print_Area" localSheetId="6">'6 Tart'!$B$1:$F$26</definedName>
    <definedName name="_xlnm.Print_Area" localSheetId="7">'7 Önk'!$B$1:$AB$131</definedName>
    <definedName name="_xlnm.Print_Area" localSheetId="8">'8 PH'!$B$1:$F$134</definedName>
    <definedName name="_xlnm.Print_Area" localSheetId="9">'9 VGIG'!$B$1:$F$134</definedName>
    <definedName name="_xlnm.Print_Area" localSheetId="0">'Címrend'!$A$1:$B$18</definedName>
    <definedName name="pr232" localSheetId="18">'18 TÖBB ÉVES'!$A$16</definedName>
    <definedName name="pr232" localSheetId="21">'21 MÉRLEG'!#REF!</definedName>
    <definedName name="pr232" localSheetId="23">'23 GÖRDÜLŐ'!#REF!</definedName>
    <definedName name="pr233" localSheetId="18">'18 TÖBB ÉVES'!$A$17</definedName>
    <definedName name="pr233" localSheetId="21">'21 MÉRLEG'!#REF!</definedName>
    <definedName name="pr233" localSheetId="23">'23 GÖRDÜLŐ'!#REF!</definedName>
    <definedName name="pr234" localSheetId="18">'18 TÖBB ÉVES'!$A$18</definedName>
    <definedName name="pr234" localSheetId="21">'21 MÉRLEG'!#REF!</definedName>
    <definedName name="pr234" localSheetId="23">'23 GÖRDÜLŐ'!#REF!</definedName>
    <definedName name="pr235" localSheetId="18">'18 TÖBB ÉVES'!$A$19</definedName>
    <definedName name="pr235" localSheetId="21">'21 MÉRLEG'!#REF!</definedName>
    <definedName name="pr235" localSheetId="23">'23 GÖRDÜLŐ'!#REF!</definedName>
    <definedName name="pr236" localSheetId="18">'18 TÖBB ÉVES'!$A$20</definedName>
    <definedName name="pr236" localSheetId="21">'21 MÉRLEG'!#REF!</definedName>
    <definedName name="pr236" localSheetId="23">'23 GÖRDÜLŐ'!#REF!</definedName>
    <definedName name="pr312" localSheetId="18">'18 TÖBB ÉVES'!#REF!</definedName>
    <definedName name="pr312" localSheetId="21">'21 MÉRLEG'!#REF!</definedName>
    <definedName name="pr312" localSheetId="23">'23 GÖRDÜLŐ'!#REF!</definedName>
    <definedName name="pr313" localSheetId="18">'18 TÖBB ÉVES'!$A$4</definedName>
    <definedName name="pr313" localSheetId="21">'21 MÉRLEG'!#REF!</definedName>
    <definedName name="pr313" localSheetId="23">'23 GÖRDÜLŐ'!#REF!</definedName>
    <definedName name="pr314" localSheetId="18">'18 TÖBB ÉVES'!#REF!</definedName>
    <definedName name="pr314" localSheetId="21">'21 MÉRLEG'!#REF!</definedName>
    <definedName name="pr314" localSheetId="23">'23 GÖRDÜLŐ'!#REF!</definedName>
    <definedName name="pr315" localSheetId="18">'18 TÖBB ÉVES'!$A$12</definedName>
    <definedName name="pr315" localSheetId="21">'21 MÉRLEG'!#REF!</definedName>
    <definedName name="pr315" localSheetId="23">'23 GÖRDÜLŐ'!$A$5</definedName>
    <definedName name="pr347" localSheetId="23">'23 GÖRDÜLŐ'!$G$7</definedName>
    <definedName name="pr348" localSheetId="23">'23 GÖRDÜLŐ'!$G$8</definedName>
    <definedName name="pr349" localSheetId="23">'23 GÖRDÜLŐ'!$G$9</definedName>
    <definedName name="pr54" localSheetId="0">'Címrend'!$B$29</definedName>
    <definedName name="pr55" localSheetId="0">'Címrend'!$B$30</definedName>
    <definedName name="pr56" localSheetId="0">'Címrend'!$B$31</definedName>
    <definedName name="pr57" localSheetId="0">'Címrend'!$B$32</definedName>
    <definedName name="pr58" localSheetId="0">'Címrend'!$B$33</definedName>
    <definedName name="pr59" localSheetId="0">'Címrend'!$B$34</definedName>
    <definedName name="pr60" localSheetId="0">'Címrend'!#REF!</definedName>
    <definedName name="pr61" localSheetId="0">'Címrend'!$B$36</definedName>
    <definedName name="pr62" localSheetId="0">'Címrend'!$B$37</definedName>
    <definedName name="pr63" localSheetId="0">'Címrend'!$B$38</definedName>
    <definedName name="pr64" localSheetId="0">'Címrend'!$B$39</definedName>
    <definedName name="pr65" localSheetId="0">'Címrend'!$B$40</definedName>
    <definedName name="pr66" localSheetId="0">'Címrend'!$B$41</definedName>
    <definedName name="pr67" localSheetId="0">'Címrend'!$B$42</definedName>
    <definedName name="pr68" localSheetId="0">'Címrend'!$B$43</definedName>
    <definedName name="pr69" localSheetId="0">'Címrend'!$B$44</definedName>
    <definedName name="pr70" localSheetId="0">'Címrend'!$B$45</definedName>
    <definedName name="pr71" localSheetId="0">'Címrend'!$B$46</definedName>
    <definedName name="pr72" localSheetId="0">'Címrend'!$B$47</definedName>
    <definedName name="pr73" localSheetId="0">'Címrend'!$B$48</definedName>
  </definedNames>
  <calcPr calcMode="manual" fullCalcOnLoad="1"/>
</workbook>
</file>

<file path=xl/comments3.xml><?xml version="1.0" encoding="utf-8"?>
<comments xmlns="http://schemas.openxmlformats.org/spreadsheetml/2006/main">
  <authors>
    <author/>
  </authors>
  <commentList>
    <comment ref="D98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Ezt módosítani ha kell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G13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Szoc segély dologi ktg 3500eFt</t>
        </r>
      </text>
    </comment>
    <comment ref="G50" authorId="0">
      <text>
        <r>
          <rPr>
            <b/>
            <sz val="8"/>
            <color indexed="8"/>
            <rFont val="Tahoma"/>
            <family val="2"/>
          </rPr>
          <t xml:space="preserve">gl:
</t>
        </r>
        <r>
          <rPr>
            <sz val="8"/>
            <color indexed="8"/>
            <rFont val="Tahoma"/>
            <family val="2"/>
          </rPr>
          <t>Ivóvíz önerőtám</t>
        </r>
      </text>
    </comment>
  </commentList>
</comments>
</file>

<file path=xl/sharedStrings.xml><?xml version="1.0" encoding="utf-8"?>
<sst xmlns="http://schemas.openxmlformats.org/spreadsheetml/2006/main" count="4350" uniqueCount="830">
  <si>
    <t>Háziorvosi szolgálat és fogászati szakellátás minőségének javítása</t>
  </si>
  <si>
    <t>Bajcsy Zs. 72 (Volt "SZTK") épületének átalakítása és közterület rendezése</t>
  </si>
  <si>
    <t>Fürdő napelem rendszer kialakítása</t>
  </si>
  <si>
    <t>Barcs Város Önkormányzata hivatali épületeinek épületenergetikai fejlesztése</t>
  </si>
  <si>
    <t>Ravatalozó kialakítása a Béke utcai temetőben</t>
  </si>
  <si>
    <t>(Horvát-Magyar CBC program,) turisztikayi célú kerékpárút fejlesztés</t>
  </si>
  <si>
    <t>IPA 3 TOUR-Pack (Horvát-Magyar)  pályázat</t>
  </si>
  <si>
    <t>20. melléklet</t>
  </si>
  <si>
    <t>Az önkormányzat 2015. évi közvetett támogatásai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</si>
  <si>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</si>
  <si>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</si>
  <si>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</si>
  <si>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</si>
  <si>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</si>
  <si>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</si>
  <si>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</si>
  <si>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</si>
  <si>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</si>
  <si>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</si>
  <si>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Telekadó</t>
  </si>
  <si>
    <t>Építményadó</t>
  </si>
  <si>
    <t>Késedelmi pótlék</t>
  </si>
  <si>
    <t>Bírság</t>
  </si>
  <si>
    <t>Szemétszállítási díj</t>
  </si>
  <si>
    <t>Helyi rendeletben meghatározott mentességek alapján</t>
  </si>
  <si>
    <t>Összesen:</t>
  </si>
  <si>
    <t>21. melléklet</t>
  </si>
  <si>
    <t>A helyi önkormányzat költségvetési mérlege közgazdasági tagolásban (E Ft)</t>
  </si>
  <si>
    <t>2013. évi    teljesítés</t>
  </si>
  <si>
    <t>2014. évi várható teljesítés</t>
  </si>
  <si>
    <t>2015. évi eredeti ei.</t>
  </si>
  <si>
    <t>Működési célú központosított előirányzatok</t>
  </si>
  <si>
    <t>Helyi önkormányzatok kiegészítő támogatásai</t>
  </si>
  <si>
    <t>22. melléklet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</si>
  <si>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</si>
  <si>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</si>
  <si>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</si>
  <si>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</si>
  <si>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</si>
  <si>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</si>
  <si>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</si>
  <si>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</si>
  <si>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</si>
  <si>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</si>
  <si>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</si>
  <si>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</si>
  <si>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</si>
  <si>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Központi, irányító szervi támogatások folyósítása működési és felhalm.célra</t>
  </si>
  <si>
    <t>23. melléklet</t>
  </si>
  <si>
    <t>A költségvetési évet követő három év tervezett előirányzatainak keretszámai főbb csoportokban (E Ft)</t>
  </si>
  <si>
    <t>2015. évi terv</t>
  </si>
  <si>
    <t>2016. évi terv</t>
  </si>
  <si>
    <t>2017. évi terv</t>
  </si>
  <si>
    <t>2018. évi terv</t>
  </si>
  <si>
    <t xml:space="preserve">Személyi juttatások </t>
  </si>
  <si>
    <t xml:space="preserve">Dologi kiadások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</si>
  <si>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</si>
  <si>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</si>
  <si>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</si>
  <si>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</si>
  <si>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>Felhalmozási célú támogatások az EU-nak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</si>
  <si>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</si>
  <si>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</si>
  <si>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</si>
  <si>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Hitel-, kölcsöntörlesztés államháztartáson kívülre </t>
  </si>
  <si>
    <t>Forgatási célú belföldi értékpapírok vásárlása</t>
  </si>
  <si>
    <t>Befektetési célú belföldi értékpapírok beváltása</t>
  </si>
  <si>
    <t xml:space="preserve">Belföldi értékpapírok kiadásai </t>
  </si>
  <si>
    <t xml:space="preserve">Finanszírozási kiadások </t>
  </si>
  <si>
    <t>Működési célú támogatások államháztartáson belülről</t>
  </si>
  <si>
    <t xml:space="preserve">Közhatalmi bevételek </t>
  </si>
  <si>
    <t xml:space="preserve">Működési bevételek </t>
  </si>
  <si>
    <t xml:space="preserve">Felhalmozási bevételek </t>
  </si>
  <si>
    <t xml:space="preserve">Felhalmozási célú átvett pénzeszközök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</si>
  <si>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</si>
  <si>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</si>
  <si>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</si>
  <si>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</si>
  <si>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t xml:space="preserve">Barcs Város Önkormányzata </t>
  </si>
  <si>
    <t>C Í M R E N D J E</t>
  </si>
  <si>
    <t>Barcsi Polgármesteri Hivatal</t>
  </si>
  <si>
    <t>Barcs Városi Önkormányzat Városgazdálkodási Igazgatósága</t>
  </si>
  <si>
    <t>Kistérségi Járóbetegellátó Központ</t>
  </si>
  <si>
    <t>Barcsi Szociális Központ</t>
  </si>
  <si>
    <t>Barcs Város Óvodája és Bölcsődéje</t>
  </si>
  <si>
    <t>Móricz Zsigmond Művelődési Központ és Dráva Közérdekű Múzeális kiállítóhely</t>
  </si>
  <si>
    <t>Barcsi Városi Könyvtár</t>
  </si>
  <si>
    <t>1. melléklet</t>
  </si>
  <si>
    <t>a  4/2015.(II.26.) önkormányzati rendelethez</t>
  </si>
  <si>
    <t>Barcs Város Önkormányzata 2015. évi költségvetése</t>
  </si>
  <si>
    <t>Az egységes rovatrend szerint a kiemelt kiadási és bevételi jogcímek (E Ft)</t>
  </si>
  <si>
    <t>Eredeti előirányzat</t>
  </si>
  <si>
    <t>Rovat megnevezése</t>
  </si>
  <si>
    <t>Kötelező feladatok</t>
  </si>
  <si>
    <t>Önként vállalt feladatok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</si>
  <si>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</si>
  <si>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</si>
  <si>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</si>
  <si>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</si>
  <si>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</si>
  <si>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</si>
  <si>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</si>
  <si>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</si>
  <si>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</si>
  <si>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</si>
  <si>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</si>
  <si>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</si>
  <si>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</si>
  <si>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</si>
  <si>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</si>
  <si>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</si>
  <si>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</si>
  <si>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</si>
  <si>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</si>
  <si>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</si>
  <si>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</si>
  <si>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</si>
  <si>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2. melléklet</t>
  </si>
  <si>
    <t>Kiadások - Bevételek (EFt)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</si>
  <si>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</si>
  <si>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</si>
  <si>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</si>
  <si>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</si>
  <si>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</si>
  <si>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>Személyi juttatások összesen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</si>
  <si>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</si>
  <si>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</si>
  <si>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</si>
  <si>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</si>
  <si>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</si>
  <si>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</si>
  <si>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</si>
  <si>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</si>
  <si>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</si>
  <si>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</si>
  <si>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</si>
  <si>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</si>
  <si>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</si>
  <si>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>Dologi kiadások összesen</t>
  </si>
  <si>
    <t>K3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</si>
  <si>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</si>
  <si>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</si>
  <si>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</si>
  <si>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</si>
  <si>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</si>
  <si>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</si>
  <si>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</si>
  <si>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</si>
  <si>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</si>
  <si>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</si>
  <si>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</si>
  <si>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</si>
  <si>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áht-n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</si>
  <si>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</si>
  <si>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</si>
  <si>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</si>
  <si>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</si>
  <si>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</si>
  <si>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Árkiegészítések, ártámogatások</t>
  </si>
  <si>
    <t>K509</t>
  </si>
  <si>
    <t>Kamattámogatások</t>
  </si>
  <si>
    <t>K510</t>
  </si>
  <si>
    <t>Működési célú támogatások EU-nak</t>
  </si>
  <si>
    <t>K511</t>
  </si>
  <si>
    <t>Egyéb működési célú támogatások államháztartáson kívülre</t>
  </si>
  <si>
    <t>K512</t>
  </si>
  <si>
    <t>Tartalékok-általános</t>
  </si>
  <si>
    <t>K513</t>
  </si>
  <si>
    <t>Tartalékok-cél</t>
  </si>
  <si>
    <t>Egyéb működési célú kiadások összesen</t>
  </si>
  <si>
    <t>K5</t>
  </si>
  <si>
    <t>Működési költségvetés előirányzat csoport összesen</t>
  </si>
  <si>
    <t>K1+..+K5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</si>
  <si>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</si>
  <si>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</si>
  <si>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</si>
  <si>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</si>
  <si>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</si>
  <si>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</si>
  <si>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</si>
  <si>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</si>
  <si>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</si>
  <si>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</si>
  <si>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</si>
  <si>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</si>
  <si>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</si>
  <si>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</si>
  <si>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összesen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</si>
  <si>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</si>
  <si>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</si>
  <si>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</si>
  <si>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</si>
  <si>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</si>
  <si>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</si>
  <si>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</si>
  <si>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</si>
  <si>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</si>
  <si>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összesen</t>
  </si>
  <si>
    <t>K7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</si>
  <si>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</si>
  <si>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</si>
  <si>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</si>
  <si>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</si>
  <si>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támogatások, kölcsönök törlesztése áht-n belülre</t>
  </si>
  <si>
    <t>K83</t>
  </si>
  <si>
    <t>Egyéb felhalmozási célú támogatások áht-n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</si>
  <si>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</si>
  <si>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</si>
  <si>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</si>
  <si>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</si>
  <si>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</si>
  <si>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</si>
  <si>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</si>
  <si>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 xml:space="preserve">Felhalmozási célú támogatások az EU-nak </t>
  </si>
  <si>
    <t>K88</t>
  </si>
  <si>
    <t xml:space="preserve">Egyéb felhalmozási célú támogatások államháztartáson kívülre </t>
  </si>
  <si>
    <t>K89</t>
  </si>
  <si>
    <t>Egyéb felhalmozási célú kiadások összesen</t>
  </si>
  <si>
    <t>K8</t>
  </si>
  <si>
    <t>Felhalmozási költségvetés előirányzat csoport összesen</t>
  </si>
  <si>
    <t>K6+..+K8</t>
  </si>
  <si>
    <t>Költségvetési kiadások összesen</t>
  </si>
  <si>
    <t>K1+..+K8</t>
  </si>
  <si>
    <t>Hosszú lejáratú hitelek, kölcsönök törlesztése FELHALMOZÁSRA</t>
  </si>
  <si>
    <t>K9111</t>
  </si>
  <si>
    <t>Likviditási célú hitelek, kölcsönök törlesztése pénzügyi vállalkozásnak</t>
  </si>
  <si>
    <t>K9112</t>
  </si>
  <si>
    <t>Rövid lejáratú hitelek, kölcsönök törlesztése MŰKÖDÉSRE</t>
  </si>
  <si>
    <t>K9113</t>
  </si>
  <si>
    <t>Hitel-, kölcsöntörlesztés államháztartáson kívülre összesen</t>
  </si>
  <si>
    <t>K911</t>
  </si>
  <si>
    <t>Belföldi értékpapírok kiadásai összesen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</si>
  <si>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</si>
  <si>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</si>
  <si>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</si>
  <si>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</si>
  <si>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</si>
  <si>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</si>
  <si>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</si>
  <si>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</si>
  <si>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</si>
  <si>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</si>
  <si>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</si>
  <si>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</si>
  <si>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</si>
  <si>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kölcsönök kiadásai</t>
  </si>
  <si>
    <t>K919</t>
  </si>
  <si>
    <t>Belföldi finanszírozás kiadásai összesen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</si>
  <si>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</si>
  <si>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</si>
  <si>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</si>
  <si>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</si>
  <si>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</si>
  <si>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</si>
  <si>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</si>
  <si>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>Finanszírozási kiadások összesen</t>
  </si>
  <si>
    <t>K9</t>
  </si>
  <si>
    <t xml:space="preserve">KIADÁSOK ÖSSZESEN </t>
  </si>
  <si>
    <t>K1+..+K9</t>
  </si>
  <si>
    <t>Módosított előirányzat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</si>
  <si>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</si>
  <si>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</si>
  <si>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</si>
  <si>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</si>
  <si>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</si>
  <si>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</si>
  <si>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</si>
  <si>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</si>
  <si>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</si>
  <si>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költségvetési támogatások és kiegészítések</t>
  </si>
  <si>
    <t>B115</t>
  </si>
  <si>
    <t>Elszámolásból származó bevételek</t>
  </si>
  <si>
    <t>B116</t>
  </si>
  <si>
    <t>Önkormányzatok működési támogatásai összesen</t>
  </si>
  <si>
    <t>B11</t>
  </si>
  <si>
    <t>Elvonások és befizetések bevételei</t>
  </si>
  <si>
    <t>B12</t>
  </si>
  <si>
    <t>Működési célú garancia- és kezességvállalásból származó megtérül. áht-n belülről</t>
  </si>
  <si>
    <t>B13</t>
  </si>
  <si>
    <t>Működési célú visszatérítendő támogatások, kölcsönök visszatérülése áht-n belülről</t>
  </si>
  <si>
    <t>B14</t>
  </si>
  <si>
    <t>Működési célú visszatérítendő támogatások, kölcsönök igénybevétele áht-n belülről</t>
  </si>
  <si>
    <t>B15</t>
  </si>
  <si>
    <t>Egyéb működési célú támogatások bevételei államháztartáson belülről</t>
  </si>
  <si>
    <t>B16</t>
  </si>
  <si>
    <t>Működési célú támogatások államháztartáson belülről összesen</t>
  </si>
  <si>
    <t>B1</t>
  </si>
  <si>
    <t xml:space="preserve">Felhalmozási célú támogatások államháztartáson belülről </t>
  </si>
  <si>
    <t>B2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</si>
  <si>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</si>
  <si>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</si>
  <si>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</si>
  <si>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</si>
  <si>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</si>
  <si>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</si>
  <si>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</si>
  <si>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</si>
  <si>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</si>
  <si>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</si>
  <si>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</si>
  <si>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</si>
  <si>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>Közhatalmi bevételek összesen</t>
  </si>
  <si>
    <t>B3</t>
  </si>
  <si>
    <t>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</si>
  <si>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</si>
  <si>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</si>
  <si>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</si>
  <si>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</si>
  <si>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</si>
  <si>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</si>
  <si>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</si>
  <si>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</si>
  <si>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</si>
  <si>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</si>
  <si>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</si>
  <si>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</si>
  <si>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</si>
  <si>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</si>
  <si>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</si>
  <si>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</si>
  <si>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</si>
  <si>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</si>
  <si>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</si>
  <si>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</si>
  <si>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</si>
  <si>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>Működési bevételek összesen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</si>
  <si>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</si>
  <si>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</si>
  <si>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</si>
  <si>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</si>
  <si>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</si>
  <si>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</si>
  <si>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</si>
  <si>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</si>
  <si>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</si>
  <si>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</si>
  <si>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</si>
  <si>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</si>
  <si>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B5</t>
  </si>
  <si>
    <t xml:space="preserve">Működési célú átvett pénzeszközök </t>
  </si>
  <si>
    <t>B6</t>
  </si>
  <si>
    <t>Felhalm.célú garancia- és kezességvállalásból származó megtérülések áht-n kívülről</t>
  </si>
  <si>
    <t>B71</t>
  </si>
  <si>
    <t>Felhalm.célú visszatérítendő támogatások, kölcsönök visszatérülése EU-tól</t>
  </si>
  <si>
    <t>B72</t>
  </si>
  <si>
    <t>Felhalm.célú garancia- és kezességvállalásból származó megtérülések kormánytól és más nemzetközi szervezettől</t>
  </si>
  <si>
    <t>B73</t>
  </si>
  <si>
    <t>Felhalm.célú visszatérítendő támogatások, kölcsönök visszatérülése áht-n kívülről</t>
  </si>
  <si>
    <t>B74</t>
  </si>
  <si>
    <t>Egyéb felhalmozási célú átvett pénzeszközök</t>
  </si>
  <si>
    <t>B75</t>
  </si>
  <si>
    <t>Felhalmozási célú átvett pénzeszközök összesen</t>
  </si>
  <si>
    <t>B7</t>
  </si>
  <si>
    <t>Költségvetési bevételek összesen</t>
  </si>
  <si>
    <t>B1+..+B7</t>
  </si>
  <si>
    <t xml:space="preserve">  MŰKÖDÉSI költségvetési egyenleg (B1+B3+B4+B6) - (K1+K2+K3+K4+K5)</t>
  </si>
  <si>
    <t xml:space="preserve">  FELHALMOZÁSI költségvetési egyenleg (B2+B5+B7) - (K6+K7+K8)</t>
  </si>
  <si>
    <t>Hosszú lejáratú hitelek, kölcsönök felvétele FELHALMOZÁSRA</t>
  </si>
  <si>
    <t>B8111</t>
  </si>
  <si>
    <t>Likviditási célú hitelek, kölcsönök felvétele pénzügyi váll.-tól FELHALMO</t>
  </si>
  <si>
    <t>B8112</t>
  </si>
  <si>
    <t>Rövid lejáratú hitelek, kölcsönök felvétele  MŰKÖDÉSRE</t>
  </si>
  <si>
    <t>B8113</t>
  </si>
  <si>
    <t>Hitel-, kölcsönfelvétel pénzügyi vállalkozástól összesen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</si>
  <si>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</si>
  <si>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</si>
  <si>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</si>
  <si>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</si>
  <si>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</si>
  <si>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</si>
  <si>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</si>
  <si>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</si>
  <si>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</si>
  <si>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>Belföldi értékpapírok bevételei összesen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</si>
  <si>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</si>
  <si>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</si>
  <si>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</si>
  <si>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</si>
  <si>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</si>
  <si>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</si>
  <si>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</si>
  <si>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</si>
  <si>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</si>
  <si>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</si>
  <si>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</si>
  <si>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</si>
  <si>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</si>
  <si>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</si>
  <si>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</si>
  <si>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</si>
  <si>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</si>
  <si>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</si>
  <si>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</si>
  <si>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</si>
  <si>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</si>
  <si>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Belföldi finanszírozás bevételei összesen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</si>
  <si>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</si>
  <si>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</si>
  <si>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</si>
  <si>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</si>
  <si>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</si>
  <si>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</si>
  <si>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</si>
  <si>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összesen</t>
  </si>
  <si>
    <t>B8</t>
  </si>
  <si>
    <t xml:space="preserve">BEVÉTELEK ÖSSZESEN </t>
  </si>
  <si>
    <t>B1+..+B8</t>
  </si>
  <si>
    <t>Költségvetési hiány / többlet  (B1+..B7) - (K1+..+K8)</t>
  </si>
  <si>
    <t>Finanszírozási hiány / többlet  B8 - K9</t>
  </si>
  <si>
    <t>Működési hiány / többlet  (B1+B3+B4+B6+B8134+B8113) - (K1+K2+K3+K4+K5+K9113)</t>
  </si>
  <si>
    <t>Felhalmozási hiány / többlet (B2+B5+B7+B8111) - (K6+K7+K8+K9111)</t>
  </si>
  <si>
    <t>Bevétel - Kiadás</t>
  </si>
  <si>
    <t xml:space="preserve">3 .melléklet </t>
  </si>
  <si>
    <t>Helyi adó, egyéb közhatalmi bevételek és a működési támogatások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</si>
  <si>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</si>
  <si>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</si>
  <si>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</si>
  <si>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</si>
  <si>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Vagyoni tipusú adók összesen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</si>
  <si>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</si>
  <si>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</si>
  <si>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</si>
  <si>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</si>
  <si>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</si>
  <si>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</si>
  <si>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</si>
  <si>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</si>
  <si>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</si>
  <si>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</si>
  <si>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</si>
  <si>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</si>
  <si>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</si>
  <si>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</si>
  <si>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>Termékek és szolgáltatások adói  összesen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</si>
  <si>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</si>
  <si>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</si>
  <si>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</si>
  <si>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</si>
  <si>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</si>
  <si>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</si>
  <si>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</si>
  <si>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</si>
  <si>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</si>
  <si>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egyéb bírság</t>
  </si>
  <si>
    <t>Egyéb közhatalmi bevételek összesen</t>
  </si>
  <si>
    <t>Eredeti ei.</t>
  </si>
  <si>
    <t>Önkormányzati hivatal működési támogatása</t>
  </si>
  <si>
    <t>Települési üzemeltetéshez kapcsolódó 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</si>
  <si>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</si>
  <si>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</si>
  <si>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</si>
  <si>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</si>
  <si>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Határátkelőhelyek fenntartásának támogatása</t>
  </si>
  <si>
    <t>Hozzájárulás a pénzbeli szociális ellátásokhoz (visszaigénylés)</t>
  </si>
  <si>
    <t>Helyi önkormányzatok működésének általános támogatása összesen</t>
  </si>
  <si>
    <t>Óvodapedagógusok bértámogatása</t>
  </si>
  <si>
    <t>Óvodapedagógusok munkáját közvetlenül segítől bértámogatása</t>
  </si>
  <si>
    <t>Óvoda működtetési támogatás</t>
  </si>
  <si>
    <t>Óvodapedagógusok kiegészítő támogatása</t>
  </si>
  <si>
    <t>Szociális feladatok egyéb támogatása</t>
  </si>
  <si>
    <t>Települési önkormányzatok egyes köznevelési feladatainak támogatása összesen</t>
  </si>
  <si>
    <t>Családsegítés</t>
  </si>
  <si>
    <t>Gyermekjóléti szolgálat</t>
  </si>
  <si>
    <t>Szociális étkeztetés</t>
  </si>
  <si>
    <t>Házi segítségnyújtás</t>
  </si>
  <si>
    <t>Időskorúak nappali intézményi ellátása</t>
  </si>
  <si>
    <t>Bölcsődei ellátás</t>
  </si>
  <si>
    <t>Szakmai dolgozók bértámogatás</t>
  </si>
  <si>
    <t>Intézmény üzemeltetési támogatása</t>
  </si>
  <si>
    <t>Gyermekétkeztetésben dolgozók bértámogatása</t>
  </si>
  <si>
    <t>Gyermekétkeztetés üzemeltetési támogatása</t>
  </si>
  <si>
    <t>Települési önkormányzatok szociális és gyermekjóléti  feladatainak támogatása összesen</t>
  </si>
  <si>
    <t>Könyvtár, közművelődés támogatás</t>
  </si>
  <si>
    <t>Települési önkormányzatok kulturális feladatainak támogatása összesen</t>
  </si>
  <si>
    <t>Üdülőhelyi feladatok támogatása</t>
  </si>
  <si>
    <t>Települési önkormányzatok köznevelési támogatása</t>
  </si>
  <si>
    <t>Bejárók támogatása</t>
  </si>
  <si>
    <t>Lakott külterületi feladatok támogatása</t>
  </si>
  <si>
    <t>Lakossági víz és csatornaszolgáltatás támogatása</t>
  </si>
  <si>
    <t>Ágazati pótlék</t>
  </si>
  <si>
    <t>Bérkompenzáció</t>
  </si>
  <si>
    <t>Önkormányzatok működőképessége megőrzését szolgáló támogatás</t>
  </si>
  <si>
    <t>Működési célú költségvetési támogatások és kiegészítések összesen</t>
  </si>
  <si>
    <t>Elszámolásból származó bevételek összesen</t>
  </si>
  <si>
    <t xml:space="preserve">4 .melléklet </t>
  </si>
  <si>
    <t>Támogatások, kölcsönök bevételei és a felhalmozási bevételek (E Ft)</t>
  </si>
  <si>
    <t>Kötelező feladat</t>
  </si>
  <si>
    <t>Önkéntvállalt feladat</t>
  </si>
  <si>
    <t>Működési célú visszatérítendő támogatások, kölcsönök visszatérülése államháztartáson belülről összesen</t>
  </si>
  <si>
    <t>Működési célú visszatérítendő támogatások, kölcsönök igénybevétele államháztartáson belülről összesen</t>
  </si>
  <si>
    <t>ÁROP-1.A.5-2013-2013-0079 Szervezetfejlesztés Barcson</t>
  </si>
  <si>
    <t>B16131</t>
  </si>
  <si>
    <t>Fejezeti kezelésű előirányzatok EU-s programok és azok hazai társfinanszírozása összesen</t>
  </si>
  <si>
    <t>Önkormányzatok térítése Jelzőrendszeres házi segítségnyújtáshoz</t>
  </si>
  <si>
    <t>B1616</t>
  </si>
  <si>
    <t>Települési hozzájárulás szociális alapszolgáltatáshoz</t>
  </si>
  <si>
    <t>Jelzőrendszeres házi segítségnyújtás támogatás pályázat</t>
  </si>
  <si>
    <t>Pszichiátriai betegek ellátásának támogatása</t>
  </si>
  <si>
    <t>Helyi önkormányzatok és költségvetési szerveiktől összesen</t>
  </si>
  <si>
    <t>Egyéb működési célú támogatások bevételei államháztartáson belülről összesen</t>
  </si>
  <si>
    <t>Muzeális intézmények szakmai támogatása</t>
  </si>
  <si>
    <t>B21</t>
  </si>
  <si>
    <t>Közművelődési érdekeltségnövelő támogatás</t>
  </si>
  <si>
    <t>Vis maior támogatás</t>
  </si>
  <si>
    <t>Ravatalozó kialakítása a Béke utcai temetőbe Önerőalap támogatás</t>
  </si>
  <si>
    <t>Barcs Város közvilágításának korszerűsítése Önerőalap támogatás</t>
  </si>
  <si>
    <t>Háziorvosi szolgálat és fogászati szakellátás minőségi javítása Önerőalap támogatás</t>
  </si>
  <si>
    <t>Bajcsy-Zs u. 72 (Volt SZTK) épületének átalakítása és közterület rendezése Önerőalap támogatás</t>
  </si>
  <si>
    <t>Horvát-Magyar CBC program, Turisztikai célú kerékpárút fejlesztés Önerőalap támogatás</t>
  </si>
  <si>
    <t>Ivóvíz minőség javítási program Önerőalap támogatás</t>
  </si>
  <si>
    <t>Felhalmozási célú önkormányzati támogatások összesen</t>
  </si>
  <si>
    <t>Felhalmozási célú visszatérítendő támogatások, kölcsönök visszatérülése államháztartáson belülről összesen</t>
  </si>
  <si>
    <t>B23</t>
  </si>
  <si>
    <t>Felhalmozási célú visszatérítendő támogatások, kölcsönök igénybevétele államháztartáson belülről összesen</t>
  </si>
  <si>
    <t>B24</t>
  </si>
  <si>
    <t>Barcs Város területén belterületi utak és járdák felújítása</t>
  </si>
  <si>
    <t>B251</t>
  </si>
  <si>
    <t>VII. tagóvoda (Szent István u.) felújítása</t>
  </si>
  <si>
    <t>Városi PIAC épületének korszerűsítése</t>
  </si>
  <si>
    <t>Első Világháborús Emlékmű felújítása</t>
  </si>
  <si>
    <t>Központi költségvetési szervek összesen</t>
  </si>
  <si>
    <t>Barcsi Szociális Központ fejlesztése</t>
  </si>
  <si>
    <t>B252</t>
  </si>
  <si>
    <t>Barcs Város közvilágításának korszerűsítése</t>
  </si>
  <si>
    <t>Horvát-Magyar CBC program, Turisztikai célú kerékpárút fejlesztés</t>
  </si>
  <si>
    <t>Ravatalozó kialakítása a Béke utcai temetőbe</t>
  </si>
  <si>
    <t>Barcsi Polgármesteri Hivatal épületeinek épületenergetikai fejlesztése</t>
  </si>
  <si>
    <t>Barcsi Gyógyfürdő és Rekreációs Központ napelem rendszer kialakítása</t>
  </si>
  <si>
    <t>Bajcsy-Zs u. 72 (Volt SZTK) épületének átalakítása és közterület rendezése</t>
  </si>
  <si>
    <t>Háziorvosi szolgálat és fogászati szakellátás minőségi javítása</t>
  </si>
  <si>
    <t>Móricz Zsigmond Művelődési Központ moziterem felújítása, külső térrendezés</t>
  </si>
  <si>
    <t>Egyéb felhalmozási célú támogatások bevételei államháztartáson belülről összesen</t>
  </si>
  <si>
    <t>B25</t>
  </si>
  <si>
    <t>Felhalmozási célú támogatások államháztartáson belülről összesen</t>
  </si>
  <si>
    <t>Működési célú visszatérítendő támogatások, kölcsönök visszatérülése EU-tól összesen</t>
  </si>
  <si>
    <t>B62</t>
  </si>
  <si>
    <t>Működési célú visszatérítendő támogatások, kölcsönök visszatérülése kormánytól és más nemzetközi szervezettől összen</t>
  </si>
  <si>
    <t>B63</t>
  </si>
  <si>
    <t>Felhalmozási célú visszatérítendő támogatások, kölcsönök visszatérülése EU-tól összesen</t>
  </si>
  <si>
    <t>Felhalmozási célú visszatérítendő támogatások, kölcsönök visszatérülése kormánytól és más nemzetközi szervezettől összen</t>
  </si>
  <si>
    <t xml:space="preserve"> </t>
  </si>
  <si>
    <t>Előző év költségvetési maradványának igénybevétele FELHALMOZÁSRA  összesen</t>
  </si>
  <si>
    <t>Immateriális javak értékesítése összesen</t>
  </si>
  <si>
    <t>Önkormányzati ingatlanok értékesítése</t>
  </si>
  <si>
    <t>Építési telkek értékesítése</t>
  </si>
  <si>
    <t>Otthonházi lakásokértékesítése</t>
  </si>
  <si>
    <t>Önkormányzati bérlakások értékesítése</t>
  </si>
  <si>
    <t>Ingatlanok értékesítése összesen</t>
  </si>
  <si>
    <t>Gépjármű értékesítés</t>
  </si>
  <si>
    <t>Egyéb tárgyi eszközök értékesítése összesen</t>
  </si>
  <si>
    <t>Részesedések értékesítése összesen</t>
  </si>
  <si>
    <t>Részesedések megszűnéséhez kapcsolódó bevételek összesen</t>
  </si>
  <si>
    <t>Felhalmozási bevételek mindösszesen</t>
  </si>
  <si>
    <t xml:space="preserve">5 .melléklet </t>
  </si>
  <si>
    <t>Beruházások és felújítások (E Ft)</t>
  </si>
  <si>
    <t>Számítógéphez (Ph.) WIN 8.1 szoftver beszerzése</t>
  </si>
  <si>
    <t>Laptopokhoz WIN 8.1 szoftver beszerzése képviselőknek</t>
  </si>
  <si>
    <t>Immateriális javak beszerzése, létesítése összesen</t>
  </si>
  <si>
    <t>Bajcsy-Zs. 30. épület vásárlás (Szoc.központ mellett)</t>
  </si>
  <si>
    <t>Ingatlanok beszerzése, létesítése  összesen</t>
  </si>
  <si>
    <t>Számítógép beszerzés (Ph.)</t>
  </si>
  <si>
    <t>Monitor beszerzés (Ph.)</t>
  </si>
  <si>
    <t>Laptopok beszerzése képviselőknek</t>
  </si>
  <si>
    <t>Informatikai eszközök beszerzése, létesítése összesen</t>
  </si>
  <si>
    <t>Szavazó rendszer (Tanácskozóterem)</t>
  </si>
  <si>
    <t>Egyéb tárgyi eszközök beszerzése, létesítése összesen</t>
  </si>
  <si>
    <t>Részesedések beszerzése összesen</t>
  </si>
  <si>
    <t>Meglévő részesedések növeléséhez kapcsolódó kiadások összesen</t>
  </si>
  <si>
    <t>Számítógéphez (Ph.) WIN 8.1 szoftver beszerzése ÁFA</t>
  </si>
  <si>
    <t>Számítógép beszerzés (Ph.) ÁFA</t>
  </si>
  <si>
    <t>Monitor beszerzés (Ph.) ÁFA</t>
  </si>
  <si>
    <t>Bajcsy-Zs. 30. épület vásárvás (Szoc.központ mellett) ÁFA</t>
  </si>
  <si>
    <t>Barcsi Gyógyfürdő és Rekreációs Központ napelem rendszer kialakítása ÁFA</t>
  </si>
  <si>
    <t>Laptopokhoz WIN 8.1 szoftver beszerzése képviselőknek ÁFA</t>
  </si>
  <si>
    <t>Laptopok beszerzése képviselőknek ÁFA</t>
  </si>
  <si>
    <t>Szavazó rendszer (Tanácskozóterem) ÁFA</t>
  </si>
  <si>
    <t>Beruházási célú előzetesen felszámított általános forgalmi adó összesen</t>
  </si>
  <si>
    <t>Beruházások mindösszesen</t>
  </si>
  <si>
    <t>Kemping kialakítása a Szabadstrandon</t>
  </si>
  <si>
    <t>Városi PIAC tetőszerkezetének felújítása</t>
  </si>
  <si>
    <t>Ingatlanok felújítása összesen</t>
  </si>
  <si>
    <t>Informatikai eszközök felújítása összesen</t>
  </si>
  <si>
    <t>Egyéb tárgyi eszközök felújítása összesen</t>
  </si>
  <si>
    <t>Barcs Város területén belterületi utak és járdák felújítása ÁFA</t>
  </si>
  <si>
    <t>VII. tagóvoda (Szent István u.) felújítása ÁFA</t>
  </si>
  <si>
    <t>Barcsi Szociális Központ fejlesztése ÁFA</t>
  </si>
  <si>
    <t>Bajcsy-Zs u. 72 (Volt SZTK) épületének átalakítása és közterület rendezése  ÁFA</t>
  </si>
  <si>
    <t>Barcsi Polgármesteri Hivatal épületeinek épületenergetikai fejlesztése ÁFA</t>
  </si>
  <si>
    <t>Ravatalozó kialakítása a Béke utcai temetőbeÁFA</t>
  </si>
  <si>
    <t>Horvát-Magyar CBC program, Turisztikai célú kerékpárút fejlesztés ÁFA</t>
  </si>
  <si>
    <t>Kemping kialakítása a SzabadstrandonÁFA</t>
  </si>
  <si>
    <t>Móricz Zsigmond Művelődési Központ moziterem felújítása, külső térrendezés ÁFA</t>
  </si>
  <si>
    <t>Városi PIAC tetőszerkezetének felújítása ÁFA</t>
  </si>
  <si>
    <t>Barcs Város közvilágításának korszerűsítése ÁFA</t>
  </si>
  <si>
    <t>Felújítási célú előzetesen felszámított  ÁFA összesen</t>
  </si>
  <si>
    <t>Felújítások mindösszesen</t>
  </si>
  <si>
    <t>Felhalmozási kiadások mindösszesen:</t>
  </si>
  <si>
    <t>K6+K7</t>
  </si>
  <si>
    <t>6 .melléklet</t>
  </si>
  <si>
    <t>Általános- és céltartalékok (E Ft)</t>
  </si>
  <si>
    <t>Megnevezés</t>
  </si>
  <si>
    <t>Összesen</t>
  </si>
  <si>
    <t>Önkormányzat általános gazdálkodási tartaléka működési célra</t>
  </si>
  <si>
    <t>Önkormányzat általános gazdálkodási tartaléka felhalmozási célra</t>
  </si>
  <si>
    <t>Általános tartalékok mindösszesen</t>
  </si>
  <si>
    <t>Oktatási, Művelődési, Sport Bizottság</t>
  </si>
  <si>
    <t>Jogi, Egészségügyi, Szociálpolitikai Bizottság</t>
  </si>
  <si>
    <t xml:space="preserve">Pénzügyi, Városfejlesztési Bizottság </t>
  </si>
  <si>
    <t>Polgármester saját hatáskör</t>
  </si>
  <si>
    <t xml:space="preserve"> Céltartalék működési célra összesen</t>
  </si>
  <si>
    <t xml:space="preserve"> Céltartalék felhalmozási célra összesen</t>
  </si>
  <si>
    <t>Céltartalékok mindösszesen</t>
  </si>
  <si>
    <t>Tartalékok mindösszesen:</t>
  </si>
  <si>
    <t xml:space="preserve">7 .melléklet </t>
  </si>
  <si>
    <t>Önkormányzat 2015. évi költségvetése</t>
  </si>
  <si>
    <t>Kiadások - Bevételek (E Ft)</t>
  </si>
  <si>
    <t>Kötelező</t>
  </si>
  <si>
    <t>Önként vállalt</t>
  </si>
  <si>
    <t>Eredeti e.i</t>
  </si>
  <si>
    <t>Kötelező feladatok összesen</t>
  </si>
  <si>
    <t>Önként vállalt feladatok összesen</t>
  </si>
  <si>
    <t xml:space="preserve"> Mind-összesen</t>
  </si>
  <si>
    <t>011130 Önkormányzatok és önkormányzati hivatalok jogalkotó és általános igazgatási tevékenysége</t>
  </si>
  <si>
    <t>013350                           Az önkormányzati vagyonnal való gazdálkodással kapcsolatos feladatok</t>
  </si>
  <si>
    <t>013320                   Köztemető-fenntartás és -működtetés</t>
  </si>
  <si>
    <t>041120                       Földügy igazgatása</t>
  </si>
  <si>
    <t>045160                   Közutak, hidak, alagutak üzemeltetése, fenntartása</t>
  </si>
  <si>
    <t>047410                           Ár- és belvízvédelemmel összefüggő tevékenységek</t>
  </si>
  <si>
    <t>051030                             Nem veszélyes (települési) hulladék vegyes (ömlesztett) begyűjtése, szállítása, átrakása</t>
  </si>
  <si>
    <t>063020                   Víztermelés, -kezelés, -ellátás</t>
  </si>
  <si>
    <t>066020                          Város-, községgazdálkodási egyéb szolgáltatások</t>
  </si>
  <si>
    <t>064010         Közvilágítás</t>
  </si>
  <si>
    <t>081030 Sportlétesítmények, edzőtáborok működtetése és fejlesztése</t>
  </si>
  <si>
    <t>081043                         Iskolai, diáksport-tevékenység és támogatása</t>
  </si>
  <si>
    <t>081045         Szabadidősport- (rekreációs sport-) tevékenység és támogatása</t>
  </si>
  <si>
    <t>094260                  Hallgatói és oktatói ösztöndíjak, egyéb juttatások</t>
  </si>
  <si>
    <t>046020                    Vezetékes műsorelosztás, városi és kábeltelevíziós rendszerek</t>
  </si>
  <si>
    <t>045140                         Városi és elővárosi közúti személyszállítás</t>
  </si>
  <si>
    <t>011130                    IPA 3 TOUR-Pack pályázat (Horvát-Magyar)</t>
  </si>
  <si>
    <t>081041               Versenysport- és utánpótlás-nevelési tevékenység és támogatása</t>
  </si>
  <si>
    <t>082091                  Közművelődés – közösségi és társadalmi részvétel fejlesztése</t>
  </si>
  <si>
    <t>084020                  Nemzetiségi közfeladatok ellátása és támogatása</t>
  </si>
  <si>
    <t>084031                               Civil szervezetek működési támogatása</t>
  </si>
  <si>
    <t>084040                        Egyházak közösségi és hitéleti tevékenységének támogatása</t>
  </si>
  <si>
    <t>Műk. célú garancia- és kezességváll.-ból származó kif. áht-n belülre</t>
  </si>
  <si>
    <t>Műk. célú visszatérítendő tám., kölcsönök nyújtása áht-n belülre</t>
  </si>
  <si>
    <t>Működési célú visszatérítendő tám., kölcsönök törl. áht-n belülre</t>
  </si>
  <si>
    <t>Műk.célú garancia- és kezességváll.-ból származó kif. áht-n kívülre</t>
  </si>
  <si>
    <t>Működési célú visszatérítendő tám., kölcs. nyújtása áht-n kívülre</t>
  </si>
  <si>
    <t>Felhalm. célú garancia- és kezességváll. származó kifiz. áht-n belülre</t>
  </si>
  <si>
    <t>Felhalm. célú visszatérítendő tám., kölcsönök nyújtása áht-n belülre</t>
  </si>
  <si>
    <t>Felhalm. célú visszatérítendő tám., kölcsönök törlesztése áht-n belülre</t>
  </si>
  <si>
    <t>Felhalm. célú garancia- és kezességváll. származó kif. és áht-n kívülre</t>
  </si>
  <si>
    <t>Felhalmozási célú visszatérítendő tám., kölcs. nyújtása áht-n kívülre</t>
  </si>
  <si>
    <t xml:space="preserve">Belföldi finanszírozás kiadásai </t>
  </si>
  <si>
    <t xml:space="preserve">Önkormányzatok működési támogatásai </t>
  </si>
  <si>
    <t>Áru- és készletértékesítés ellenértéke</t>
  </si>
  <si>
    <t xml:space="preserve">Hitel-, kölcsönfelvétel államháztartáson kívülről </t>
  </si>
  <si>
    <t xml:space="preserve">Belföldi értékpapírok bevételei </t>
  </si>
  <si>
    <t>Előző év költségvetési maradványának igénybevétele FELHALM.</t>
  </si>
  <si>
    <t>Előző év vállalkozási maradványának igénybevétele FELHALM.</t>
  </si>
  <si>
    <t>ebből Állami támogatás</t>
  </si>
  <si>
    <t>Önkormányzati hozzájárulás</t>
  </si>
  <si>
    <t xml:space="preserve">8. melléklet </t>
  </si>
  <si>
    <t xml:space="preserve"> 2015. évi költségvetése</t>
  </si>
  <si>
    <t>Működési célú támogatás EU-nak</t>
  </si>
  <si>
    <t>Felhalmozási célú támogatás EU-nak</t>
  </si>
  <si>
    <t>Cofog:</t>
  </si>
  <si>
    <t>018030</t>
  </si>
  <si>
    <t>0591512 1</t>
  </si>
  <si>
    <t>ebből Állami támogatás és egyéb támogatás</t>
  </si>
  <si>
    <t>9. melléklet</t>
  </si>
  <si>
    <t xml:space="preserve"> Városgazdálkodási Igazgatóság</t>
  </si>
  <si>
    <t>0591512 2</t>
  </si>
  <si>
    <t>10. melléklet</t>
  </si>
  <si>
    <t>0591512 8</t>
  </si>
  <si>
    <t>11. melléklet</t>
  </si>
  <si>
    <t>0591512 3</t>
  </si>
  <si>
    <t>12. melléklet</t>
  </si>
  <si>
    <t>0591512 4</t>
  </si>
  <si>
    <t>13. melléklet</t>
  </si>
  <si>
    <t>0591512 5</t>
  </si>
  <si>
    <t>14. melléklet</t>
  </si>
  <si>
    <t>0591512 6</t>
  </si>
  <si>
    <t>15. melléklet</t>
  </si>
  <si>
    <t>Foglalkoztatottak létszáma</t>
  </si>
  <si>
    <t xml:space="preserve">Költségvetési engedélyezett létszámkeret (álláshely) (fő) </t>
  </si>
  <si>
    <t>Sor- szám</t>
  </si>
  <si>
    <t>MEGNEVEZÉS</t>
  </si>
  <si>
    <t>Barcs Város Önkormányzata</t>
  </si>
  <si>
    <t>Barcs Város Önkormányzata Járóbetegellátó Intézmények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</si>
  <si>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</si>
  <si>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</si>
  <si>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</si>
  <si>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</si>
  <si>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</si>
  <si>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 (1+..+4)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</si>
  <si>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</si>
  <si>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</si>
  <si>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</si>
  <si>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Pedagógus I.</t>
  </si>
  <si>
    <t>Pedagógus II.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</si>
  <si>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</si>
  <si>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</si>
  <si>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</si>
  <si>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</si>
  <si>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KÖZALKALMAZOTTAK ÖSSZESEN (6+..+12)</t>
  </si>
  <si>
    <t>fizikai alkalmazott,
a költségvetési szerveknél foglalkoztatott egyéb munkavállaló  (fizikai alkalmazott)</t>
  </si>
  <si>
    <t>ösztöndíjas foglalkoztatott</t>
  </si>
  <si>
    <t>közfoglalkoztatott</t>
  </si>
  <si>
    <t>EGYÉB BÉRRENDSZER ÖSSZESEN (14+..+16)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</si>
  <si>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</si>
  <si>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</si>
  <si>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</si>
  <si>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VÁLASZTOTT TISZTSÉGVISELŐK ÖSSZESEN (18+..+20)</t>
  </si>
  <si>
    <t>KÖLTSÉGVETÉSI ENGEDÉLYEZETT LÉTSZÁMKERETBE TARTOZÓ FOGLALKOZTATOTTAK LÉTSZÁMA MINDÖSSZESEN (5+13+17+21)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</si>
  <si>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</si>
  <si>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</si>
  <si>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</si>
  <si>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</si>
  <si>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(23+..+26)</t>
  </si>
  <si>
    <t>16. melléklet</t>
  </si>
  <si>
    <t>Lakosságnak juttatott támogatások, szociális, rászorultsági jellegű ellátások (E Ft)</t>
  </si>
  <si>
    <t>Rendszeres szociális segély [Szoctv. 37. § (1) bek. a) - d) pontok] (Március 1-ig)</t>
  </si>
  <si>
    <t>Foglalkoztatást helyettesítő támogatás [Szoctv. 35. § (1) bek.] (Március 1-ig)</t>
  </si>
  <si>
    <t xml:space="preserve">Rendszeres gyermekvédelmi kedvezményben részesülők támogatása [Gyvt. 20/A.§] </t>
  </si>
  <si>
    <t>Óvodáztatási támogatás [Gyvt. 20/C. §]</t>
  </si>
  <si>
    <t xml:space="preserve">Lakásfenntartási támogatás (Normatív) [Szoctv. 38. § (2)-(3) bek.134/C §] </t>
  </si>
  <si>
    <t>Lakbértámogatás 24/2003.(XI.28) önk. Rendelet 3.§</t>
  </si>
  <si>
    <t xml:space="preserve">Ápolási díj méltányos  [Szoctv. 43/B. §]  </t>
  </si>
  <si>
    <t>Települési támogatás 2015. március 1-től</t>
  </si>
  <si>
    <t xml:space="preserve">Lakásfenntartási támogatás [Szoctv. 45. § ] </t>
  </si>
  <si>
    <t>Gyógyszerkiadás támogatás</t>
  </si>
  <si>
    <t>Rendkívüli települési támogatás</t>
  </si>
  <si>
    <t>Átmeneti segély [Szoctv. 45.§]</t>
  </si>
  <si>
    <t>Temetési segély [Szoctv. 46.§]</t>
  </si>
  <si>
    <t xml:space="preserve">Rendkívüli gyermekvédelmi támogatás [Gyvt. 21.§] </t>
  </si>
  <si>
    <t>Települési támogatás összesen:</t>
  </si>
  <si>
    <t>Köztemetés [Szoctv. 48.§]</t>
  </si>
  <si>
    <t xml:space="preserve">Közgyógyellátás [Szoctv.53.§ (1) bek.] </t>
  </si>
  <si>
    <t>Ellátottak pénzbeli juttatásai mindösszesen</t>
  </si>
  <si>
    <t>Dologi</t>
  </si>
  <si>
    <t>Segély finanszírozás dologival együtt</t>
  </si>
  <si>
    <t>17. melléklet</t>
  </si>
  <si>
    <t>A költségvetési hiány külső finanszírozására vagy a költségvetési többlet felhasználására szolgáló finanszírozási bevételek és kiadások  (E Ft)</t>
  </si>
  <si>
    <t>900060</t>
  </si>
  <si>
    <t xml:space="preserve"> Kiadások megnevezés</t>
  </si>
  <si>
    <t>05911111 1</t>
  </si>
  <si>
    <t>05911111 2</t>
  </si>
  <si>
    <t>05911111 3</t>
  </si>
  <si>
    <t>Hosszú lejáratú hitelek, kölcsönök törlesztése  összesen</t>
  </si>
  <si>
    <t>ebből: pénzügyi vállalkozás</t>
  </si>
  <si>
    <t>ebből: fedezeti ügyletek nettó kiadásai</t>
  </si>
  <si>
    <t>05911312</t>
  </si>
  <si>
    <t>2015.évi folyószámlahitel</t>
  </si>
  <si>
    <t>Rövid lejáratú hitelek, kölcsönök törlesztése  összesen</t>
  </si>
  <si>
    <t xml:space="preserve">Forgatási célú belföldi értékpapírok vásárlása </t>
  </si>
  <si>
    <t>K9121</t>
  </si>
  <si>
    <t>ebből: befektetési jegyek</t>
  </si>
  <si>
    <t>ebből: kárpótlási jegyek</t>
  </si>
  <si>
    <t>Forgatási célú belföldi értékpapírok beváltása</t>
  </si>
  <si>
    <t>K9122</t>
  </si>
  <si>
    <t>Befektetési célú belföldi értékpapírok vásárlása</t>
  </si>
  <si>
    <t>K9123</t>
  </si>
  <si>
    <t>K9124</t>
  </si>
  <si>
    <t>Befektetési célú belföldi értékpapírok beváltása FELHALMOZÁSRA összesen</t>
  </si>
  <si>
    <t>Pénzeszközök betétként elhelyezése</t>
  </si>
  <si>
    <t>Forgatási célú külföldi értékpapírok vásárlása</t>
  </si>
  <si>
    <t>K921</t>
  </si>
  <si>
    <t>Befektetési célú külföldi értékpapírok vásárlása</t>
  </si>
  <si>
    <t>K922</t>
  </si>
  <si>
    <t xml:space="preserve">Külföldi értékpapírok beváltása </t>
  </si>
  <si>
    <t>K923</t>
  </si>
  <si>
    <t>Külföldi hitelek, kölcsönök törlesztése</t>
  </si>
  <si>
    <t>K924</t>
  </si>
  <si>
    <t>ebből: nemzetközi fejlesztési szervezetek</t>
  </si>
  <si>
    <t>ebből: más kormányok</t>
  </si>
  <si>
    <t>ebből: külföldi pénzintézetek</t>
  </si>
  <si>
    <t>Külföldi finanszírozás kiadásai összesen</t>
  </si>
  <si>
    <t>Bevételek megnevezés</t>
  </si>
  <si>
    <t>09811111 1</t>
  </si>
  <si>
    <t>09811111 2</t>
  </si>
  <si>
    <t>Hosszú lejáratú hitelek, kölcsönök felvétele FELHALMOZÁSRA összesen</t>
  </si>
  <si>
    <t>Likviditási célú hitelek, kölcsönök felvétele pénzügyi vállalkozástól</t>
  </si>
  <si>
    <t>09811312</t>
  </si>
  <si>
    <t>2014.évi folyószámlahitel</t>
  </si>
  <si>
    <t>Rövid lejáratú hitelek, kölcsönök felvétele MŰKÖDÉSRE összesen</t>
  </si>
  <si>
    <t>Hitel-, kölcsönfelvétel államháztartáson kívülről összesen</t>
  </si>
  <si>
    <t xml:space="preserve">Forgatási célú belföldi értékpapírok beváltása, értékesítése </t>
  </si>
  <si>
    <t>Forgatási célú belföldi értékpapírok kibocsátása</t>
  </si>
  <si>
    <t xml:space="preserve">Befektetési célú belföldi értékpapírok beváltása, értékesítése </t>
  </si>
  <si>
    <t>Befektetési célú belföldi értékpapírok kibocsátása</t>
  </si>
  <si>
    <t>Betétek megszüntetése</t>
  </si>
  <si>
    <t xml:space="preserve">Központi költségvetés sajátos finanszírozási bevételei </t>
  </si>
  <si>
    <t>ebből: tulajdonosi kölcsönök visszatérülése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</si>
  <si>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</si>
  <si>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</si>
  <si>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</si>
  <si>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</si>
  <si>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</si>
  <si>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</si>
  <si>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</si>
  <si>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</si>
  <si>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összesen</t>
  </si>
  <si>
    <t>18. melléklet</t>
  </si>
  <si>
    <t>A többéves kihatással járó döntések számszerűsítése évenkénti bontásban és összesítve (E Ft)</t>
  </si>
  <si>
    <t>Kötelezettségek megnevezése</t>
  </si>
  <si>
    <t>Kötelezettség-vállalás éve</t>
  </si>
  <si>
    <t>Tárgyév előtti kifizetés</t>
  </si>
  <si>
    <t>Tárgyévi kifizetés (2015. évi ei.)</t>
  </si>
  <si>
    <t>2016. évi kifizetés</t>
  </si>
  <si>
    <t>2017. évi kifizetés</t>
  </si>
  <si>
    <t>2018. évi kifizetés</t>
  </si>
  <si>
    <t>2019. év utáni kifizetések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</si>
  <si>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</si>
  <si>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</si>
  <si>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</si>
  <si>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</si>
  <si>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</si>
  <si>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19. melléklet</t>
  </si>
  <si>
    <t>Az európai uniós forrásból finanszírozott támogatással megvalósuló programok, projektek kiadásai, bevételei, valamint a helyi önkormányzat ilyen projektekhez történő hozzájárulásai (E 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</si>
  <si>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</si>
  <si>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</si>
  <si>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</si>
  <si>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</si>
  <si>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</si>
  <si>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</si>
  <si>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</si>
  <si>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</si>
  <si>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>Móricz Zsigmond Művelődési Központ moziterem felújítása külső térrendezése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</si>
</sst>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\ ##########"/>
    <numFmt numFmtId="167" formatCode="0__"/>
    <numFmt numFmtId="168" formatCode="yyyy/\ mmmm;@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2"/>
      <name val="Times New Roman CE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Bookman Old Style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" fillId="7" borderId="1" applyNumberFormat="0" applyAlignment="0" applyProtection="0"/>
    <xf numFmtId="0" fontId="0" fillId="22" borderId="7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4" borderId="0" applyNumberFormat="0" applyBorder="0" applyAlignment="0" applyProtection="0"/>
    <xf numFmtId="0" fontId="15" fillId="20" borderId="8" applyNumberFormat="0" applyAlignment="0" applyProtection="0"/>
    <xf numFmtId="0" fontId="1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22" borderId="7" applyNumberFormat="0" applyAlignment="0" applyProtection="0"/>
    <xf numFmtId="0" fontId="15" fillId="20" borderId="8" applyNumberFormat="0" applyAlignment="0" applyProtection="0"/>
    <xf numFmtId="0" fontId="2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5" fillId="20" borderId="1" applyNumberFormat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21" fillId="0" borderId="0" xfId="94" applyFont="1">
      <alignment/>
      <protection/>
    </xf>
    <xf numFmtId="3" fontId="21" fillId="0" borderId="0" xfId="94" applyNumberFormat="1" applyFont="1">
      <alignment/>
      <protection/>
    </xf>
    <xf numFmtId="3" fontId="21" fillId="0" borderId="0" xfId="94" applyNumberFormat="1" applyFont="1" applyAlignment="1">
      <alignment horizontal="right"/>
      <protection/>
    </xf>
    <xf numFmtId="165" fontId="23" fillId="0" borderId="0" xfId="98" applyNumberFormat="1" applyFont="1" applyFill="1" applyBorder="1" applyAlignment="1" applyProtection="1">
      <alignment horizontal="center" vertical="center"/>
      <protection/>
    </xf>
    <xf numFmtId="0" fontId="24" fillId="0" borderId="0" xfId="94" applyFont="1">
      <alignment/>
      <protection/>
    </xf>
    <xf numFmtId="0" fontId="21" fillId="0" borderId="0" xfId="93" applyFont="1" applyBorder="1" applyAlignment="1" applyProtection="1">
      <alignment/>
      <protection/>
    </xf>
    <xf numFmtId="0" fontId="23" fillId="0" borderId="0" xfId="94" applyFont="1" applyAlignment="1">
      <alignment horizontal="right"/>
      <protection/>
    </xf>
    <xf numFmtId="0" fontId="25" fillId="0" borderId="0" xfId="0" applyFont="1" applyAlignment="1">
      <alignment horizontal="justify" wrapText="1"/>
    </xf>
    <xf numFmtId="0" fontId="21" fillId="0" borderId="0" xfId="94" applyFont="1" applyAlignment="1">
      <alignment horizontal="right"/>
      <protection/>
    </xf>
    <xf numFmtId="0" fontId="21" fillId="0" borderId="0" xfId="94" applyFont="1" applyAlignment="1">
      <alignment horizontal="left"/>
      <protection/>
    </xf>
    <xf numFmtId="3" fontId="21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7" fillId="0" borderId="10" xfId="0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11" borderId="10" xfId="0" applyFont="1" applyFill="1" applyBorder="1" applyAlignment="1">
      <alignment/>
    </xf>
    <xf numFmtId="3" fontId="27" fillId="11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center" wrapText="1"/>
    </xf>
    <xf numFmtId="166" fontId="26" fillId="0" borderId="1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35" fillId="24" borderId="10" xfId="0" applyFont="1" applyFill="1" applyBorder="1" applyAlignment="1">
      <alignment/>
    </xf>
    <xf numFmtId="166" fontId="27" fillId="24" borderId="10" xfId="0" applyNumberFormat="1" applyFont="1" applyFill="1" applyBorder="1" applyAlignment="1">
      <alignment vertical="center"/>
    </xf>
    <xf numFmtId="3" fontId="27" fillId="24" borderId="10" xfId="0" applyNumberFormat="1" applyFont="1" applyFill="1" applyBorder="1" applyAlignment="1">
      <alignment/>
    </xf>
    <xf numFmtId="167" fontId="26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7" fillId="10" borderId="10" xfId="0" applyFont="1" applyFill="1" applyBorder="1" applyAlignment="1">
      <alignment horizontal="left" vertical="center"/>
    </xf>
    <xf numFmtId="166" fontId="27" fillId="10" borderId="10" xfId="0" applyNumberFormat="1" applyFont="1" applyFill="1" applyBorder="1" applyAlignment="1">
      <alignment vertical="center"/>
    </xf>
    <xf numFmtId="3" fontId="27" fillId="10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3" fontId="23" fillId="0" borderId="1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10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 wrapText="1"/>
    </xf>
    <xf numFmtId="3" fontId="23" fillId="10" borderId="1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wrapText="1"/>
    </xf>
    <xf numFmtId="0" fontId="23" fillId="10" borderId="10" xfId="0" applyFont="1" applyFill="1" applyBorder="1" applyAlignment="1">
      <alignment horizontal="left" vertical="center" wrapText="1"/>
    </xf>
    <xf numFmtId="0" fontId="33" fillId="5" borderId="10" xfId="0" applyFont="1" applyFill="1" applyBorder="1" applyAlignment="1">
      <alignment horizontal="left" indent="2"/>
    </xf>
    <xf numFmtId="0" fontId="33" fillId="5" borderId="10" xfId="0" applyFont="1" applyFill="1" applyBorder="1" applyAlignment="1">
      <alignment horizontal="left" vertical="center"/>
    </xf>
    <xf numFmtId="3" fontId="33" fillId="5" borderId="1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7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0" xfId="0" applyFont="1" applyFill="1" applyBorder="1" applyAlignment="1">
      <alignment horizontal="left" vertical="center" wrapText="1" indent="1"/>
    </xf>
    <xf numFmtId="3" fontId="26" fillId="0" borderId="0" xfId="0" applyNumberFormat="1" applyFont="1" applyAlignment="1">
      <alignment horizontal="center"/>
    </xf>
    <xf numFmtId="0" fontId="27" fillId="20" borderId="10" xfId="0" applyFont="1" applyFill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left" vertical="center"/>
    </xf>
    <xf numFmtId="3" fontId="27" fillId="20" borderId="10" xfId="0" applyNumberFormat="1" applyFont="1" applyFill="1" applyBorder="1" applyAlignment="1">
      <alignment/>
    </xf>
    <xf numFmtId="3" fontId="26" fillId="20" borderId="0" xfId="0" applyNumberFormat="1" applyFont="1" applyFill="1" applyAlignment="1">
      <alignment horizontal="center"/>
    </xf>
    <xf numFmtId="0" fontId="26" fillId="20" borderId="0" xfId="0" applyFont="1" applyFill="1" applyAlignment="1">
      <alignment/>
    </xf>
    <xf numFmtId="0" fontId="41" fillId="0" borderId="1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left" vertical="center" wrapText="1" indent="1"/>
    </xf>
    <xf numFmtId="3" fontId="26" fillId="20" borderId="0" xfId="0" applyNumberFormat="1" applyFont="1" applyFill="1" applyAlignment="1">
      <alignment/>
    </xf>
    <xf numFmtId="0" fontId="27" fillId="0" borderId="10" xfId="0" applyFont="1" applyBorder="1" applyAlignment="1">
      <alignment horizontal="center"/>
    </xf>
    <xf numFmtId="0" fontId="21" fillId="0" borderId="10" xfId="98" applyFont="1" applyFill="1" applyBorder="1" applyAlignment="1" applyProtection="1">
      <alignment horizontal="left" vertical="center" wrapText="1" indent="2"/>
      <protection/>
    </xf>
    <xf numFmtId="3" fontId="26" fillId="0" borderId="10" xfId="0" applyNumberFormat="1" applyFont="1" applyBorder="1" applyAlignment="1">
      <alignment horizontal="right"/>
    </xf>
    <xf numFmtId="0" fontId="26" fillId="25" borderId="10" xfId="0" applyFont="1" applyFill="1" applyBorder="1" applyAlignment="1">
      <alignment horizontal="left" vertical="top" wrapText="1" indent="3"/>
    </xf>
    <xf numFmtId="0" fontId="26" fillId="0" borderId="10" xfId="0" applyFont="1" applyBorder="1" applyAlignment="1">
      <alignment horizontal="left" indent="2"/>
    </xf>
    <xf numFmtId="0" fontId="27" fillId="20" borderId="10" xfId="0" applyFont="1" applyFill="1" applyBorder="1" applyAlignment="1">
      <alignment vertical="center" wrapText="1"/>
    </xf>
    <xf numFmtId="3" fontId="27" fillId="20" borderId="10" xfId="0" applyNumberFormat="1" applyFont="1" applyFill="1" applyBorder="1" applyAlignment="1">
      <alignment horizontal="right"/>
    </xf>
    <xf numFmtId="0" fontId="27" fillId="20" borderId="0" xfId="0" applyFont="1" applyFill="1" applyAlignment="1">
      <alignment/>
    </xf>
    <xf numFmtId="0" fontId="21" fillId="0" borderId="10" xfId="0" applyFont="1" applyBorder="1" applyAlignment="1">
      <alignment horizontal="left" indent="2"/>
    </xf>
    <xf numFmtId="0" fontId="26" fillId="0" borderId="10" xfId="0" applyFont="1" applyFill="1" applyBorder="1" applyAlignment="1">
      <alignment horizontal="left" vertical="center" wrapText="1" indent="2"/>
    </xf>
    <xf numFmtId="0" fontId="42" fillId="0" borderId="0" xfId="0" applyFont="1" applyFill="1" applyAlignment="1">
      <alignment/>
    </xf>
    <xf numFmtId="0" fontId="41" fillId="0" borderId="10" xfId="98" applyFont="1" applyFill="1" applyBorder="1" applyAlignment="1" applyProtection="1">
      <alignment horizontal="left" vertical="center" wrapText="1" indent="2"/>
      <protection/>
    </xf>
    <xf numFmtId="0" fontId="42" fillId="0" borderId="10" xfId="0" applyFont="1" applyFill="1" applyBorder="1" applyAlignment="1">
      <alignment horizontal="left" vertical="center"/>
    </xf>
    <xf numFmtId="3" fontId="4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7" fillId="20" borderId="10" xfId="0" applyFont="1" applyFill="1" applyBorder="1" applyAlignment="1">
      <alignment/>
    </xf>
    <xf numFmtId="3" fontId="26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 vertical="top" wrapText="1"/>
    </xf>
    <xf numFmtId="0" fontId="33" fillId="0" borderId="0" xfId="0" applyFont="1" applyBorder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0" fontId="42" fillId="0" borderId="10" xfId="0" applyFont="1" applyFill="1" applyBorder="1" applyAlignment="1">
      <alignment horizontal="left" vertical="center" wrapText="1" indent="1"/>
    </xf>
    <xf numFmtId="0" fontId="43" fillId="0" borderId="0" xfId="0" applyFont="1" applyAlignment="1">
      <alignment/>
    </xf>
    <xf numFmtId="0" fontId="44" fillId="20" borderId="10" xfId="0" applyFont="1" applyFill="1" applyBorder="1" applyAlignment="1">
      <alignment/>
    </xf>
    <xf numFmtId="0" fontId="33" fillId="20" borderId="10" xfId="0" applyFont="1" applyFill="1" applyBorder="1" applyAlignment="1">
      <alignment horizontal="left" vertical="center"/>
    </xf>
    <xf numFmtId="3" fontId="33" fillId="20" borderId="10" xfId="0" applyNumberFormat="1" applyFont="1" applyFill="1" applyBorder="1" applyAlignment="1">
      <alignment/>
    </xf>
    <xf numFmtId="0" fontId="43" fillId="20" borderId="0" xfId="0" applyFont="1" applyFill="1" applyAlignment="1">
      <alignment/>
    </xf>
    <xf numFmtId="0" fontId="44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41" fillId="0" borderId="10" xfId="98" applyFont="1" applyFill="1" applyBorder="1" applyAlignment="1" applyProtection="1">
      <alignment horizontal="left" vertical="center" wrapText="1" indent="1"/>
      <protection/>
    </xf>
    <xf numFmtId="0" fontId="41" fillId="0" borderId="10" xfId="0" applyFont="1" applyFill="1" applyBorder="1" applyAlignment="1">
      <alignment horizontal="left" vertical="center" wrapText="1" indent="1"/>
    </xf>
    <xf numFmtId="0" fontId="27" fillId="20" borderId="11" xfId="0" applyFont="1" applyFill="1" applyBorder="1" applyAlignment="1">
      <alignment horizontal="left" vertical="center" wrapText="1"/>
    </xf>
    <xf numFmtId="0" fontId="27" fillId="20" borderId="11" xfId="0" applyFont="1" applyFill="1" applyBorder="1" applyAlignment="1">
      <alignment horizontal="left" vertical="center"/>
    </xf>
    <xf numFmtId="3" fontId="27" fillId="20" borderId="11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/>
    </xf>
    <xf numFmtId="3" fontId="26" fillId="0" borderId="12" xfId="0" applyNumberFormat="1" applyFont="1" applyBorder="1" applyAlignment="1">
      <alignment/>
    </xf>
    <xf numFmtId="0" fontId="42" fillId="0" borderId="10" xfId="0" applyFont="1" applyBorder="1" applyAlignment="1">
      <alignment horizontal="left" indent="1"/>
    </xf>
    <xf numFmtId="3" fontId="26" fillId="0" borderId="1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left" vertical="center" wrapText="1" indent="1"/>
    </xf>
    <xf numFmtId="3" fontId="26" fillId="0" borderId="10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7" fillId="20" borderId="13" xfId="0" applyFont="1" applyFill="1" applyBorder="1" applyAlignment="1">
      <alignment horizontal="left" vertical="center" wrapText="1"/>
    </xf>
    <xf numFmtId="3" fontId="27" fillId="20" borderId="13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left" vertical="center" wrapText="1"/>
    </xf>
    <xf numFmtId="3" fontId="21" fillId="0" borderId="10" xfId="98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98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Border="1" applyAlignment="1">
      <alignment wrapText="1"/>
    </xf>
    <xf numFmtId="4" fontId="26" fillId="0" borderId="0" xfId="0" applyNumberFormat="1" applyFont="1" applyFill="1" applyAlignment="1">
      <alignment/>
    </xf>
    <xf numFmtId="4" fontId="27" fillId="20" borderId="0" xfId="0" applyNumberFormat="1" applyFont="1" applyFill="1" applyAlignment="1">
      <alignment/>
    </xf>
    <xf numFmtId="4" fontId="26" fillId="20" borderId="0" xfId="0" applyNumberFormat="1" applyFont="1" applyFill="1" applyAlignment="1">
      <alignment/>
    </xf>
    <xf numFmtId="0" fontId="33" fillId="2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29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5" fillId="20" borderId="0" xfId="0" applyFont="1" applyFill="1" applyAlignment="1">
      <alignment/>
    </xf>
    <xf numFmtId="0" fontId="21" fillId="0" borderId="10" xfId="98" applyFont="1" applyFill="1" applyBorder="1" applyAlignment="1" applyProtection="1">
      <alignment horizontal="left" vertical="center" wrapText="1" indent="3"/>
      <protection/>
    </xf>
    <xf numFmtId="0" fontId="32" fillId="20" borderId="10" xfId="0" applyFont="1" applyFill="1" applyBorder="1" applyAlignment="1">
      <alignment horizontal="left" vertical="center" wrapText="1" indent="1"/>
    </xf>
    <xf numFmtId="0" fontId="48" fillId="20" borderId="10" xfId="0" applyFont="1" applyFill="1" applyBorder="1" applyAlignment="1">
      <alignment/>
    </xf>
    <xf numFmtId="3" fontId="48" fillId="20" borderId="10" xfId="0" applyNumberFormat="1" applyFont="1" applyFill="1" applyBorder="1" applyAlignment="1">
      <alignment/>
    </xf>
    <xf numFmtId="0" fontId="48" fillId="20" borderId="0" xfId="0" applyFont="1" applyFill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66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47" fillId="20" borderId="0" xfId="0" applyFont="1" applyFill="1" applyAlignment="1">
      <alignment/>
    </xf>
    <xf numFmtId="0" fontId="46" fillId="20" borderId="10" xfId="0" applyFont="1" applyFill="1" applyBorder="1" applyAlignment="1">
      <alignment vertical="center" wrapText="1"/>
    </xf>
    <xf numFmtId="166" fontId="46" fillId="20" borderId="10" xfId="0" applyNumberFormat="1" applyFont="1" applyFill="1" applyBorder="1" applyAlignment="1">
      <alignment vertical="center"/>
    </xf>
    <xf numFmtId="3" fontId="46" fillId="20" borderId="10" xfId="0" applyNumberFormat="1" applyFont="1" applyFill="1" applyBorder="1" applyAlignment="1">
      <alignment/>
    </xf>
    <xf numFmtId="0" fontId="46" fillId="20" borderId="10" xfId="0" applyFont="1" applyFill="1" applyBorder="1" applyAlignment="1">
      <alignment horizontal="left" vertical="center" wrapText="1"/>
    </xf>
    <xf numFmtId="3" fontId="47" fillId="20" borderId="10" xfId="0" applyNumberFormat="1" applyFont="1" applyFill="1" applyBorder="1" applyAlignment="1">
      <alignment/>
    </xf>
    <xf numFmtId="3" fontId="47" fillId="20" borderId="12" xfId="0" applyNumberFormat="1" applyFont="1" applyFill="1" applyBorder="1" applyAlignment="1">
      <alignment/>
    </xf>
    <xf numFmtId="0" fontId="50" fillId="2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24" borderId="10" xfId="0" applyFont="1" applyFill="1" applyBorder="1" applyAlignment="1">
      <alignment/>
    </xf>
    <xf numFmtId="166" fontId="46" fillId="24" borderId="10" xfId="0" applyNumberFormat="1" applyFont="1" applyFill="1" applyBorder="1" applyAlignment="1">
      <alignment vertical="center"/>
    </xf>
    <xf numFmtId="3" fontId="46" fillId="24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6" fillId="2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46" fillId="10" borderId="10" xfId="0" applyFont="1" applyFill="1" applyBorder="1" applyAlignment="1">
      <alignment horizontal="left" vertical="center"/>
    </xf>
    <xf numFmtId="166" fontId="46" fillId="10" borderId="10" xfId="0" applyNumberFormat="1" applyFont="1" applyFill="1" applyBorder="1" applyAlignment="1">
      <alignment vertical="center"/>
    </xf>
    <xf numFmtId="3" fontId="46" fillId="1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left" vertical="center"/>
    </xf>
    <xf numFmtId="3" fontId="50" fillId="0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 vertical="center" wrapText="1"/>
    </xf>
    <xf numFmtId="0" fontId="50" fillId="10" borderId="10" xfId="0" applyFont="1" applyFill="1" applyBorder="1" applyAlignment="1">
      <alignment horizontal="left" vertical="center"/>
    </xf>
    <xf numFmtId="0" fontId="46" fillId="10" borderId="10" xfId="0" applyFont="1" applyFill="1" applyBorder="1" applyAlignment="1">
      <alignment horizontal="left" vertical="center" wrapText="1"/>
    </xf>
    <xf numFmtId="3" fontId="50" fillId="10" borderId="10" xfId="0" applyNumberFormat="1" applyFont="1" applyFill="1" applyBorder="1" applyAlignment="1">
      <alignment horizontal="right" vertical="center"/>
    </xf>
    <xf numFmtId="0" fontId="46" fillId="11" borderId="10" xfId="0" applyFont="1" applyFill="1" applyBorder="1" applyAlignment="1">
      <alignment/>
    </xf>
    <xf numFmtId="3" fontId="46" fillId="11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/>
    </xf>
    <xf numFmtId="3" fontId="46" fillId="20" borderId="12" xfId="0" applyNumberFormat="1" applyFont="1" applyFill="1" applyBorder="1" applyAlignment="1">
      <alignment/>
    </xf>
    <xf numFmtId="0" fontId="50" fillId="10" borderId="10" xfId="0" applyFont="1" applyFill="1" applyBorder="1" applyAlignment="1">
      <alignment horizontal="left" vertical="center" wrapText="1"/>
    </xf>
    <xf numFmtId="0" fontId="53" fillId="5" borderId="10" xfId="0" applyFont="1" applyFill="1" applyBorder="1" applyAlignment="1">
      <alignment horizontal="left" indent="2"/>
    </xf>
    <xf numFmtId="0" fontId="53" fillId="5" borderId="10" xfId="0" applyFont="1" applyFill="1" applyBorder="1" applyAlignment="1">
      <alignment horizontal="left" vertical="center"/>
    </xf>
    <xf numFmtId="3" fontId="53" fillId="5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indent="1"/>
    </xf>
    <xf numFmtId="0" fontId="54" fillId="0" borderId="10" xfId="0" applyFont="1" applyFill="1" applyBorder="1" applyAlignment="1">
      <alignment horizontal="left" vertical="center" indent="4"/>
    </xf>
    <xf numFmtId="0" fontId="55" fillId="0" borderId="0" xfId="0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 indent="1"/>
    </xf>
    <xf numFmtId="0" fontId="41" fillId="0" borderId="10" xfId="0" applyFont="1" applyFill="1" applyBorder="1" applyAlignment="1">
      <alignment horizontal="left" vertical="center" indent="4"/>
    </xf>
    <xf numFmtId="0" fontId="29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0" fillId="0" borderId="10" xfId="97" applyFont="1" applyFill="1" applyBorder="1" applyAlignment="1">
      <alignment horizontal="center" vertical="center" wrapText="1"/>
      <protection/>
    </xf>
    <xf numFmtId="0" fontId="51" fillId="0" borderId="10" xfId="97" applyFont="1" applyFill="1" applyBorder="1" applyAlignment="1">
      <alignment horizontal="center" vertical="center" wrapText="1"/>
      <protection/>
    </xf>
    <xf numFmtId="0" fontId="51" fillId="0" borderId="10" xfId="97" applyFont="1" applyFill="1" applyBorder="1" applyAlignment="1">
      <alignment horizontal="left" vertical="center" wrapText="1"/>
      <protection/>
    </xf>
    <xf numFmtId="4" fontId="51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/>
    </xf>
    <xf numFmtId="0" fontId="47" fillId="20" borderId="10" xfId="0" applyFont="1" applyFill="1" applyBorder="1" applyAlignment="1">
      <alignment horizontal="center"/>
    </xf>
    <xf numFmtId="0" fontId="50" fillId="20" borderId="10" xfId="97" applyFont="1" applyFill="1" applyBorder="1" applyAlignment="1">
      <alignment horizontal="left" vertical="center" wrapText="1"/>
      <protection/>
    </xf>
    <xf numFmtId="4" fontId="50" fillId="20" borderId="10" xfId="0" applyNumberFormat="1" applyFont="1" applyFill="1" applyBorder="1" applyAlignment="1">
      <alignment horizontal="right" vertical="center" wrapText="1"/>
    </xf>
    <xf numFmtId="4" fontId="46" fillId="20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wrapText="1"/>
    </xf>
    <xf numFmtId="0" fontId="5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3" fontId="41" fillId="0" borderId="0" xfId="0" applyNumberFormat="1" applyFont="1" applyAlignment="1">
      <alignment horizontal="center" wrapText="1"/>
    </xf>
    <xf numFmtId="0" fontId="59" fillId="0" borderId="0" xfId="0" applyFont="1" applyFill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/>
    </xf>
    <xf numFmtId="0" fontId="21" fillId="0" borderId="15" xfId="0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horizontal="right"/>
    </xf>
    <xf numFmtId="0" fontId="27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33" fillId="0" borderId="10" xfId="0" applyFont="1" applyBorder="1" applyAlignment="1">
      <alignment horizontal="left" indent="1"/>
    </xf>
    <xf numFmtId="0" fontId="21" fillId="0" borderId="15" xfId="0" applyFont="1" applyFill="1" applyBorder="1" applyAlignment="1">
      <alignment horizontal="left" vertical="center" wrapText="1" indent="1"/>
    </xf>
    <xf numFmtId="0" fontId="23" fillId="20" borderId="10" xfId="0" applyFont="1" applyFill="1" applyBorder="1" applyAlignment="1">
      <alignment vertical="center" wrapText="1"/>
    </xf>
    <xf numFmtId="3" fontId="23" fillId="20" borderId="1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/>
    </xf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1" fillId="0" borderId="10" xfId="93" applyFont="1" applyBorder="1" applyAlignment="1">
      <alignment horizontal="left" indent="3"/>
      <protection/>
    </xf>
    <xf numFmtId="0" fontId="42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left" vertical="center" wrapText="1" indent="3"/>
    </xf>
    <xf numFmtId="0" fontId="33" fillId="0" borderId="0" xfId="0" applyFont="1" applyFill="1" applyAlignment="1">
      <alignment/>
    </xf>
    <xf numFmtId="0" fontId="32" fillId="20" borderId="10" xfId="0" applyFont="1" applyFill="1" applyBorder="1" applyAlignment="1">
      <alignment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33" fillId="20" borderId="0" xfId="0" applyFont="1" applyFill="1" applyAlignment="1">
      <alignment/>
    </xf>
    <xf numFmtId="0" fontId="33" fillId="0" borderId="0" xfId="0" applyFont="1" applyAlignment="1">
      <alignment/>
    </xf>
    <xf numFmtId="0" fontId="32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32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horizontal="left" vertical="center" wrapText="1"/>
    </xf>
    <xf numFmtId="0" fontId="41" fillId="0" borderId="10" xfId="93" applyFont="1" applyBorder="1" applyAlignment="1">
      <alignment horizontal="left" indent="4"/>
      <protection/>
    </xf>
    <xf numFmtId="0" fontId="23" fillId="2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4"/>
    </xf>
    <xf numFmtId="0" fontId="41" fillId="0" borderId="10" xfId="0" applyFont="1" applyFill="1" applyBorder="1" applyAlignment="1">
      <alignment horizontal="left" vertical="center" wrapText="1" indent="4"/>
    </xf>
    <xf numFmtId="0" fontId="23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51" fillId="0" borderId="10" xfId="93" applyFont="1" applyBorder="1">
      <alignment/>
      <protection/>
    </xf>
    <xf numFmtId="0" fontId="32" fillId="20" borderId="10" xfId="0" applyFont="1" applyFill="1" applyBorder="1" applyAlignment="1">
      <alignment/>
    </xf>
    <xf numFmtId="3" fontId="32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Fill="1" applyBorder="1" applyAlignment="1">
      <alignment horizontal="left" vertical="center" wrapText="1" indent="1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51" fillId="0" borderId="0" xfId="95" applyFont="1">
      <alignment/>
      <protection/>
    </xf>
    <xf numFmtId="0" fontId="21" fillId="0" borderId="0" xfId="95" applyFont="1">
      <alignment/>
      <protection/>
    </xf>
    <xf numFmtId="0" fontId="51" fillId="0" borderId="0" xfId="96" applyFont="1" applyBorder="1" applyAlignment="1">
      <alignment horizontal="right"/>
      <protection/>
    </xf>
    <xf numFmtId="0" fontId="51" fillId="0" borderId="11" xfId="96" applyFont="1" applyBorder="1" applyAlignment="1">
      <alignment horizontal="center" wrapText="1"/>
      <protection/>
    </xf>
    <xf numFmtId="0" fontId="51" fillId="0" borderId="18" xfId="96" applyFont="1" applyBorder="1" applyAlignment="1">
      <alignment horizontal="center" wrapText="1"/>
      <protection/>
    </xf>
    <xf numFmtId="0" fontId="51" fillId="0" borderId="19" xfId="96" applyFont="1" applyBorder="1" applyAlignment="1">
      <alignment horizontal="center"/>
      <protection/>
    </xf>
    <xf numFmtId="0" fontId="51" fillId="0" borderId="20" xfId="96" applyFont="1" applyBorder="1" applyAlignment="1">
      <alignment horizontal="center"/>
      <protection/>
    </xf>
    <xf numFmtId="0" fontId="51" fillId="0" borderId="21" xfId="96" applyFont="1" applyBorder="1" applyAlignment="1">
      <alignment horizontal="center"/>
      <protection/>
    </xf>
    <xf numFmtId="0" fontId="21" fillId="0" borderId="22" xfId="96" applyFont="1" applyBorder="1" applyAlignment="1">
      <alignment horizontal="center" vertical="center"/>
      <protection/>
    </xf>
    <xf numFmtId="0" fontId="21" fillId="0" borderId="12" xfId="96" applyFont="1" applyBorder="1" applyAlignment="1">
      <alignment horizontal="center" vertical="center" wrapText="1"/>
      <protection/>
    </xf>
    <xf numFmtId="0" fontId="21" fillId="0" borderId="12" xfId="96" applyFont="1" applyBorder="1" applyAlignment="1">
      <alignment horizontal="center" vertical="center"/>
      <protection/>
    </xf>
    <xf numFmtId="3" fontId="21" fillId="0" borderId="23" xfId="96" applyNumberFormat="1" applyFont="1" applyBorder="1" applyAlignment="1">
      <alignment horizontal="right" vertical="center" indent="1"/>
      <protection/>
    </xf>
    <xf numFmtId="0" fontId="51" fillId="0" borderId="0" xfId="95" applyFont="1" applyAlignment="1">
      <alignment horizontal="center" vertical="center"/>
      <protection/>
    </xf>
    <xf numFmtId="0" fontId="21" fillId="0" borderId="24" xfId="96" applyFont="1" applyBorder="1" applyAlignment="1">
      <alignment horizontal="center" vertical="center"/>
      <protection/>
    </xf>
    <xf numFmtId="0" fontId="21" fillId="0" borderId="10" xfId="96" applyFont="1" applyBorder="1" applyAlignment="1">
      <alignment horizontal="center" vertical="center" wrapText="1"/>
      <protection/>
    </xf>
    <xf numFmtId="0" fontId="21" fillId="0" borderId="10" xfId="96" applyFont="1" applyBorder="1" applyAlignment="1">
      <alignment horizontal="center" vertical="center"/>
      <protection/>
    </xf>
    <xf numFmtId="3" fontId="21" fillId="0" borderId="25" xfId="96" applyNumberFormat="1" applyFont="1" applyBorder="1" applyAlignment="1">
      <alignment horizontal="right" vertical="center" indent="1"/>
      <protection/>
    </xf>
    <xf numFmtId="0" fontId="51" fillId="0" borderId="24" xfId="96" applyFont="1" applyBorder="1" applyAlignment="1">
      <alignment horizontal="center" vertical="center"/>
      <protection/>
    </xf>
    <xf numFmtId="0" fontId="51" fillId="0" borderId="26" xfId="96" applyFont="1" applyBorder="1" applyAlignment="1">
      <alignment horizontal="center" vertical="center"/>
      <protection/>
    </xf>
    <xf numFmtId="0" fontId="21" fillId="0" borderId="13" xfId="96" applyFont="1" applyBorder="1" applyAlignment="1">
      <alignment horizontal="center" vertical="center" wrapText="1"/>
      <protection/>
    </xf>
    <xf numFmtId="0" fontId="21" fillId="0" borderId="13" xfId="96" applyFont="1" applyBorder="1" applyAlignment="1">
      <alignment horizontal="center" vertical="center"/>
      <protection/>
    </xf>
    <xf numFmtId="3" fontId="21" fillId="0" borderId="27" xfId="96" applyNumberFormat="1" applyFont="1" applyBorder="1" applyAlignment="1">
      <alignment horizontal="right" vertical="center" indent="1"/>
      <protection/>
    </xf>
    <xf numFmtId="3" fontId="60" fillId="20" borderId="21" xfId="96" applyNumberFormat="1" applyFont="1" applyFill="1" applyBorder="1" applyAlignment="1">
      <alignment horizontal="right" indent="1"/>
      <protection/>
    </xf>
    <xf numFmtId="0" fontId="40" fillId="0" borderId="0" xfId="0" applyFont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166" fontId="27" fillId="20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 horizontal="right"/>
    </xf>
    <xf numFmtId="0" fontId="35" fillId="20" borderId="10" xfId="0" applyFont="1" applyFill="1" applyBorder="1" applyAlignment="1">
      <alignment/>
    </xf>
    <xf numFmtId="3" fontId="23" fillId="20" borderId="10" xfId="0" applyNumberFormat="1" applyFont="1" applyFill="1" applyBorder="1" applyAlignment="1">
      <alignment horizontal="right" vertical="center" wrapText="1"/>
    </xf>
    <xf numFmtId="0" fontId="23" fillId="20" borderId="10" xfId="0" applyFont="1" applyFill="1" applyBorder="1" applyAlignment="1">
      <alignment horizontal="left" vertical="center"/>
    </xf>
    <xf numFmtId="3" fontId="23" fillId="20" borderId="10" xfId="0" applyNumberFormat="1" applyFont="1" applyFill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/>
    </xf>
    <xf numFmtId="0" fontId="33" fillId="20" borderId="10" xfId="0" applyFont="1" applyFill="1" applyBorder="1" applyAlignment="1">
      <alignment horizontal="left" indent="2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62" fillId="0" borderId="0" xfId="0" applyFont="1" applyAlignment="1">
      <alignment/>
    </xf>
    <xf numFmtId="3" fontId="63" fillId="0" borderId="10" xfId="0" applyNumberFormat="1" applyFont="1" applyBorder="1" applyAlignment="1">
      <alignment horizontal="center" vertical="center"/>
    </xf>
    <xf numFmtId="168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7" fillId="0" borderId="10" xfId="0" applyNumberFormat="1" applyFont="1" applyFill="1" applyBorder="1" applyAlignment="1">
      <alignment vertical="center"/>
    </xf>
    <xf numFmtId="3" fontId="62" fillId="0" borderId="0" xfId="0" applyNumberFormat="1" applyFont="1" applyAlignment="1">
      <alignment/>
    </xf>
    <xf numFmtId="3" fontId="27" fillId="20" borderId="10" xfId="0" applyNumberFormat="1" applyFont="1" applyFill="1" applyBorder="1" applyAlignment="1">
      <alignment vertical="center"/>
    </xf>
    <xf numFmtId="3" fontId="62" fillId="20" borderId="0" xfId="0" applyNumberFormat="1" applyFont="1" applyFill="1" applyAlignment="1">
      <alignment/>
    </xf>
    <xf numFmtId="0" fontId="62" fillId="20" borderId="0" xfId="0" applyFont="1" applyFill="1" applyAlignment="1">
      <alignment/>
    </xf>
    <xf numFmtId="0" fontId="0" fillId="20" borderId="0" xfId="0" applyFill="1" applyAlignment="1">
      <alignment/>
    </xf>
    <xf numFmtId="3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/>
    </xf>
    <xf numFmtId="3" fontId="62" fillId="0" borderId="10" xfId="0" applyNumberFormat="1" applyFont="1" applyBorder="1" applyAlignment="1">
      <alignment/>
    </xf>
    <xf numFmtId="0" fontId="27" fillId="11" borderId="0" xfId="0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3" fontId="27" fillId="2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wrapText="1"/>
    </xf>
    <xf numFmtId="0" fontId="64" fillId="0" borderId="0" xfId="0" applyFont="1" applyAlignment="1">
      <alignment/>
    </xf>
    <xf numFmtId="0" fontId="27" fillId="0" borderId="0" xfId="0" applyFont="1" applyAlignment="1">
      <alignment horizontal="justify" wrapText="1"/>
    </xf>
    <xf numFmtId="168" fontId="65" fillId="0" borderId="10" xfId="0" applyNumberFormat="1" applyFont="1" applyBorder="1" applyAlignment="1">
      <alignment horizontal="center" vertical="center" wrapText="1"/>
    </xf>
    <xf numFmtId="168" fontId="63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justify" wrapText="1"/>
    </xf>
    <xf numFmtId="3" fontId="21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horizontal="justify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3" fillId="20" borderId="10" xfId="0" applyNumberFormat="1" applyFont="1" applyFill="1" applyBorder="1" applyAlignment="1">
      <alignment vertical="center"/>
    </xf>
    <xf numFmtId="3" fontId="64" fillId="0" borderId="0" xfId="0" applyNumberFormat="1" applyFont="1" applyAlignment="1">
      <alignment/>
    </xf>
    <xf numFmtId="0" fontId="22" fillId="0" borderId="0" xfId="0" applyFont="1" applyBorder="1" applyAlignment="1">
      <alignment horizontal="center" wrapText="1"/>
    </xf>
    <xf numFmtId="165" fontId="23" fillId="0" borderId="0" xfId="98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 vertical="center"/>
    </xf>
    <xf numFmtId="0" fontId="60" fillId="20" borderId="19" xfId="96" applyFont="1" applyFill="1" applyBorder="1" applyAlignment="1">
      <alignment horizontal="center"/>
      <protection/>
    </xf>
    <xf numFmtId="0" fontId="23" fillId="0" borderId="0" xfId="95" applyFont="1" applyBorder="1" applyAlignment="1">
      <alignment horizontal="center"/>
      <protection/>
    </xf>
    <xf numFmtId="0" fontId="51" fillId="0" borderId="19" xfId="96" applyFont="1" applyBorder="1" applyAlignment="1">
      <alignment horizontal="center" vertical="center" wrapText="1"/>
      <protection/>
    </xf>
    <xf numFmtId="0" fontId="51" fillId="0" borderId="20" xfId="96" applyFont="1" applyBorder="1" applyAlignment="1">
      <alignment horizontal="center" vertical="center"/>
      <protection/>
    </xf>
    <xf numFmtId="0" fontId="51" fillId="0" borderId="30" xfId="96" applyFont="1" applyBorder="1" applyAlignment="1">
      <alignment horizontal="center"/>
      <protection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Neutral" xfId="90"/>
    <cellStyle name="Normál 2" xfId="91"/>
    <cellStyle name="Normál 3" xfId="92"/>
    <cellStyle name="Normál_2010. ktgvetés JÓ LESZ ÚJ" xfId="93"/>
    <cellStyle name="Normál_2013 évi ktgvetés IV név mód 2013 12 05" xfId="94"/>
    <cellStyle name="Normál_2013 évi ktgvetés melléklete 2013 12 21 egységes" xfId="95"/>
    <cellStyle name="Normál_kovetetttam2009" xfId="96"/>
    <cellStyle name="Normal_KTRSZJ" xfId="97"/>
    <cellStyle name="Normál_KVRENMUNKA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mi\Local%20Settings\Temporary%20Internet%20Files\Content.IE5\9K62G79O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0.7109375" style="1" customWidth="1"/>
    <col min="2" max="2" width="81.00390625" style="1" customWidth="1"/>
    <col min="3" max="3" width="19.421875" style="2" customWidth="1"/>
    <col min="4" max="16384" width="9.140625" style="1" customWidth="1"/>
  </cols>
  <sheetData>
    <row r="1" ht="15.75">
      <c r="B1" s="3"/>
    </row>
    <row r="2" ht="15.75">
      <c r="C2" s="1"/>
    </row>
    <row r="3" spans="1:3" ht="18.75" customHeight="1">
      <c r="A3" s="400" t="s">
        <v>78</v>
      </c>
      <c r="B3" s="400"/>
      <c r="C3" s="3"/>
    </row>
    <row r="4" ht="15.75">
      <c r="C4" s="3"/>
    </row>
    <row r="5" ht="12.75" customHeight="1"/>
    <row r="6" spans="1:2" ht="12.75" customHeight="1">
      <c r="A6" s="4"/>
      <c r="B6" s="4"/>
    </row>
    <row r="7" spans="1:2" ht="15.75">
      <c r="A7" s="401" t="s">
        <v>79</v>
      </c>
      <c r="B7" s="401"/>
    </row>
    <row r="9" ht="15.75">
      <c r="A9" s="5"/>
    </row>
    <row r="11" ht="15.75">
      <c r="B11" s="1" t="s">
        <v>80</v>
      </c>
    </row>
    <row r="12" ht="15.75">
      <c r="B12" s="1" t="s">
        <v>81</v>
      </c>
    </row>
    <row r="13" ht="15.75">
      <c r="B13" s="1" t="s">
        <v>82</v>
      </c>
    </row>
    <row r="14" ht="15.75">
      <c r="B14" s="1" t="s">
        <v>83</v>
      </c>
    </row>
    <row r="15" ht="15.75">
      <c r="B15" s="1" t="s">
        <v>84</v>
      </c>
    </row>
    <row r="16" ht="15.75">
      <c r="B16" s="1" t="s">
        <v>85</v>
      </c>
    </row>
    <row r="17" ht="15.75">
      <c r="B17" s="1" t="s">
        <v>86</v>
      </c>
    </row>
    <row r="18" ht="15.75">
      <c r="B18" s="6"/>
    </row>
    <row r="19" ht="15.75">
      <c r="B19" s="6"/>
    </row>
    <row r="20" ht="15.75">
      <c r="A20" s="5"/>
    </row>
    <row r="27" ht="15.75">
      <c r="B27" s="7"/>
    </row>
    <row r="28" ht="15.75">
      <c r="B28" s="8"/>
    </row>
    <row r="29" ht="15.75">
      <c r="B29" s="8"/>
    </row>
    <row r="30" ht="15.75">
      <c r="B30" s="8"/>
    </row>
    <row r="31" ht="15.75">
      <c r="B31" s="8"/>
    </row>
    <row r="32" ht="15.75">
      <c r="B32" s="8"/>
    </row>
    <row r="33" ht="15.75">
      <c r="B33" s="8"/>
    </row>
    <row r="34" ht="15.75">
      <c r="B34" s="8"/>
    </row>
    <row r="35" ht="15.75">
      <c r="B35" s="2"/>
    </row>
    <row r="36" ht="15.75">
      <c r="B36" s="8"/>
    </row>
    <row r="37" ht="15.75">
      <c r="B37" s="8"/>
    </row>
    <row r="38" ht="15.75">
      <c r="B38" s="8"/>
    </row>
    <row r="39" ht="15.75">
      <c r="B39" s="8"/>
    </row>
    <row r="40" ht="15.75">
      <c r="B40" s="8"/>
    </row>
    <row r="41" ht="15.75">
      <c r="B41" s="8"/>
    </row>
    <row r="42" ht="15.75">
      <c r="B42" s="8"/>
    </row>
    <row r="43" ht="15.75">
      <c r="B43" s="8"/>
    </row>
    <row r="44" ht="15.75">
      <c r="B44" s="8"/>
    </row>
    <row r="45" ht="15.75">
      <c r="B45" s="8"/>
    </row>
    <row r="46" ht="15.75">
      <c r="B46" s="8"/>
    </row>
    <row r="47" ht="15.75">
      <c r="B47" s="8"/>
    </row>
    <row r="48" ht="15.75">
      <c r="B48" s="8"/>
    </row>
    <row r="49" ht="15.75">
      <c r="B49" s="9"/>
    </row>
    <row r="50" ht="15.75">
      <c r="B50" s="9"/>
    </row>
    <row r="51" ht="15.75">
      <c r="B51" s="7"/>
    </row>
    <row r="52" spans="2:4" ht="15.75">
      <c r="B52" s="9"/>
      <c r="D52" s="10"/>
    </row>
    <row r="53" ht="15.75">
      <c r="D53" s="10"/>
    </row>
    <row r="54" spans="2:4" ht="15.75">
      <c r="B54" s="9"/>
      <c r="D54" s="10"/>
    </row>
    <row r="55" spans="2:4" ht="15.75">
      <c r="B55" s="9"/>
      <c r="D55" s="10"/>
    </row>
    <row r="56" ht="15.75">
      <c r="D56" s="9"/>
    </row>
    <row r="57" spans="2:4" ht="15.75">
      <c r="B57" s="9"/>
      <c r="D57" s="9"/>
    </row>
    <row r="58" spans="2:4" ht="15.75">
      <c r="B58" s="9"/>
      <c r="D58" s="9"/>
    </row>
    <row r="59" ht="15.75">
      <c r="B59" s="7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  <row r="65" ht="15.75">
      <c r="B65" s="7"/>
    </row>
    <row r="66" ht="15.75">
      <c r="B66" s="9"/>
    </row>
    <row r="67" ht="15.75">
      <c r="B67" s="9"/>
    </row>
    <row r="68" ht="15.75">
      <c r="B68" s="9"/>
    </row>
    <row r="69" ht="15.75">
      <c r="B69" s="9"/>
    </row>
    <row r="70" ht="15.75">
      <c r="B70" s="9"/>
    </row>
    <row r="71" ht="15.75">
      <c r="B71" s="9"/>
    </row>
    <row r="72" ht="15.75">
      <c r="B72" s="7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7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7"/>
    </row>
    <row r="85" ht="15.75">
      <c r="B85" s="9"/>
    </row>
    <row r="86" ht="15.75">
      <c r="B86" s="9"/>
    </row>
    <row r="87" ht="15.75">
      <c r="B87" s="9"/>
    </row>
    <row r="88" ht="15.75">
      <c r="B88" s="7"/>
    </row>
    <row r="89" ht="15.75">
      <c r="B89" s="9"/>
    </row>
    <row r="90" spans="2:3" ht="15.75">
      <c r="B90" s="9"/>
      <c r="C90" s="11"/>
    </row>
    <row r="91" ht="15.75">
      <c r="C91" s="11"/>
    </row>
  </sheetData>
  <sheetProtection selectLockedCells="1" selectUnlockedCells="1"/>
  <mergeCells count="2">
    <mergeCell ref="A3:B3"/>
    <mergeCell ref="A7:B7"/>
  </mergeCells>
  <printOptions horizontalCentered="1"/>
  <pageMargins left="0.7875" right="0.7875" top="0.9840277777777777" bottom="0.8270833333333333" header="0.5118055555555555" footer="0.5118055555555555"/>
  <pageSetup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="75" zoomScaleSheetLayoutView="75" workbookViewId="0" topLeftCell="B1">
      <selection activeCell="G143" sqref="G143"/>
    </sheetView>
  </sheetViews>
  <sheetFormatPr defaultColWidth="9.140625" defaultRowHeight="15"/>
  <cols>
    <col min="1" max="1" width="10.7109375" style="28" customWidth="1"/>
    <col min="2" max="2" width="72.28125" style="28" customWidth="1"/>
    <col min="3" max="3" width="10.140625" style="28" customWidth="1"/>
    <col min="4" max="4" width="11.140625" style="28" customWidth="1"/>
    <col min="5" max="5" width="11.00390625" style="28" customWidth="1"/>
    <col min="6" max="6" width="10.8515625" style="29" customWidth="1"/>
    <col min="7" max="16384" width="9.140625" style="28" customWidth="1"/>
  </cols>
  <sheetData>
    <row r="1" s="12" customFormat="1" ht="15.75">
      <c r="F1" s="30" t="s">
        <v>671</v>
      </c>
    </row>
    <row r="2" spans="2:6" s="12" customFormat="1" ht="20.25">
      <c r="B2" s="243" t="s">
        <v>672</v>
      </c>
      <c r="F2" s="14" t="s">
        <v>88</v>
      </c>
    </row>
    <row r="3" spans="2:6" s="12" customFormat="1" ht="15.75">
      <c r="B3" s="38" t="s">
        <v>664</v>
      </c>
      <c r="C3" s="34"/>
      <c r="D3" s="34"/>
      <c r="E3" s="34"/>
      <c r="F3" s="35"/>
    </row>
    <row r="4" spans="2:6" s="12" customFormat="1" ht="15.75">
      <c r="B4" s="36" t="s">
        <v>118</v>
      </c>
      <c r="C4" s="37"/>
      <c r="D4" s="37"/>
      <c r="E4" s="37"/>
      <c r="F4" s="38"/>
    </row>
    <row r="5" spans="2:6" ht="15.75" customHeight="1">
      <c r="B5" s="39"/>
      <c r="D5" s="404" t="s">
        <v>91</v>
      </c>
      <c r="E5" s="404"/>
      <c r="F5" s="404"/>
    </row>
    <row r="6" spans="2:6" ht="47.25">
      <c r="B6" s="17" t="s">
        <v>92</v>
      </c>
      <c r="C6" s="40" t="s">
        <v>119</v>
      </c>
      <c r="D6" s="41" t="s">
        <v>93</v>
      </c>
      <c r="E6" s="41" t="s">
        <v>94</v>
      </c>
      <c r="F6" s="169" t="s">
        <v>601</v>
      </c>
    </row>
    <row r="7" spans="2:6" ht="15.75">
      <c r="B7" s="43" t="s">
        <v>120</v>
      </c>
      <c r="C7" s="44" t="s">
        <v>121</v>
      </c>
      <c r="D7" s="22">
        <v>178142</v>
      </c>
      <c r="E7" s="22">
        <v>122804</v>
      </c>
      <c r="F7" s="23">
        <f>+D7+E7</f>
        <v>300946</v>
      </c>
    </row>
    <row r="8" spans="2:6" ht="15.75">
      <c r="B8" s="46" t="s">
        <v>122</v>
      </c>
      <c r="C8" s="44" t="s">
        <v>123</v>
      </c>
      <c r="D8" s="22">
        <v>8503</v>
      </c>
      <c r="E8" s="22"/>
      <c r="F8" s="23">
        <f>+D8+E8</f>
        <v>8503</v>
      </c>
    </row>
    <row r="9" spans="2:6" ht="15.75">
      <c r="B9" s="47" t="s">
        <v>124</v>
      </c>
      <c r="C9" s="48" t="s">
        <v>125</v>
      </c>
      <c r="D9" s="23">
        <f>SUM(D7:D8)</f>
        <v>186645</v>
      </c>
      <c r="E9" s="23">
        <f>SUM(E7:E8)</f>
        <v>122804</v>
      </c>
      <c r="F9" s="23">
        <f>SUM(F7:F8)</f>
        <v>309449</v>
      </c>
    </row>
    <row r="10" spans="2:6" ht="15.75">
      <c r="B10" s="49" t="s">
        <v>126</v>
      </c>
      <c r="C10" s="48" t="s">
        <v>127</v>
      </c>
      <c r="D10" s="22">
        <v>35534</v>
      </c>
      <c r="E10" s="22">
        <v>22351</v>
      </c>
      <c r="F10" s="23">
        <f aca="true" t="shared" si="0" ref="F10:F15">+D10+E10</f>
        <v>57885</v>
      </c>
    </row>
    <row r="11" spans="2:6" ht="15.75">
      <c r="B11" s="46" t="s">
        <v>128</v>
      </c>
      <c r="C11" s="44" t="s">
        <v>129</v>
      </c>
      <c r="D11" s="22">
        <v>28746</v>
      </c>
      <c r="E11" s="22">
        <v>14887</v>
      </c>
      <c r="F11" s="23">
        <f t="shared" si="0"/>
        <v>43633</v>
      </c>
    </row>
    <row r="12" spans="2:6" ht="15.75">
      <c r="B12" s="46" t="s">
        <v>130</v>
      </c>
      <c r="C12" s="44" t="s">
        <v>131</v>
      </c>
      <c r="D12" s="22">
        <v>865</v>
      </c>
      <c r="E12" s="22">
        <v>835</v>
      </c>
      <c r="F12" s="23">
        <f t="shared" si="0"/>
        <v>1700</v>
      </c>
    </row>
    <row r="13" spans="2:6" ht="15.75">
      <c r="B13" s="46" t="s">
        <v>132</v>
      </c>
      <c r="C13" s="44" t="s">
        <v>133</v>
      </c>
      <c r="D13" s="22">
        <v>12547</v>
      </c>
      <c r="E13" s="22">
        <v>14748</v>
      </c>
      <c r="F13" s="23">
        <f t="shared" si="0"/>
        <v>27295</v>
      </c>
    </row>
    <row r="14" spans="2:6" ht="15.75">
      <c r="B14" s="46" t="s">
        <v>134</v>
      </c>
      <c r="C14" s="44" t="s">
        <v>135</v>
      </c>
      <c r="D14" s="22">
        <v>200</v>
      </c>
      <c r="E14" s="22">
        <v>1900</v>
      </c>
      <c r="F14" s="23">
        <f t="shared" si="0"/>
        <v>2100</v>
      </c>
    </row>
    <row r="15" spans="2:6" ht="15.75">
      <c r="B15" s="46" t="s">
        <v>136</v>
      </c>
      <c r="C15" s="44" t="s">
        <v>137</v>
      </c>
      <c r="D15" s="22">
        <v>37314</v>
      </c>
      <c r="E15" s="22">
        <v>61279</v>
      </c>
      <c r="F15" s="23">
        <f t="shared" si="0"/>
        <v>98593</v>
      </c>
    </row>
    <row r="16" spans="2:6" ht="15.75">
      <c r="B16" s="49" t="s">
        <v>138</v>
      </c>
      <c r="C16" s="48" t="s">
        <v>139</v>
      </c>
      <c r="D16" s="23">
        <f>SUM(D11:D15)</f>
        <v>79672</v>
      </c>
      <c r="E16" s="23">
        <f>SUM(E11:E15)</f>
        <v>93649</v>
      </c>
      <c r="F16" s="23">
        <f>SUM(F11:F15)</f>
        <v>173321</v>
      </c>
    </row>
    <row r="17" spans="2:6" ht="15.75">
      <c r="B17" s="50" t="s">
        <v>140</v>
      </c>
      <c r="C17" s="48" t="s">
        <v>141</v>
      </c>
      <c r="D17" s="22"/>
      <c r="E17" s="22"/>
      <c r="F17" s="23">
        <f aca="true" t="shared" si="1" ref="F17:F31">+D17+E17</f>
        <v>0</v>
      </c>
    </row>
    <row r="18" spans="2:6" ht="15.75">
      <c r="B18" s="51" t="s">
        <v>142</v>
      </c>
      <c r="C18" s="44" t="s">
        <v>143</v>
      </c>
      <c r="D18" s="22"/>
      <c r="E18" s="22"/>
      <c r="F18" s="23">
        <f t="shared" si="1"/>
        <v>0</v>
      </c>
    </row>
    <row r="19" spans="2:6" ht="15.75">
      <c r="B19" s="51" t="s">
        <v>144</v>
      </c>
      <c r="C19" s="44" t="s">
        <v>145</v>
      </c>
      <c r="D19" s="22">
        <v>0</v>
      </c>
      <c r="E19" s="22">
        <v>0</v>
      </c>
      <c r="F19" s="23">
        <f t="shared" si="1"/>
        <v>0</v>
      </c>
    </row>
    <row r="20" spans="2:6" ht="15.75">
      <c r="B20" s="51" t="s">
        <v>146</v>
      </c>
      <c r="C20" s="44" t="s">
        <v>147</v>
      </c>
      <c r="D20" s="22"/>
      <c r="E20" s="22"/>
      <c r="F20" s="23">
        <f t="shared" si="1"/>
        <v>0</v>
      </c>
    </row>
    <row r="21" spans="2:6" ht="15.75">
      <c r="B21" s="51" t="s">
        <v>148</v>
      </c>
      <c r="C21" s="44" t="s">
        <v>149</v>
      </c>
      <c r="D21" s="22"/>
      <c r="E21" s="22"/>
      <c r="F21" s="23">
        <f t="shared" si="1"/>
        <v>0</v>
      </c>
    </row>
    <row r="22" spans="2:6" ht="15.75">
      <c r="B22" s="51" t="s">
        <v>150</v>
      </c>
      <c r="C22" s="44" t="s">
        <v>151</v>
      </c>
      <c r="D22" s="22"/>
      <c r="E22" s="22"/>
      <c r="F22" s="23">
        <f t="shared" si="1"/>
        <v>0</v>
      </c>
    </row>
    <row r="23" spans="2:6" ht="15.75">
      <c r="B23" s="51" t="s">
        <v>152</v>
      </c>
      <c r="C23" s="44" t="s">
        <v>153</v>
      </c>
      <c r="D23" s="22">
        <v>0</v>
      </c>
      <c r="E23" s="22"/>
      <c r="F23" s="23">
        <f t="shared" si="1"/>
        <v>0</v>
      </c>
    </row>
    <row r="24" spans="2:6" ht="15.75">
      <c r="B24" s="51" t="s">
        <v>154</v>
      </c>
      <c r="C24" s="44" t="s">
        <v>155</v>
      </c>
      <c r="D24" s="22"/>
      <c r="E24" s="22"/>
      <c r="F24" s="23">
        <f t="shared" si="1"/>
        <v>0</v>
      </c>
    </row>
    <row r="25" spans="2:6" ht="15.75">
      <c r="B25" s="51" t="s">
        <v>156</v>
      </c>
      <c r="C25" s="44" t="s">
        <v>157</v>
      </c>
      <c r="D25" s="22"/>
      <c r="E25" s="22"/>
      <c r="F25" s="23">
        <f t="shared" si="1"/>
        <v>0</v>
      </c>
    </row>
    <row r="26" spans="2:6" ht="15.75">
      <c r="B26" s="51" t="s">
        <v>158</v>
      </c>
      <c r="C26" s="44" t="s">
        <v>159</v>
      </c>
      <c r="D26" s="22"/>
      <c r="E26" s="22"/>
      <c r="F26" s="23">
        <f t="shared" si="1"/>
        <v>0</v>
      </c>
    </row>
    <row r="27" spans="2:6" ht="15.75">
      <c r="B27" s="52" t="s">
        <v>160</v>
      </c>
      <c r="C27" s="44" t="s">
        <v>161</v>
      </c>
      <c r="D27" s="22"/>
      <c r="E27" s="22"/>
      <c r="F27" s="23">
        <f t="shared" si="1"/>
        <v>0</v>
      </c>
    </row>
    <row r="28" spans="2:6" ht="15.75">
      <c r="B28" s="52" t="s">
        <v>665</v>
      </c>
      <c r="C28" s="44" t="s">
        <v>163</v>
      </c>
      <c r="D28" s="22"/>
      <c r="E28" s="22"/>
      <c r="F28" s="23">
        <f t="shared" si="1"/>
        <v>0</v>
      </c>
    </row>
    <row r="29" spans="2:6" ht="15.75">
      <c r="B29" s="51" t="s">
        <v>164</v>
      </c>
      <c r="C29" s="44" t="s">
        <v>165</v>
      </c>
      <c r="D29" s="22">
        <v>1100</v>
      </c>
      <c r="E29" s="22"/>
      <c r="F29" s="23">
        <f t="shared" si="1"/>
        <v>1100</v>
      </c>
    </row>
    <row r="30" spans="2:6" ht="15.75">
      <c r="B30" s="52" t="s">
        <v>166</v>
      </c>
      <c r="C30" s="44" t="s">
        <v>167</v>
      </c>
      <c r="D30" s="22"/>
      <c r="E30" s="22"/>
      <c r="F30" s="23">
        <f t="shared" si="1"/>
        <v>0</v>
      </c>
    </row>
    <row r="31" spans="2:6" ht="15.75">
      <c r="B31" s="52" t="s">
        <v>168</v>
      </c>
      <c r="C31" s="44" t="s">
        <v>167</v>
      </c>
      <c r="D31" s="22"/>
      <c r="E31" s="22"/>
      <c r="F31" s="23">
        <f t="shared" si="1"/>
        <v>0</v>
      </c>
    </row>
    <row r="32" spans="2:6" s="29" customFormat="1" ht="15.75">
      <c r="B32" s="50" t="s">
        <v>169</v>
      </c>
      <c r="C32" s="48" t="s">
        <v>170</v>
      </c>
      <c r="D32" s="23">
        <f>SUM(D18:D31)</f>
        <v>1100</v>
      </c>
      <c r="E32" s="23">
        <f>SUM(E18:E31)</f>
        <v>0</v>
      </c>
      <c r="F32" s="23">
        <f>SUM(F18:F31)</f>
        <v>1100</v>
      </c>
    </row>
    <row r="33" spans="2:6" ht="15.75">
      <c r="B33" s="53" t="s">
        <v>171</v>
      </c>
      <c r="C33" s="54" t="s">
        <v>172</v>
      </c>
      <c r="D33" s="55">
        <f>+D32+D17+D16+D10+D9</f>
        <v>302951</v>
      </c>
      <c r="E33" s="55">
        <f>+E32+E17+E16+E10+E9</f>
        <v>238804</v>
      </c>
      <c r="F33" s="55">
        <f>+F32+F17+F16+F10+F9</f>
        <v>541755</v>
      </c>
    </row>
    <row r="34" spans="2:6" ht="15.75">
      <c r="B34" s="56" t="s">
        <v>173</v>
      </c>
      <c r="C34" s="44" t="s">
        <v>174</v>
      </c>
      <c r="D34" s="22"/>
      <c r="E34" s="22"/>
      <c r="F34" s="23">
        <f aca="true" t="shared" si="2" ref="F34:F40">+D34+E34</f>
        <v>0</v>
      </c>
    </row>
    <row r="35" spans="2:6" ht="15.75">
      <c r="B35" s="56" t="s">
        <v>175</v>
      </c>
      <c r="C35" s="44" t="s">
        <v>176</v>
      </c>
      <c r="D35" s="22"/>
      <c r="E35" s="22"/>
      <c r="F35" s="23">
        <f t="shared" si="2"/>
        <v>0</v>
      </c>
    </row>
    <row r="36" spans="2:6" ht="15.75">
      <c r="B36" s="56" t="s">
        <v>177</v>
      </c>
      <c r="C36" s="44" t="s">
        <v>178</v>
      </c>
      <c r="D36" s="22"/>
      <c r="E36" s="22"/>
      <c r="F36" s="23">
        <f t="shared" si="2"/>
        <v>0</v>
      </c>
    </row>
    <row r="37" spans="2:6" ht="15.75">
      <c r="B37" s="56" t="s">
        <v>179</v>
      </c>
      <c r="C37" s="44" t="s">
        <v>180</v>
      </c>
      <c r="D37" s="22">
        <v>2362</v>
      </c>
      <c r="E37" s="22">
        <v>1915</v>
      </c>
      <c r="F37" s="23">
        <f t="shared" si="2"/>
        <v>4277</v>
      </c>
    </row>
    <row r="38" spans="2:6" ht="15.75">
      <c r="B38" s="57" t="s">
        <v>181</v>
      </c>
      <c r="C38" s="44" t="s">
        <v>182</v>
      </c>
      <c r="D38" s="22"/>
      <c r="E38" s="22"/>
      <c r="F38" s="23">
        <f t="shared" si="2"/>
        <v>0</v>
      </c>
    </row>
    <row r="39" spans="2:6" ht="15.75">
      <c r="B39" s="57" t="s">
        <v>183</v>
      </c>
      <c r="C39" s="44" t="s">
        <v>184</v>
      </c>
      <c r="D39" s="22"/>
      <c r="E39" s="22"/>
      <c r="F39" s="23">
        <f t="shared" si="2"/>
        <v>0</v>
      </c>
    </row>
    <row r="40" spans="2:6" ht="15.75">
      <c r="B40" s="57" t="s">
        <v>185</v>
      </c>
      <c r="C40" s="44" t="s">
        <v>186</v>
      </c>
      <c r="D40" s="22">
        <v>638</v>
      </c>
      <c r="E40" s="22">
        <v>517</v>
      </c>
      <c r="F40" s="23">
        <f t="shared" si="2"/>
        <v>1155</v>
      </c>
    </row>
    <row r="41" spans="2:6" s="29" customFormat="1" ht="15.75">
      <c r="B41" s="58" t="s">
        <v>187</v>
      </c>
      <c r="C41" s="48" t="s">
        <v>188</v>
      </c>
      <c r="D41" s="23">
        <f>SUM(D34:D40)</f>
        <v>3000</v>
      </c>
      <c r="E41" s="23">
        <f>SUM(E34:E40)</f>
        <v>2432</v>
      </c>
      <c r="F41" s="23">
        <f>SUM(F34:F40)</f>
        <v>5432</v>
      </c>
    </row>
    <row r="42" spans="2:6" ht="15.75">
      <c r="B42" s="59" t="s">
        <v>189</v>
      </c>
      <c r="C42" s="44" t="s">
        <v>190</v>
      </c>
      <c r="D42" s="22">
        <v>197</v>
      </c>
      <c r="E42" s="22">
        <v>0</v>
      </c>
      <c r="F42" s="23">
        <f>+D42+E42</f>
        <v>197</v>
      </c>
    </row>
    <row r="43" spans="2:6" ht="15.75">
      <c r="B43" s="59" t="s">
        <v>191</v>
      </c>
      <c r="C43" s="44" t="s">
        <v>192</v>
      </c>
      <c r="D43" s="22"/>
      <c r="E43" s="22"/>
      <c r="F43" s="23">
        <f>+D43+E43</f>
        <v>0</v>
      </c>
    </row>
    <row r="44" spans="2:6" ht="15.75">
      <c r="B44" s="59" t="s">
        <v>193</v>
      </c>
      <c r="C44" s="44" t="s">
        <v>194</v>
      </c>
      <c r="D44" s="22"/>
      <c r="E44" s="22"/>
      <c r="F44" s="23">
        <f>+D44+E44</f>
        <v>0</v>
      </c>
    </row>
    <row r="45" spans="2:6" ht="15.75">
      <c r="B45" s="59" t="s">
        <v>195</v>
      </c>
      <c r="C45" s="44" t="s">
        <v>196</v>
      </c>
      <c r="D45" s="22">
        <v>53</v>
      </c>
      <c r="E45" s="22"/>
      <c r="F45" s="23">
        <f>+D45+E45</f>
        <v>53</v>
      </c>
    </row>
    <row r="46" spans="2:6" s="29" customFormat="1" ht="15.75">
      <c r="B46" s="49" t="s">
        <v>197</v>
      </c>
      <c r="C46" s="48" t="s">
        <v>198</v>
      </c>
      <c r="D46" s="23">
        <f>SUM(D42:D45)</f>
        <v>250</v>
      </c>
      <c r="E46" s="23">
        <f>SUM(E42:E45)</f>
        <v>0</v>
      </c>
      <c r="F46" s="23">
        <f>SUM(F42:F45)</f>
        <v>250</v>
      </c>
    </row>
    <row r="47" spans="2:6" ht="31.5">
      <c r="B47" s="59" t="s">
        <v>199</v>
      </c>
      <c r="C47" s="44" t="s">
        <v>200</v>
      </c>
      <c r="D47" s="22"/>
      <c r="E47" s="22"/>
      <c r="F47" s="23">
        <f aca="true" t="shared" si="3" ref="F47:F55">+D47+E47</f>
        <v>0</v>
      </c>
    </row>
    <row r="48" spans="2:6" ht="15.75">
      <c r="B48" s="59" t="s">
        <v>201</v>
      </c>
      <c r="C48" s="44" t="s">
        <v>202</v>
      </c>
      <c r="D48" s="22"/>
      <c r="E48" s="22"/>
      <c r="F48" s="23">
        <f t="shared" si="3"/>
        <v>0</v>
      </c>
    </row>
    <row r="49" spans="2:6" ht="31.5">
      <c r="B49" s="59" t="s">
        <v>203</v>
      </c>
      <c r="C49" s="44" t="s">
        <v>204</v>
      </c>
      <c r="D49" s="22"/>
      <c r="E49" s="22"/>
      <c r="F49" s="23">
        <f t="shared" si="3"/>
        <v>0</v>
      </c>
    </row>
    <row r="50" spans="2:6" ht="15.75">
      <c r="B50" s="59" t="s">
        <v>205</v>
      </c>
      <c r="C50" s="44" t="s">
        <v>206</v>
      </c>
      <c r="D50" s="22"/>
      <c r="E50" s="22"/>
      <c r="F50" s="23">
        <f t="shared" si="3"/>
        <v>0</v>
      </c>
    </row>
    <row r="51" spans="2:6" ht="31.5">
      <c r="B51" s="59" t="s">
        <v>207</v>
      </c>
      <c r="C51" s="44" t="s">
        <v>208</v>
      </c>
      <c r="D51" s="22"/>
      <c r="E51" s="22"/>
      <c r="F51" s="23">
        <f t="shared" si="3"/>
        <v>0</v>
      </c>
    </row>
    <row r="52" spans="2:6" ht="15.75">
      <c r="B52" s="59" t="s">
        <v>209</v>
      </c>
      <c r="C52" s="44" t="s">
        <v>210</v>
      </c>
      <c r="D52" s="22"/>
      <c r="E52" s="22"/>
      <c r="F52" s="23">
        <f t="shared" si="3"/>
        <v>0</v>
      </c>
    </row>
    <row r="53" spans="2:6" ht="15.75">
      <c r="B53" s="59" t="s">
        <v>211</v>
      </c>
      <c r="C53" s="44" t="s">
        <v>212</v>
      </c>
      <c r="D53" s="22"/>
      <c r="E53" s="22"/>
      <c r="F53" s="23">
        <f t="shared" si="3"/>
        <v>0</v>
      </c>
    </row>
    <row r="54" spans="2:6" ht="15.75">
      <c r="B54" s="52" t="s">
        <v>666</v>
      </c>
      <c r="C54" s="44" t="s">
        <v>214</v>
      </c>
      <c r="D54" s="22"/>
      <c r="E54" s="22"/>
      <c r="F54" s="23">
        <f t="shared" si="3"/>
        <v>0</v>
      </c>
    </row>
    <row r="55" spans="2:6" ht="15.75">
      <c r="B55" s="59" t="s">
        <v>215</v>
      </c>
      <c r="C55" s="44" t="s">
        <v>216</v>
      </c>
      <c r="D55" s="22"/>
      <c r="E55" s="22"/>
      <c r="F55" s="23">
        <f t="shared" si="3"/>
        <v>0</v>
      </c>
    </row>
    <row r="56" spans="2:6" s="29" customFormat="1" ht="15.75">
      <c r="B56" s="50" t="s">
        <v>217</v>
      </c>
      <c r="C56" s="48" t="s">
        <v>218</v>
      </c>
      <c r="D56" s="23">
        <f>SUM(D47:D55)</f>
        <v>0</v>
      </c>
      <c r="E56" s="23">
        <f>SUM(E47:E55)</f>
        <v>0</v>
      </c>
      <c r="F56" s="23">
        <f>SUM(F47:F55)</f>
        <v>0</v>
      </c>
    </row>
    <row r="57" spans="2:6" ht="15.75">
      <c r="B57" s="53" t="s">
        <v>219</v>
      </c>
      <c r="C57" s="54" t="s">
        <v>220</v>
      </c>
      <c r="D57" s="55">
        <f>+D56+D46+D41</f>
        <v>3250</v>
      </c>
      <c r="E57" s="55">
        <f>+E56+E46+E41</f>
        <v>2432</v>
      </c>
      <c r="F57" s="55">
        <f>+F56+F46+F41</f>
        <v>5682</v>
      </c>
    </row>
    <row r="58" spans="2:6" ht="15.75">
      <c r="B58" s="60" t="s">
        <v>221</v>
      </c>
      <c r="C58" s="61" t="s">
        <v>222</v>
      </c>
      <c r="D58" s="62">
        <f>+D56+D46+D41+D32+D17+D16+D10+D9</f>
        <v>306201</v>
      </c>
      <c r="E58" s="62">
        <f>+E56+E46+E41+E32+E17+E16+E10+E9</f>
        <v>241236</v>
      </c>
      <c r="F58" s="62">
        <f>+F56+F46+F41+F32+F17+F16+F10+F9</f>
        <v>547437</v>
      </c>
    </row>
    <row r="59" spans="2:22" ht="15.75">
      <c r="B59" s="67" t="s">
        <v>654</v>
      </c>
      <c r="C59" s="46" t="s">
        <v>248</v>
      </c>
      <c r="D59" s="244"/>
      <c r="E59" s="244"/>
      <c r="F59" s="22">
        <f>+D59+E59</f>
        <v>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/>
      <c r="V59" s="64"/>
    </row>
    <row r="60" spans="2:22" ht="15.75">
      <c r="B60" s="67" t="s">
        <v>249</v>
      </c>
      <c r="C60" s="46" t="s">
        <v>250</v>
      </c>
      <c r="D60" s="244"/>
      <c r="E60" s="244"/>
      <c r="F60" s="22">
        <f>+D60+E60</f>
        <v>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/>
      <c r="V60" s="64"/>
    </row>
    <row r="61" spans="2:22" ht="15.75">
      <c r="B61" s="59" t="s">
        <v>251</v>
      </c>
      <c r="C61" s="46" t="s">
        <v>252</v>
      </c>
      <c r="D61" s="244"/>
      <c r="E61" s="244"/>
      <c r="F61" s="22">
        <f>+D61+E61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4"/>
    </row>
    <row r="62" spans="2:22" ht="15.75">
      <c r="B62" s="59" t="s">
        <v>253</v>
      </c>
      <c r="C62" s="46" t="s">
        <v>254</v>
      </c>
      <c r="D62" s="244"/>
      <c r="E62" s="244"/>
      <c r="F62" s="22">
        <f>+D62+E62</f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4"/>
    </row>
    <row r="63" spans="2:22" ht="15.75">
      <c r="B63" s="72" t="s">
        <v>255</v>
      </c>
      <c r="C63" s="73" t="s">
        <v>256</v>
      </c>
      <c r="D63" s="74">
        <f>+D61+D60+D59+D62</f>
        <v>0</v>
      </c>
      <c r="E63" s="74">
        <f>+E61+E60+E59+E62</f>
        <v>0</v>
      </c>
      <c r="F63" s="74">
        <f>+F61+F60+F59+F62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4"/>
      <c r="V63" s="64"/>
    </row>
    <row r="64" spans="2:22" ht="15.75">
      <c r="B64" s="26" t="s">
        <v>257</v>
      </c>
      <c r="C64" s="26" t="s">
        <v>258</v>
      </c>
      <c r="D64" s="27">
        <f>+D58+D63</f>
        <v>306201</v>
      </c>
      <c r="E64" s="27">
        <f>+E58+E63</f>
        <v>241236</v>
      </c>
      <c r="F64" s="27">
        <f>+F58+F63</f>
        <v>547437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.75">
      <c r="B65" s="12"/>
      <c r="C65" s="75"/>
      <c r="D65" s="76"/>
      <c r="E65" s="76"/>
      <c r="F65" s="7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.75" customHeight="1" hidden="1">
      <c r="B66" s="12"/>
      <c r="C66" s="75"/>
      <c r="D66" s="404" t="s">
        <v>259</v>
      </c>
      <c r="E66" s="404"/>
      <c r="F66" s="40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47.25">
      <c r="B67" s="17" t="s">
        <v>92</v>
      </c>
      <c r="C67" s="40" t="s">
        <v>260</v>
      </c>
      <c r="D67" s="41" t="s">
        <v>93</v>
      </c>
      <c r="E67" s="41" t="s">
        <v>94</v>
      </c>
      <c r="F67" s="169" t="s">
        <v>601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.75">
      <c r="B68" s="49" t="s">
        <v>655</v>
      </c>
      <c r="C68" s="58" t="s">
        <v>274</v>
      </c>
      <c r="D68" s="23"/>
      <c r="E68" s="23"/>
      <c r="F68" s="23">
        <f aca="true" t="shared" si="4" ref="F68:F73">+E68+D68</f>
        <v>0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.75">
      <c r="B69" s="46" t="s">
        <v>275</v>
      </c>
      <c r="C69" s="57" t="s">
        <v>276</v>
      </c>
      <c r="D69" s="23"/>
      <c r="E69" s="23"/>
      <c r="F69" s="23">
        <f t="shared" si="4"/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31.5">
      <c r="B70" s="46" t="s">
        <v>277</v>
      </c>
      <c r="C70" s="57" t="s">
        <v>278</v>
      </c>
      <c r="D70" s="23"/>
      <c r="E70" s="23"/>
      <c r="F70" s="23">
        <f t="shared" si="4"/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31.5">
      <c r="B71" s="46" t="s">
        <v>279</v>
      </c>
      <c r="C71" s="57" t="s">
        <v>280</v>
      </c>
      <c r="D71" s="23"/>
      <c r="E71" s="23"/>
      <c r="F71" s="23">
        <f t="shared" si="4"/>
        <v>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31.5">
      <c r="B72" s="46" t="s">
        <v>281</v>
      </c>
      <c r="C72" s="57" t="s">
        <v>282</v>
      </c>
      <c r="D72" s="23"/>
      <c r="E72" s="23"/>
      <c r="F72" s="23">
        <f t="shared" si="4"/>
        <v>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.75">
      <c r="B73" s="46" t="s">
        <v>283</v>
      </c>
      <c r="C73" s="57" t="s">
        <v>284</v>
      </c>
      <c r="D73" s="22">
        <v>109200</v>
      </c>
      <c r="E73" s="22">
        <v>109193</v>
      </c>
      <c r="F73" s="23">
        <f t="shared" si="4"/>
        <v>218393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.75">
      <c r="B74" s="49" t="s">
        <v>285</v>
      </c>
      <c r="C74" s="58" t="s">
        <v>286</v>
      </c>
      <c r="D74" s="23">
        <f>+D73+D72+D71+D70+D69+D68</f>
        <v>109200</v>
      </c>
      <c r="E74" s="23">
        <f>+E73+E72+E71+E70+E69+E68</f>
        <v>109193</v>
      </c>
      <c r="F74" s="23">
        <f>+F73+F72+F71+F70+F69+F68</f>
        <v>218393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.75">
      <c r="B75" s="49" t="s">
        <v>287</v>
      </c>
      <c r="C75" s="58" t="s">
        <v>288</v>
      </c>
      <c r="D75" s="22"/>
      <c r="E75" s="22"/>
      <c r="F75" s="23">
        <f aca="true" t="shared" si="5" ref="F75:F81">+E75+D75</f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.75" hidden="1">
      <c r="B76" s="46" t="s">
        <v>289</v>
      </c>
      <c r="C76" s="57" t="s">
        <v>290</v>
      </c>
      <c r="D76" s="22"/>
      <c r="E76" s="22"/>
      <c r="F76" s="23">
        <f t="shared" si="5"/>
        <v>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.75" hidden="1">
      <c r="B77" s="46" t="s">
        <v>291</v>
      </c>
      <c r="C77" s="57" t="s">
        <v>292</v>
      </c>
      <c r="D77" s="22"/>
      <c r="E77" s="22"/>
      <c r="F77" s="23">
        <f t="shared" si="5"/>
        <v>0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.75" hidden="1">
      <c r="B78" s="46" t="s">
        <v>293</v>
      </c>
      <c r="C78" s="57" t="s">
        <v>294</v>
      </c>
      <c r="D78" s="22"/>
      <c r="E78" s="22"/>
      <c r="F78" s="23">
        <f t="shared" si="5"/>
        <v>0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.75" hidden="1">
      <c r="B79" s="46" t="s">
        <v>295</v>
      </c>
      <c r="C79" s="57" t="s">
        <v>296</v>
      </c>
      <c r="D79" s="22"/>
      <c r="E79" s="22"/>
      <c r="F79" s="23">
        <f t="shared" si="5"/>
        <v>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.75" hidden="1">
      <c r="B80" s="46" t="s">
        <v>297</v>
      </c>
      <c r="C80" s="57" t="s">
        <v>298</v>
      </c>
      <c r="D80" s="22"/>
      <c r="E80" s="22"/>
      <c r="F80" s="23">
        <f t="shared" si="5"/>
        <v>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.75" hidden="1">
      <c r="B81" s="46" t="s">
        <v>299</v>
      </c>
      <c r="C81" s="57" t="s">
        <v>300</v>
      </c>
      <c r="D81" s="22"/>
      <c r="E81" s="22"/>
      <c r="F81" s="23">
        <f t="shared" si="5"/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.75">
      <c r="B82" s="49" t="s">
        <v>301</v>
      </c>
      <c r="C82" s="58" t="s">
        <v>302</v>
      </c>
      <c r="D82" s="23">
        <f>SUM(D76:D81)</f>
        <v>0</v>
      </c>
      <c r="E82" s="23">
        <f>SUM(E76:E81)</f>
        <v>0</v>
      </c>
      <c r="F82" s="23">
        <f>SUM(F76:F81)</f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.75">
      <c r="B83" s="59" t="s">
        <v>656</v>
      </c>
      <c r="C83" s="57" t="s">
        <v>304</v>
      </c>
      <c r="D83" s="22">
        <v>650</v>
      </c>
      <c r="E83" s="22"/>
      <c r="F83" s="23">
        <f aca="true" t="shared" si="6" ref="F83:F93">+E83+D83</f>
        <v>650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.75">
      <c r="B84" s="59" t="s">
        <v>305</v>
      </c>
      <c r="C84" s="57" t="s">
        <v>306</v>
      </c>
      <c r="D84" s="22">
        <v>27331</v>
      </c>
      <c r="E84" s="22">
        <v>121572</v>
      </c>
      <c r="F84" s="23">
        <f t="shared" si="6"/>
        <v>148903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.75">
      <c r="B85" s="59" t="s">
        <v>307</v>
      </c>
      <c r="C85" s="57" t="s">
        <v>308</v>
      </c>
      <c r="D85" s="22"/>
      <c r="E85" s="22"/>
      <c r="F85" s="23">
        <f t="shared" si="6"/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.75">
      <c r="B86" s="59" t="s">
        <v>309</v>
      </c>
      <c r="C86" s="57" t="s">
        <v>310</v>
      </c>
      <c r="D86" s="22"/>
      <c r="E86" s="22"/>
      <c r="F86" s="23">
        <f t="shared" si="6"/>
        <v>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.75">
      <c r="B87" s="59" t="s">
        <v>311</v>
      </c>
      <c r="C87" s="57" t="s">
        <v>312</v>
      </c>
      <c r="D87" s="22"/>
      <c r="E87" s="22"/>
      <c r="F87" s="23">
        <f t="shared" si="6"/>
        <v>0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.75">
      <c r="B88" s="59" t="s">
        <v>313</v>
      </c>
      <c r="C88" s="57" t="s">
        <v>314</v>
      </c>
      <c r="D88" s="22"/>
      <c r="E88" s="22"/>
      <c r="F88" s="23">
        <f t="shared" si="6"/>
        <v>0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.75">
      <c r="B89" s="59" t="s">
        <v>315</v>
      </c>
      <c r="C89" s="57" t="s">
        <v>316</v>
      </c>
      <c r="D89" s="22"/>
      <c r="E89" s="22"/>
      <c r="F89" s="23">
        <f t="shared" si="6"/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.75">
      <c r="B90" s="59" t="s">
        <v>317</v>
      </c>
      <c r="C90" s="57" t="s">
        <v>318</v>
      </c>
      <c r="D90" s="22"/>
      <c r="E90" s="22"/>
      <c r="F90" s="23">
        <f t="shared" si="6"/>
        <v>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.75">
      <c r="B91" s="59" t="s">
        <v>319</v>
      </c>
      <c r="C91" s="57" t="s">
        <v>320</v>
      </c>
      <c r="D91" s="22"/>
      <c r="E91" s="22"/>
      <c r="F91" s="23">
        <f t="shared" si="6"/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.75">
      <c r="B92" s="59" t="s">
        <v>321</v>
      </c>
      <c r="C92" s="57" t="s">
        <v>322</v>
      </c>
      <c r="D92" s="22"/>
      <c r="E92" s="22"/>
      <c r="F92" s="23">
        <f t="shared" si="6"/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.75">
      <c r="B93" s="59" t="s">
        <v>323</v>
      </c>
      <c r="C93" s="57" t="s">
        <v>324</v>
      </c>
      <c r="D93" s="22"/>
      <c r="E93" s="22"/>
      <c r="F93" s="23">
        <f t="shared" si="6"/>
        <v>0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.75">
      <c r="B94" s="50" t="s">
        <v>325</v>
      </c>
      <c r="C94" s="58" t="s">
        <v>326</v>
      </c>
      <c r="D94" s="23">
        <f>SUM(D83:D93)</f>
        <v>27981</v>
      </c>
      <c r="E94" s="23">
        <f>SUM(E83:E93)</f>
        <v>121572</v>
      </c>
      <c r="F94" s="23">
        <f>SUM(F83:F93)</f>
        <v>149553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.75">
      <c r="B95" s="59" t="s">
        <v>327</v>
      </c>
      <c r="C95" s="57" t="s">
        <v>328</v>
      </c>
      <c r="D95" s="22"/>
      <c r="E95" s="22"/>
      <c r="F95" s="23">
        <f>+E95+D95</f>
        <v>0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.75">
      <c r="B96" s="59" t="s">
        <v>329</v>
      </c>
      <c r="C96" s="57" t="s">
        <v>330</v>
      </c>
      <c r="D96" s="22"/>
      <c r="E96" s="22"/>
      <c r="F96" s="23">
        <f>+E96+D96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.75">
      <c r="B97" s="59" t="s">
        <v>331</v>
      </c>
      <c r="C97" s="57" t="s">
        <v>332</v>
      </c>
      <c r="D97" s="22"/>
      <c r="E97" s="22"/>
      <c r="F97" s="23">
        <f>+E97+D97</f>
        <v>0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ht="15.75">
      <c r="B98" s="59" t="s">
        <v>333</v>
      </c>
      <c r="C98" s="57" t="s">
        <v>334</v>
      </c>
      <c r="D98" s="22"/>
      <c r="E98" s="22"/>
      <c r="F98" s="23">
        <f>+E98+D98</f>
        <v>0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ht="15.75">
      <c r="B99" s="59" t="s">
        <v>335</v>
      </c>
      <c r="C99" s="57" t="s">
        <v>336</v>
      </c>
      <c r="D99" s="22"/>
      <c r="E99" s="22"/>
      <c r="F99" s="23">
        <f>+E99+D99</f>
        <v>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ht="15.75">
      <c r="B100" s="49" t="s">
        <v>337</v>
      </c>
      <c r="C100" s="58" t="s">
        <v>338</v>
      </c>
      <c r="D100" s="23">
        <f>SUM(D95:D99)</f>
        <v>0</v>
      </c>
      <c r="E100" s="23">
        <f>SUM(E95:E99)</f>
        <v>0</v>
      </c>
      <c r="F100" s="23">
        <f>SUM(F95:F99)</f>
        <v>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ht="15.75">
      <c r="B101" s="49" t="s">
        <v>339</v>
      </c>
      <c r="C101" s="58" t="s">
        <v>340</v>
      </c>
      <c r="D101" s="22"/>
      <c r="E101" s="22"/>
      <c r="F101" s="23">
        <f>+E101+D101</f>
        <v>0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ht="31.5">
      <c r="B102" s="59" t="s">
        <v>341</v>
      </c>
      <c r="C102" s="57" t="s">
        <v>342</v>
      </c>
      <c r="D102" s="22"/>
      <c r="E102" s="22"/>
      <c r="F102" s="23">
        <f>+E102+D102</f>
        <v>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ht="15.75">
      <c r="B103" s="46" t="s">
        <v>343</v>
      </c>
      <c r="C103" s="57" t="s">
        <v>344</v>
      </c>
      <c r="D103" s="22"/>
      <c r="E103" s="22"/>
      <c r="F103" s="2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ht="31.5">
      <c r="B104" s="59" t="s">
        <v>345</v>
      </c>
      <c r="C104" s="57" t="s">
        <v>346</v>
      </c>
      <c r="D104" s="22"/>
      <c r="E104" s="22"/>
      <c r="F104" s="2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ht="31.5">
      <c r="B105" s="59" t="s">
        <v>347</v>
      </c>
      <c r="C105" s="57" t="s">
        <v>348</v>
      </c>
      <c r="D105" s="22"/>
      <c r="E105" s="22"/>
      <c r="F105" s="23">
        <f>+E105+D105</f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ht="15.75">
      <c r="B106" s="59" t="s">
        <v>349</v>
      </c>
      <c r="C106" s="57" t="s">
        <v>350</v>
      </c>
      <c r="D106" s="22">
        <v>3862</v>
      </c>
      <c r="E106" s="22"/>
      <c r="F106" s="23">
        <f>+E106+D106</f>
        <v>3862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ht="15.75">
      <c r="B107" s="49" t="s">
        <v>351</v>
      </c>
      <c r="C107" s="58" t="s">
        <v>352</v>
      </c>
      <c r="D107" s="23">
        <f>SUM(D102:D106)</f>
        <v>3862</v>
      </c>
      <c r="E107" s="23">
        <f>SUM(E102:E106)</f>
        <v>0</v>
      </c>
      <c r="F107" s="23">
        <f>SUM(F102:F106)</f>
        <v>3862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ht="15.75">
      <c r="B108" s="80" t="s">
        <v>353</v>
      </c>
      <c r="C108" s="60" t="s">
        <v>354</v>
      </c>
      <c r="D108" s="62">
        <f>+D107+D101+D100+D94+D82+D75+D74</f>
        <v>141043</v>
      </c>
      <c r="E108" s="62">
        <f>+E107+E101+E100+E94+E82+E75+E74</f>
        <v>230765</v>
      </c>
      <c r="F108" s="62">
        <f>+F107+F101+F100+F94+F82+F75+F74</f>
        <v>371808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ht="15.75">
      <c r="B109" s="81" t="s">
        <v>355</v>
      </c>
      <c r="C109" s="82"/>
      <c r="D109" s="83">
        <f>+D101+D94+D82+D74-D33</f>
        <v>-165770</v>
      </c>
      <c r="E109" s="83">
        <f>+E101+E94+E82+E74-E33</f>
        <v>-8039</v>
      </c>
      <c r="F109" s="83">
        <f aca="true" t="shared" si="7" ref="F109:F116">+E109+D109</f>
        <v>-173809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ht="15.75">
      <c r="B110" s="81" t="s">
        <v>356</v>
      </c>
      <c r="C110" s="82"/>
      <c r="D110" s="83">
        <f>+D107+D100+D75-D57</f>
        <v>612</v>
      </c>
      <c r="E110" s="83">
        <f>+E107+E100+E75-E57</f>
        <v>-2432</v>
      </c>
      <c r="F110" s="83">
        <f t="shared" si="7"/>
        <v>-1820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6" ht="15.75">
      <c r="B111" s="50" t="s">
        <v>657</v>
      </c>
      <c r="C111" s="49" t="s">
        <v>364</v>
      </c>
      <c r="D111" s="22"/>
      <c r="E111" s="22"/>
      <c r="F111" s="23">
        <f t="shared" si="7"/>
        <v>0</v>
      </c>
    </row>
    <row r="112" spans="2:6" ht="15.75">
      <c r="B112" s="71" t="s">
        <v>658</v>
      </c>
      <c r="C112" s="49" t="s">
        <v>374</v>
      </c>
      <c r="D112" s="22"/>
      <c r="E112" s="22"/>
      <c r="F112" s="23">
        <f t="shared" si="7"/>
        <v>0</v>
      </c>
    </row>
    <row r="113" spans="2:6" ht="15.75">
      <c r="B113" s="46" t="s">
        <v>375</v>
      </c>
      <c r="C113" s="46" t="s">
        <v>376</v>
      </c>
      <c r="D113" s="22">
        <v>48316</v>
      </c>
      <c r="E113" s="22">
        <v>2980</v>
      </c>
      <c r="F113" s="23">
        <f t="shared" si="7"/>
        <v>51296</v>
      </c>
    </row>
    <row r="114" spans="2:6" ht="15.75">
      <c r="B114" s="46" t="s">
        <v>377</v>
      </c>
      <c r="C114" s="46" t="s">
        <v>376</v>
      </c>
      <c r="D114" s="22"/>
      <c r="E114" s="22"/>
      <c r="F114" s="23">
        <f t="shared" si="7"/>
        <v>0</v>
      </c>
    </row>
    <row r="115" spans="2:6" ht="15.75">
      <c r="B115" s="46" t="s">
        <v>378</v>
      </c>
      <c r="C115" s="46" t="s">
        <v>379</v>
      </c>
      <c r="D115" s="22"/>
      <c r="E115" s="22"/>
      <c r="F115" s="23">
        <f t="shared" si="7"/>
        <v>0</v>
      </c>
    </row>
    <row r="116" spans="2:6" ht="15.75">
      <c r="B116" s="46" t="s">
        <v>380</v>
      </c>
      <c r="C116" s="46" t="s">
        <v>379</v>
      </c>
      <c r="D116" s="22"/>
      <c r="E116" s="22"/>
      <c r="F116" s="23">
        <f t="shared" si="7"/>
        <v>0</v>
      </c>
    </row>
    <row r="117" spans="1:6" ht="15.75">
      <c r="A117" s="88" t="s">
        <v>667</v>
      </c>
      <c r="B117" s="49" t="s">
        <v>381</v>
      </c>
      <c r="C117" s="49" t="s">
        <v>382</v>
      </c>
      <c r="D117" s="23">
        <f>SUM(D113:D116)</f>
        <v>48316</v>
      </c>
      <c r="E117" s="23">
        <f>SUM(E113:E116)</f>
        <v>2980</v>
      </c>
      <c r="F117" s="23">
        <f>SUM(F113:F116)</f>
        <v>51296</v>
      </c>
    </row>
    <row r="118" spans="1:6" ht="15.75">
      <c r="A118" s="88" t="s">
        <v>668</v>
      </c>
      <c r="B118" s="67" t="s">
        <v>383</v>
      </c>
      <c r="C118" s="46" t="s">
        <v>384</v>
      </c>
      <c r="D118" s="22"/>
      <c r="E118" s="22"/>
      <c r="F118" s="23">
        <f aca="true" t="shared" si="8" ref="F118:F125">+E118+D118</f>
        <v>0</v>
      </c>
    </row>
    <row r="119" spans="2:6" ht="15.75">
      <c r="B119" s="67" t="s">
        <v>385</v>
      </c>
      <c r="C119" s="46" t="s">
        <v>386</v>
      </c>
      <c r="D119" s="22"/>
      <c r="E119" s="22"/>
      <c r="F119" s="23">
        <f t="shared" si="8"/>
        <v>0</v>
      </c>
    </row>
    <row r="120" spans="1:6" ht="15.75">
      <c r="A120" s="28" t="s">
        <v>673</v>
      </c>
      <c r="B120" s="67" t="s">
        <v>387</v>
      </c>
      <c r="C120" s="46" t="s">
        <v>388</v>
      </c>
      <c r="D120" s="22">
        <v>116842</v>
      </c>
      <c r="E120" s="22">
        <v>7491</v>
      </c>
      <c r="F120" s="23">
        <f t="shared" si="8"/>
        <v>124333</v>
      </c>
    </row>
    <row r="121" spans="2:6" s="245" customFormat="1" ht="15.75">
      <c r="B121" s="246" t="s">
        <v>670</v>
      </c>
      <c r="C121" s="147"/>
      <c r="D121" s="103">
        <v>19074</v>
      </c>
      <c r="E121" s="103">
        <v>7491</v>
      </c>
      <c r="F121" s="133">
        <f t="shared" si="8"/>
        <v>26565</v>
      </c>
    </row>
    <row r="122" spans="2:6" s="245" customFormat="1" ht="15.75">
      <c r="B122" s="247" t="s">
        <v>662</v>
      </c>
      <c r="C122" s="147"/>
      <c r="D122" s="103">
        <f>+D120-D121</f>
        <v>97768</v>
      </c>
      <c r="E122" s="103">
        <f>+E120-E121</f>
        <v>0</v>
      </c>
      <c r="F122" s="133">
        <f t="shared" si="8"/>
        <v>97768</v>
      </c>
    </row>
    <row r="123" spans="2:6" ht="15.75">
      <c r="B123" s="67" t="s">
        <v>389</v>
      </c>
      <c r="C123" s="46" t="s">
        <v>390</v>
      </c>
      <c r="D123" s="22"/>
      <c r="E123" s="22"/>
      <c r="F123" s="23">
        <f t="shared" si="8"/>
        <v>0</v>
      </c>
    </row>
    <row r="124" spans="2:6" ht="15.75">
      <c r="B124" s="59" t="s">
        <v>391</v>
      </c>
      <c r="C124" s="46" t="s">
        <v>392</v>
      </c>
      <c r="D124" s="22"/>
      <c r="E124" s="22"/>
      <c r="F124" s="23">
        <f t="shared" si="8"/>
        <v>0</v>
      </c>
    </row>
    <row r="125" spans="2:6" ht="15.75">
      <c r="B125" s="59" t="s">
        <v>393</v>
      </c>
      <c r="C125" s="46" t="s">
        <v>394</v>
      </c>
      <c r="D125" s="22"/>
      <c r="E125" s="22"/>
      <c r="F125" s="23">
        <f t="shared" si="8"/>
        <v>0</v>
      </c>
    </row>
    <row r="126" spans="2:6" ht="15.75">
      <c r="B126" s="50" t="s">
        <v>395</v>
      </c>
      <c r="C126" s="49" t="s">
        <v>396</v>
      </c>
      <c r="D126" s="23">
        <f>SUM(D118:D125)+D117+D112+D111-D121-D122</f>
        <v>165158</v>
      </c>
      <c r="E126" s="23">
        <f>SUM(E118:E125)+E117+E112+E111-E121-E122</f>
        <v>10471</v>
      </c>
      <c r="F126" s="23">
        <f>SUM(F118:F124)+F117+F112+F111-F121-F122</f>
        <v>175629</v>
      </c>
    </row>
    <row r="127" spans="2:6" ht="15.75" hidden="1">
      <c r="B127" s="67" t="s">
        <v>397</v>
      </c>
      <c r="C127" s="46" t="s">
        <v>398</v>
      </c>
      <c r="D127" s="22"/>
      <c r="E127" s="22"/>
      <c r="F127" s="23">
        <f>+E127+D127</f>
        <v>0</v>
      </c>
    </row>
    <row r="128" spans="2:6" ht="15.75" hidden="1">
      <c r="B128" s="59" t="s">
        <v>399</v>
      </c>
      <c r="C128" s="46" t="s">
        <v>400</v>
      </c>
      <c r="D128" s="22"/>
      <c r="E128" s="22"/>
      <c r="F128" s="23">
        <f>+E128+D128</f>
        <v>0</v>
      </c>
    </row>
    <row r="129" spans="2:6" ht="15.75" hidden="1">
      <c r="B129" s="59" t="s">
        <v>401</v>
      </c>
      <c r="C129" s="46" t="s">
        <v>402</v>
      </c>
      <c r="D129" s="22"/>
      <c r="E129" s="22"/>
      <c r="F129" s="23">
        <f>+E129+D129</f>
        <v>0</v>
      </c>
    </row>
    <row r="130" spans="2:6" ht="15.75">
      <c r="B130" s="72" t="s">
        <v>403</v>
      </c>
      <c r="C130" s="73" t="s">
        <v>404</v>
      </c>
      <c r="D130" s="62">
        <f>+D128+D127+D126+D129</f>
        <v>165158</v>
      </c>
      <c r="E130" s="62">
        <f>+E128+E127+E126+E129</f>
        <v>10471</v>
      </c>
      <c r="F130" s="62">
        <f>+F129+F127+F126</f>
        <v>175629</v>
      </c>
    </row>
    <row r="131" spans="2:6" ht="15.75">
      <c r="B131" s="26" t="s">
        <v>405</v>
      </c>
      <c r="C131" s="26" t="s">
        <v>406</v>
      </c>
      <c r="D131" s="27">
        <f>+D108+D130</f>
        <v>306201</v>
      </c>
      <c r="E131" s="27">
        <f>+E108+E130</f>
        <v>241236</v>
      </c>
      <c r="F131" s="27">
        <f>+F108+F130</f>
        <v>547437</v>
      </c>
    </row>
    <row r="132" spans="2:6" ht="15.75">
      <c r="B132" s="12"/>
      <c r="C132" s="12"/>
      <c r="D132" s="13"/>
      <c r="E132" s="13"/>
      <c r="F132" s="84"/>
    </row>
    <row r="133" spans="2:6" ht="15.75">
      <c r="B133" s="24" t="s">
        <v>407</v>
      </c>
      <c r="C133" s="24"/>
      <c r="D133" s="23">
        <f>+D108-D58</f>
        <v>-165158</v>
      </c>
      <c r="E133" s="23">
        <f>+E108-E58</f>
        <v>-10471</v>
      </c>
      <c r="F133" s="23">
        <f>+F108-F58</f>
        <v>-175629</v>
      </c>
    </row>
    <row r="134" spans="2:6" ht="15.75">
      <c r="B134" s="24" t="s">
        <v>408</v>
      </c>
      <c r="C134" s="24"/>
      <c r="D134" s="23">
        <f>+D130-D63</f>
        <v>165158</v>
      </c>
      <c r="E134" s="23">
        <f>+E130-E63</f>
        <v>10471</v>
      </c>
      <c r="F134" s="23">
        <f>+F130-F63</f>
        <v>175629</v>
      </c>
    </row>
    <row r="135" spans="2:6" ht="15.75">
      <c r="B135" s="12"/>
      <c r="C135" s="12"/>
      <c r="D135" s="13"/>
      <c r="E135" s="13"/>
      <c r="F135" s="84"/>
    </row>
    <row r="136" spans="2:6" ht="15.75">
      <c r="B136" s="87" t="s">
        <v>411</v>
      </c>
      <c r="C136" s="12"/>
      <c r="D136" s="13">
        <f>+D131-D64</f>
        <v>0</v>
      </c>
      <c r="E136" s="13">
        <f>+E131-E64</f>
        <v>0</v>
      </c>
      <c r="F136" s="13">
        <f>+F131-F64</f>
        <v>0</v>
      </c>
    </row>
    <row r="137" spans="2:6" ht="15.75">
      <c r="B137" s="12"/>
      <c r="C137" s="12"/>
      <c r="D137" s="13"/>
      <c r="E137" s="13"/>
      <c r="F137" s="84"/>
    </row>
    <row r="138" spans="2:6" ht="15.75">
      <c r="B138" s="12"/>
      <c r="C138" s="12"/>
      <c r="D138" s="13"/>
      <c r="E138" s="13"/>
      <c r="F138" s="84"/>
    </row>
    <row r="139" spans="2:6" ht="15.75">
      <c r="B139" s="12"/>
      <c r="C139" s="12"/>
      <c r="D139" s="13"/>
      <c r="E139" s="13"/>
      <c r="F139" s="84"/>
    </row>
    <row r="140" spans="2:6" ht="15.75">
      <c r="B140" s="12"/>
      <c r="C140" s="12"/>
      <c r="D140" s="13"/>
      <c r="E140" s="13"/>
      <c r="F140" s="84"/>
    </row>
    <row r="141" spans="2:6" ht="15.75">
      <c r="B141" s="12"/>
      <c r="C141" s="12"/>
      <c r="D141" s="13"/>
      <c r="E141" s="13"/>
      <c r="F141" s="84"/>
    </row>
    <row r="142" spans="2:6" ht="15.75">
      <c r="B142" s="12"/>
      <c r="C142" s="12"/>
      <c r="D142" s="13"/>
      <c r="E142" s="13"/>
      <c r="F142" s="84"/>
    </row>
    <row r="143" spans="2:6" ht="15.75">
      <c r="B143" s="12"/>
      <c r="C143" s="12"/>
      <c r="D143" s="13"/>
      <c r="E143" s="13"/>
      <c r="F143" s="84"/>
    </row>
    <row r="144" spans="2:6" ht="15.75">
      <c r="B144" s="12"/>
      <c r="C144" s="12"/>
      <c r="D144" s="13"/>
      <c r="E144" s="13"/>
      <c r="F144" s="84"/>
    </row>
    <row r="145" spans="2:6" ht="15.75">
      <c r="B145" s="12"/>
      <c r="C145" s="12"/>
      <c r="D145" s="13"/>
      <c r="E145" s="13"/>
      <c r="F145" s="84"/>
    </row>
    <row r="146" spans="2:6" ht="15.75">
      <c r="B146" s="12"/>
      <c r="C146" s="12"/>
      <c r="D146" s="13"/>
      <c r="E146" s="13"/>
      <c r="F146" s="84"/>
    </row>
    <row r="147" spans="2:6" ht="15.75">
      <c r="B147" s="12"/>
      <c r="C147" s="12"/>
      <c r="D147" s="13"/>
      <c r="E147" s="13"/>
      <c r="F147" s="84"/>
    </row>
    <row r="148" spans="2:6" ht="15.75">
      <c r="B148" s="12"/>
      <c r="C148" s="12"/>
      <c r="D148" s="13"/>
      <c r="E148" s="13"/>
      <c r="F148" s="84"/>
    </row>
    <row r="149" spans="2:6" ht="15.75">
      <c r="B149" s="12"/>
      <c r="C149" s="12"/>
      <c r="D149" s="13"/>
      <c r="E149" s="13"/>
      <c r="F149" s="84"/>
    </row>
    <row r="150" spans="2:6" ht="15.75">
      <c r="B150" s="12"/>
      <c r="C150" s="12"/>
      <c r="D150" s="13"/>
      <c r="E150" s="13"/>
      <c r="F150" s="84"/>
    </row>
    <row r="151" spans="2:6" ht="15.75">
      <c r="B151" s="12"/>
      <c r="C151" s="12"/>
      <c r="D151" s="13"/>
      <c r="E151" s="13"/>
      <c r="F151" s="84"/>
    </row>
    <row r="152" spans="2:6" ht="15.75">
      <c r="B152" s="12"/>
      <c r="C152" s="12"/>
      <c r="D152" s="13"/>
      <c r="E152" s="13"/>
      <c r="F152" s="84"/>
    </row>
    <row r="153" spans="2:6" ht="15.75">
      <c r="B153" s="12"/>
      <c r="C153" s="12"/>
      <c r="D153" s="13"/>
      <c r="E153" s="13"/>
      <c r="F153" s="84"/>
    </row>
    <row r="154" spans="2:6" ht="15.75">
      <c r="B154" s="12"/>
      <c r="C154" s="12"/>
      <c r="D154" s="13"/>
      <c r="E154" s="13"/>
      <c r="F154" s="84"/>
    </row>
    <row r="155" spans="2:6" ht="15.75">
      <c r="B155" s="12"/>
      <c r="C155" s="12"/>
      <c r="D155" s="13"/>
      <c r="E155" s="13"/>
      <c r="F155" s="84"/>
    </row>
    <row r="156" spans="2:6" ht="15.75">
      <c r="B156" s="12"/>
      <c r="C156" s="12"/>
      <c r="D156" s="13"/>
      <c r="E156" s="13"/>
      <c r="F156" s="84"/>
    </row>
    <row r="157" spans="2:6" ht="15.75">
      <c r="B157" s="12"/>
      <c r="C157" s="12"/>
      <c r="D157" s="13"/>
      <c r="E157" s="13"/>
      <c r="F157" s="84"/>
    </row>
    <row r="158" spans="2:6" ht="15.75">
      <c r="B158" s="12"/>
      <c r="C158" s="12"/>
      <c r="D158" s="13"/>
      <c r="E158" s="13"/>
      <c r="F158" s="84"/>
    </row>
    <row r="159" spans="2:6" ht="15.75">
      <c r="B159" s="12"/>
      <c r="C159" s="12"/>
      <c r="D159" s="13"/>
      <c r="E159" s="13"/>
      <c r="F159" s="84"/>
    </row>
    <row r="160" spans="2:6" ht="15.75">
      <c r="B160" s="12"/>
      <c r="C160" s="12"/>
      <c r="D160" s="13"/>
      <c r="E160" s="13"/>
      <c r="F160" s="84"/>
    </row>
    <row r="161" spans="2:6" ht="15.75">
      <c r="B161" s="12"/>
      <c r="C161" s="12"/>
      <c r="D161" s="13"/>
      <c r="E161" s="13"/>
      <c r="F161" s="84"/>
    </row>
    <row r="162" spans="2:6" ht="15.75">
      <c r="B162" s="12"/>
      <c r="C162" s="12"/>
      <c r="D162" s="13"/>
      <c r="E162" s="13"/>
      <c r="F162" s="84"/>
    </row>
    <row r="163" spans="2:6" ht="15.75">
      <c r="B163" s="12"/>
      <c r="C163" s="12"/>
      <c r="D163" s="13"/>
      <c r="E163" s="13"/>
      <c r="F163" s="84"/>
    </row>
    <row r="164" spans="2:6" ht="15.75">
      <c r="B164" s="12"/>
      <c r="C164" s="12"/>
      <c r="D164" s="13"/>
      <c r="E164" s="13"/>
      <c r="F164" s="84"/>
    </row>
    <row r="165" spans="2:6" ht="15.75">
      <c r="B165" s="12"/>
      <c r="C165" s="12"/>
      <c r="D165" s="13"/>
      <c r="E165" s="13"/>
      <c r="F165" s="84"/>
    </row>
    <row r="166" spans="2:6" ht="15.75">
      <c r="B166" s="12"/>
      <c r="C166" s="12"/>
      <c r="D166" s="13"/>
      <c r="E166" s="13"/>
      <c r="F166" s="84"/>
    </row>
    <row r="167" spans="2:6" ht="15.75">
      <c r="B167" s="12"/>
      <c r="C167" s="12"/>
      <c r="D167" s="13"/>
      <c r="E167" s="13"/>
      <c r="F167" s="84"/>
    </row>
    <row r="168" spans="2:6" ht="15.75">
      <c r="B168" s="12"/>
      <c r="C168" s="12"/>
      <c r="D168" s="13"/>
      <c r="E168" s="13"/>
      <c r="F168" s="84"/>
    </row>
    <row r="169" spans="2:6" ht="15.75">
      <c r="B169" s="12"/>
      <c r="C169" s="12"/>
      <c r="D169" s="13"/>
      <c r="E169" s="13"/>
      <c r="F169" s="84"/>
    </row>
    <row r="170" spans="2:6" ht="15.75">
      <c r="B170" s="12"/>
      <c r="C170" s="12"/>
      <c r="D170" s="13"/>
      <c r="E170" s="13"/>
      <c r="F170" s="84"/>
    </row>
    <row r="171" spans="2:6" ht="15.75">
      <c r="B171" s="12"/>
      <c r="C171" s="12"/>
      <c r="D171" s="13"/>
      <c r="E171" s="13"/>
      <c r="F171" s="84"/>
    </row>
    <row r="172" spans="2:6" ht="15.75">
      <c r="B172" s="12"/>
      <c r="C172" s="12"/>
      <c r="D172" s="13"/>
      <c r="E172" s="13"/>
      <c r="F172" s="84"/>
    </row>
    <row r="173" spans="2:6" ht="15.75">
      <c r="B173" s="12"/>
      <c r="C173" s="12"/>
      <c r="D173" s="13"/>
      <c r="E173" s="13"/>
      <c r="F173" s="84"/>
    </row>
    <row r="174" spans="2:6" ht="15.75">
      <c r="B174" s="12"/>
      <c r="C174" s="12"/>
      <c r="D174" s="13"/>
      <c r="E174" s="13"/>
      <c r="F174" s="84"/>
    </row>
    <row r="175" spans="2:6" ht="15.75">
      <c r="B175" s="12"/>
      <c r="C175" s="12"/>
      <c r="D175" s="13"/>
      <c r="E175" s="13"/>
      <c r="F175" s="84"/>
    </row>
    <row r="176" spans="2:6" ht="15.75">
      <c r="B176" s="12"/>
      <c r="C176" s="12"/>
      <c r="D176" s="13"/>
      <c r="E176" s="13"/>
      <c r="F176" s="84"/>
    </row>
    <row r="177" spans="2:6" ht="15.75">
      <c r="B177" s="12"/>
      <c r="C177" s="12"/>
      <c r="D177" s="13"/>
      <c r="E177" s="13"/>
      <c r="F177" s="84"/>
    </row>
    <row r="178" spans="2:6" ht="15.75">
      <c r="B178" s="12"/>
      <c r="C178" s="12"/>
      <c r="D178" s="13"/>
      <c r="E178" s="13"/>
      <c r="F178" s="84"/>
    </row>
    <row r="179" spans="2:6" ht="15.75">
      <c r="B179" s="12"/>
      <c r="C179" s="12"/>
      <c r="D179" s="13"/>
      <c r="E179" s="13"/>
      <c r="F179" s="84"/>
    </row>
    <row r="180" spans="2:6" ht="15.75">
      <c r="B180" s="12"/>
      <c r="C180" s="12"/>
      <c r="D180" s="13"/>
      <c r="E180" s="13"/>
      <c r="F180" s="84"/>
    </row>
    <row r="181" spans="2:6" ht="15.75">
      <c r="B181" s="12"/>
      <c r="C181" s="12"/>
      <c r="D181" s="13"/>
      <c r="E181" s="13"/>
      <c r="F181" s="84"/>
    </row>
    <row r="182" spans="2:6" ht="15.75">
      <c r="B182" s="12"/>
      <c r="C182" s="12"/>
      <c r="D182" s="13"/>
      <c r="E182" s="13"/>
      <c r="F182" s="84"/>
    </row>
    <row r="183" spans="2:6" ht="15.75">
      <c r="B183" s="12"/>
      <c r="C183" s="12"/>
      <c r="D183" s="13"/>
      <c r="E183" s="13"/>
      <c r="F183" s="84"/>
    </row>
    <row r="184" spans="2:6" ht="15.75">
      <c r="B184" s="12"/>
      <c r="C184" s="12"/>
      <c r="D184" s="13"/>
      <c r="E184" s="13"/>
      <c r="F184" s="84"/>
    </row>
    <row r="185" spans="2:6" ht="15.75">
      <c r="B185" s="12"/>
      <c r="C185" s="12"/>
      <c r="D185" s="13"/>
      <c r="E185" s="13"/>
      <c r="F185" s="84"/>
    </row>
    <row r="186" spans="2:6" ht="15.75">
      <c r="B186" s="12"/>
      <c r="C186" s="12"/>
      <c r="D186" s="13"/>
      <c r="E186" s="13"/>
      <c r="F186" s="84"/>
    </row>
    <row r="187" spans="2:6" ht="15.75">
      <c r="B187" s="12"/>
      <c r="C187" s="12"/>
      <c r="D187" s="13"/>
      <c r="E187" s="13"/>
      <c r="F187" s="84"/>
    </row>
    <row r="188" spans="2:6" ht="15.75">
      <c r="B188" s="12"/>
      <c r="C188" s="12"/>
      <c r="D188" s="13"/>
      <c r="E188" s="13"/>
      <c r="F188" s="84"/>
    </row>
    <row r="189" spans="2:6" ht="15.75">
      <c r="B189" s="12"/>
      <c r="C189" s="12"/>
      <c r="D189" s="13"/>
      <c r="E189" s="13"/>
      <c r="F189" s="84"/>
    </row>
    <row r="190" spans="2:6" ht="15.75">
      <c r="B190" s="12"/>
      <c r="C190" s="12"/>
      <c r="D190" s="13"/>
      <c r="E190" s="13"/>
      <c r="F190" s="84"/>
    </row>
    <row r="191" spans="2:6" ht="15.75">
      <c r="B191" s="12"/>
      <c r="C191" s="12"/>
      <c r="D191" s="13"/>
      <c r="E191" s="13"/>
      <c r="F191" s="84"/>
    </row>
    <row r="192" spans="2:6" ht="15.75">
      <c r="B192" s="12"/>
      <c r="C192" s="12"/>
      <c r="D192" s="13"/>
      <c r="E192" s="13"/>
      <c r="F192" s="84"/>
    </row>
    <row r="193" spans="2:6" ht="15.75">
      <c r="B193" s="12"/>
      <c r="C193" s="12"/>
      <c r="D193" s="13"/>
      <c r="E193" s="13"/>
      <c r="F193" s="84"/>
    </row>
    <row r="194" spans="2:6" ht="15.75">
      <c r="B194" s="12"/>
      <c r="C194" s="12"/>
      <c r="D194" s="13"/>
      <c r="E194" s="13"/>
      <c r="F194" s="84"/>
    </row>
    <row r="195" spans="2:6" ht="15.75">
      <c r="B195" s="12"/>
      <c r="C195" s="12"/>
      <c r="D195" s="12"/>
      <c r="E195" s="12"/>
      <c r="F195" s="25"/>
    </row>
    <row r="196" spans="2:6" ht="15.75">
      <c r="B196" s="12"/>
      <c r="C196" s="12"/>
      <c r="D196" s="12"/>
      <c r="E196" s="12"/>
      <c r="F196" s="25"/>
    </row>
    <row r="197" spans="2:6" ht="15.75">
      <c r="B197" s="12"/>
      <c r="C197" s="12"/>
      <c r="D197" s="12"/>
      <c r="E197" s="12"/>
      <c r="F197" s="25"/>
    </row>
    <row r="198" spans="2:6" ht="15.75">
      <c r="B198" s="12"/>
      <c r="C198" s="12"/>
      <c r="D198" s="12"/>
      <c r="E198" s="12"/>
      <c r="F198" s="25"/>
    </row>
    <row r="199" spans="2:6" ht="15.75">
      <c r="B199" s="12"/>
      <c r="C199" s="12"/>
      <c r="D199" s="12"/>
      <c r="E199" s="12"/>
      <c r="F199" s="25"/>
    </row>
    <row r="200" spans="2:6" ht="15.75">
      <c r="B200" s="12"/>
      <c r="C200" s="12"/>
      <c r="D200" s="12"/>
      <c r="E200" s="12"/>
      <c r="F200" s="25"/>
    </row>
    <row r="201" spans="2:6" ht="15.75">
      <c r="B201" s="12"/>
      <c r="C201" s="12"/>
      <c r="D201" s="12"/>
      <c r="E201" s="12"/>
      <c r="F201" s="25"/>
    </row>
    <row r="202" spans="2:6" ht="15.75">
      <c r="B202" s="12"/>
      <c r="C202" s="12"/>
      <c r="D202" s="12"/>
      <c r="E202" s="12"/>
      <c r="F202" s="25"/>
    </row>
    <row r="203" spans="2:6" ht="15.75">
      <c r="B203" s="12"/>
      <c r="C203" s="12"/>
      <c r="D203" s="12"/>
      <c r="E203" s="12"/>
      <c r="F203" s="25"/>
    </row>
    <row r="204" spans="2:6" ht="15.75">
      <c r="B204" s="12"/>
      <c r="C204" s="12"/>
      <c r="D204" s="12"/>
      <c r="E204" s="12"/>
      <c r="F204" s="25"/>
    </row>
    <row r="205" spans="2:6" ht="15.75">
      <c r="B205" s="12"/>
      <c r="C205" s="12"/>
      <c r="D205" s="12"/>
      <c r="E205" s="12"/>
      <c r="F205" s="25"/>
    </row>
    <row r="206" spans="2:6" ht="15.75">
      <c r="B206" s="12"/>
      <c r="C206" s="12"/>
      <c r="D206" s="12"/>
      <c r="E206" s="12"/>
      <c r="F206" s="25"/>
    </row>
    <row r="207" spans="2:6" ht="15.75">
      <c r="B207" s="12"/>
      <c r="C207" s="12"/>
      <c r="D207" s="12"/>
      <c r="E207" s="12"/>
      <c r="F207" s="25"/>
    </row>
    <row r="208" spans="2:6" ht="15.75">
      <c r="B208" s="12"/>
      <c r="C208" s="12"/>
      <c r="D208" s="12"/>
      <c r="E208" s="12"/>
      <c r="F208" s="25"/>
    </row>
    <row r="209" spans="2:6" ht="15.75">
      <c r="B209" s="12"/>
      <c r="C209" s="12"/>
      <c r="D209" s="12"/>
      <c r="E209" s="12"/>
      <c r="F209" s="25"/>
    </row>
    <row r="210" spans="2:6" ht="15.75">
      <c r="B210" s="12"/>
      <c r="C210" s="12"/>
      <c r="D210" s="12"/>
      <c r="E210" s="12"/>
      <c r="F210" s="25"/>
    </row>
    <row r="211" spans="2:6" ht="15.75">
      <c r="B211" s="12"/>
      <c r="C211" s="12"/>
      <c r="D211" s="12"/>
      <c r="E211" s="12"/>
      <c r="F211" s="25"/>
    </row>
    <row r="212" spans="2:6" ht="15.75">
      <c r="B212" s="12"/>
      <c r="C212" s="12"/>
      <c r="D212" s="12"/>
      <c r="E212" s="12"/>
      <c r="F212" s="25"/>
    </row>
    <row r="213" spans="2:6" ht="15.75">
      <c r="B213" s="12"/>
      <c r="C213" s="12"/>
      <c r="D213" s="12"/>
      <c r="E213" s="12"/>
      <c r="F213" s="25"/>
    </row>
    <row r="214" spans="2:6" ht="15.75">
      <c r="B214" s="12"/>
      <c r="C214" s="12"/>
      <c r="D214" s="12"/>
      <c r="E214" s="12"/>
      <c r="F214" s="25"/>
    </row>
    <row r="215" spans="2:6" ht="15.75">
      <c r="B215" s="12"/>
      <c r="C215" s="12"/>
      <c r="D215" s="12"/>
      <c r="E215" s="12"/>
      <c r="F215" s="25"/>
    </row>
    <row r="216" spans="2:6" ht="15.75">
      <c r="B216" s="12"/>
      <c r="C216" s="12"/>
      <c r="D216" s="12"/>
      <c r="E216" s="12"/>
      <c r="F216" s="25"/>
    </row>
    <row r="217" spans="2:6" ht="15.75">
      <c r="B217" s="12"/>
      <c r="C217" s="12"/>
      <c r="D217" s="12"/>
      <c r="E217" s="12"/>
      <c r="F217" s="25"/>
    </row>
    <row r="218" spans="2:6" ht="15.75">
      <c r="B218" s="12"/>
      <c r="C218" s="12"/>
      <c r="D218" s="12"/>
      <c r="E218" s="12"/>
      <c r="F218" s="25"/>
    </row>
    <row r="219" spans="2:6" ht="15.75">
      <c r="B219" s="12"/>
      <c r="C219" s="12"/>
      <c r="D219" s="12"/>
      <c r="E219" s="12"/>
      <c r="F219" s="25"/>
    </row>
    <row r="220" spans="2:6" ht="15.75">
      <c r="B220" s="12"/>
      <c r="C220" s="12"/>
      <c r="D220" s="12"/>
      <c r="E220" s="12"/>
      <c r="F220" s="25"/>
    </row>
    <row r="221" spans="2:6" ht="15.75">
      <c r="B221" s="12"/>
      <c r="C221" s="12"/>
      <c r="D221" s="12"/>
      <c r="E221" s="12"/>
      <c r="F221" s="25"/>
    </row>
    <row r="222" spans="2:6" ht="15.75">
      <c r="B222" s="12"/>
      <c r="C222" s="12"/>
      <c r="D222" s="12"/>
      <c r="E222" s="12"/>
      <c r="F222" s="25"/>
    </row>
    <row r="223" spans="2:6" ht="15.75">
      <c r="B223" s="12"/>
      <c r="C223" s="12"/>
      <c r="D223" s="12"/>
      <c r="E223" s="12"/>
      <c r="F223" s="25"/>
    </row>
    <row r="224" spans="2:6" ht="15.75">
      <c r="B224" s="12"/>
      <c r="C224" s="12"/>
      <c r="D224" s="12"/>
      <c r="E224" s="12"/>
      <c r="F224" s="25"/>
    </row>
    <row r="225" spans="2:6" ht="15.75">
      <c r="B225" s="12"/>
      <c r="C225" s="12"/>
      <c r="D225" s="12"/>
      <c r="E225" s="12"/>
      <c r="F225" s="25"/>
    </row>
    <row r="226" spans="2:6" ht="15.75">
      <c r="B226" s="12"/>
      <c r="C226" s="12"/>
      <c r="D226" s="12"/>
      <c r="E226" s="12"/>
      <c r="F226" s="25"/>
    </row>
    <row r="227" spans="2:6" ht="15.75">
      <c r="B227" s="12"/>
      <c r="C227" s="12"/>
      <c r="D227" s="12"/>
      <c r="E227" s="12"/>
      <c r="F227" s="25"/>
    </row>
    <row r="228" spans="2:6" ht="15.75">
      <c r="B228" s="12"/>
      <c r="C228" s="12"/>
      <c r="D228" s="12"/>
      <c r="E228" s="12"/>
      <c r="F228" s="25"/>
    </row>
    <row r="229" spans="2:6" ht="15.75">
      <c r="B229" s="12"/>
      <c r="C229" s="12"/>
      <c r="D229" s="12"/>
      <c r="E229" s="12"/>
      <c r="F229" s="25"/>
    </row>
    <row r="230" spans="2:6" ht="15.75">
      <c r="B230" s="12"/>
      <c r="C230" s="12"/>
      <c r="D230" s="12"/>
      <c r="E230" s="12"/>
      <c r="F230" s="25"/>
    </row>
    <row r="231" spans="2:6" ht="15.75">
      <c r="B231" s="12"/>
      <c r="C231" s="12"/>
      <c r="D231" s="12"/>
      <c r="E231" s="12"/>
      <c r="F231" s="25"/>
    </row>
    <row r="232" spans="2:6" ht="15.75">
      <c r="B232" s="12"/>
      <c r="C232" s="12"/>
      <c r="D232" s="12"/>
      <c r="E232" s="12"/>
      <c r="F232" s="25"/>
    </row>
    <row r="233" spans="2:6" ht="15.75">
      <c r="B233" s="12"/>
      <c r="C233" s="12"/>
      <c r="D233" s="12"/>
      <c r="E233" s="12"/>
      <c r="F233" s="25"/>
    </row>
    <row r="234" spans="2:6" ht="15.75">
      <c r="B234" s="12"/>
      <c r="C234" s="12"/>
      <c r="D234" s="12"/>
      <c r="E234" s="12"/>
      <c r="F234" s="25"/>
    </row>
    <row r="235" spans="2:6" ht="15.75">
      <c r="B235" s="12"/>
      <c r="C235" s="12"/>
      <c r="D235" s="12"/>
      <c r="E235" s="12"/>
      <c r="F235" s="25"/>
    </row>
    <row r="236" spans="2:6" ht="15.75">
      <c r="B236" s="12"/>
      <c r="C236" s="12"/>
      <c r="D236" s="12"/>
      <c r="E236" s="12"/>
      <c r="F236" s="25"/>
    </row>
    <row r="237" spans="2:6" ht="15.75">
      <c r="B237" s="12"/>
      <c r="C237" s="12"/>
      <c r="D237" s="12"/>
      <c r="E237" s="12"/>
      <c r="F237" s="25"/>
    </row>
    <row r="238" spans="2:6" ht="15.75">
      <c r="B238" s="12"/>
      <c r="C238" s="12"/>
      <c r="D238" s="12"/>
      <c r="E238" s="12"/>
      <c r="F238" s="25"/>
    </row>
    <row r="239" spans="2:6" ht="15.75">
      <c r="B239" s="12"/>
      <c r="C239" s="12"/>
      <c r="D239" s="12"/>
      <c r="E239" s="12"/>
      <c r="F239" s="25"/>
    </row>
    <row r="240" spans="2:6" ht="15.75">
      <c r="B240" s="12"/>
      <c r="C240" s="12"/>
      <c r="D240" s="12"/>
      <c r="E240" s="12"/>
      <c r="F240" s="25"/>
    </row>
    <row r="241" spans="2:6" ht="15.75">
      <c r="B241" s="12"/>
      <c r="C241" s="12"/>
      <c r="D241" s="12"/>
      <c r="E241" s="12"/>
      <c r="F241" s="25"/>
    </row>
    <row r="242" spans="2:6" ht="15.75">
      <c r="B242" s="12"/>
      <c r="C242" s="12"/>
      <c r="D242" s="12"/>
      <c r="E242" s="12"/>
      <c r="F242" s="25"/>
    </row>
    <row r="243" spans="2:6" ht="15.75">
      <c r="B243" s="12"/>
      <c r="C243" s="12"/>
      <c r="D243" s="12"/>
      <c r="E243" s="12"/>
      <c r="F243" s="25"/>
    </row>
    <row r="244" spans="2:6" ht="15.75">
      <c r="B244" s="12"/>
      <c r="C244" s="12"/>
      <c r="D244" s="12"/>
      <c r="E244" s="12"/>
      <c r="F244" s="25"/>
    </row>
    <row r="245" spans="2:6" ht="15.75">
      <c r="B245" s="12"/>
      <c r="C245" s="12"/>
      <c r="D245" s="12"/>
      <c r="E245" s="12"/>
      <c r="F245" s="25"/>
    </row>
    <row r="246" spans="2:6" ht="15.75">
      <c r="B246" s="12"/>
      <c r="C246" s="12"/>
      <c r="D246" s="12"/>
      <c r="E246" s="12"/>
      <c r="F246" s="25"/>
    </row>
    <row r="247" spans="2:6" ht="15.75">
      <c r="B247" s="12"/>
      <c r="C247" s="12"/>
      <c r="D247" s="12"/>
      <c r="E247" s="12"/>
      <c r="F247" s="25"/>
    </row>
    <row r="248" spans="2:6" ht="15.75">
      <c r="B248" s="12"/>
      <c r="C248" s="12"/>
      <c r="D248" s="12"/>
      <c r="E248" s="12"/>
      <c r="F248" s="25"/>
    </row>
    <row r="249" spans="2:6" ht="15.75">
      <c r="B249" s="12"/>
      <c r="C249" s="12"/>
      <c r="D249" s="12"/>
      <c r="E249" s="12"/>
      <c r="F249" s="25"/>
    </row>
    <row r="250" spans="2:6" ht="15.75">
      <c r="B250" s="12"/>
      <c r="C250" s="12"/>
      <c r="D250" s="12"/>
      <c r="E250" s="12"/>
      <c r="F250" s="25"/>
    </row>
    <row r="251" spans="2:6" ht="15.75">
      <c r="B251" s="12"/>
      <c r="C251" s="12"/>
      <c r="D251" s="12"/>
      <c r="E251" s="12"/>
      <c r="F251" s="25"/>
    </row>
    <row r="252" spans="2:6" ht="15.75">
      <c r="B252" s="12"/>
      <c r="C252" s="12"/>
      <c r="D252" s="12"/>
      <c r="E252" s="12"/>
      <c r="F252" s="25"/>
    </row>
    <row r="253" spans="2:6" ht="15.75">
      <c r="B253" s="12"/>
      <c r="C253" s="12"/>
      <c r="D253" s="12"/>
      <c r="E253" s="12"/>
      <c r="F253" s="25"/>
    </row>
    <row r="254" spans="2:6" ht="15.75">
      <c r="B254" s="12"/>
      <c r="C254" s="12"/>
      <c r="D254" s="12"/>
      <c r="E254" s="12"/>
      <c r="F254" s="25"/>
    </row>
    <row r="255" spans="2:6" ht="15.75">
      <c r="B255" s="12"/>
      <c r="C255" s="12"/>
      <c r="D255" s="12"/>
      <c r="E255" s="12"/>
      <c r="F255" s="25"/>
    </row>
    <row r="256" spans="2:6" ht="15.75">
      <c r="B256" s="12"/>
      <c r="C256" s="12"/>
      <c r="D256" s="12"/>
      <c r="E256" s="12"/>
      <c r="F256" s="25"/>
    </row>
    <row r="257" spans="2:6" ht="15.75">
      <c r="B257" s="12"/>
      <c r="C257" s="12"/>
      <c r="D257" s="12"/>
      <c r="E257" s="12"/>
      <c r="F257" s="25"/>
    </row>
    <row r="258" spans="2:6" ht="15.75">
      <c r="B258" s="12"/>
      <c r="C258" s="12"/>
      <c r="D258" s="12"/>
      <c r="E258" s="12"/>
      <c r="F258" s="25"/>
    </row>
    <row r="259" spans="2:6" ht="15.75">
      <c r="B259" s="12"/>
      <c r="C259" s="12"/>
      <c r="D259" s="12"/>
      <c r="E259" s="12"/>
      <c r="F259" s="25"/>
    </row>
    <row r="260" spans="2:6" ht="15.75">
      <c r="B260" s="12"/>
      <c r="C260" s="12"/>
      <c r="D260" s="12"/>
      <c r="E260" s="12"/>
      <c r="F260" s="25"/>
    </row>
  </sheetData>
  <sheetProtection selectLockedCells="1" selectUnlockedCells="1"/>
  <mergeCells count="2">
    <mergeCell ref="D5:F5"/>
    <mergeCell ref="D66:F66"/>
  </mergeCells>
  <printOptions horizontalCentered="1"/>
  <pageMargins left="0.6097222222222223" right="0.39375" top="0.5902777777777778" bottom="0.5118055555555555" header="0.5118055555555555" footer="0.31527777777777777"/>
  <pageSetup horizontalDpi="300" verticalDpi="300" orientation="portrait" paperSize="9" scale="64" r:id="rId1"/>
  <headerFooter alignWithMargins="0">
    <oddFooter>&amp;R&amp;P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="75" zoomScaleSheetLayoutView="75" workbookViewId="0" topLeftCell="A1">
      <selection activeCell="G143" sqref="G143"/>
    </sheetView>
  </sheetViews>
  <sheetFormatPr defaultColWidth="9.140625" defaultRowHeight="15"/>
  <cols>
    <col min="1" max="1" width="10.7109375" style="28" customWidth="1"/>
    <col min="2" max="2" width="72.28125" style="28" customWidth="1"/>
    <col min="3" max="3" width="9.8515625" style="28" customWidth="1"/>
    <col min="4" max="5" width="10.8515625" style="28" customWidth="1"/>
    <col min="6" max="6" width="10.8515625" style="29" customWidth="1"/>
    <col min="7" max="16384" width="9.140625" style="28" customWidth="1"/>
  </cols>
  <sheetData>
    <row r="1" s="12" customFormat="1" ht="15.75">
      <c r="F1" s="30" t="s">
        <v>674</v>
      </c>
    </row>
    <row r="2" spans="2:6" s="12" customFormat="1" ht="20.25">
      <c r="B2" s="243" t="s">
        <v>82</v>
      </c>
      <c r="F2" s="14" t="s">
        <v>88</v>
      </c>
    </row>
    <row r="3" spans="2:6" s="12" customFormat="1" ht="15.75">
      <c r="B3" s="38" t="s">
        <v>664</v>
      </c>
      <c r="C3" s="34"/>
      <c r="D3" s="34"/>
      <c r="E3" s="34"/>
      <c r="F3" s="35"/>
    </row>
    <row r="4" spans="2:6" s="12" customFormat="1" ht="15.75">
      <c r="B4" s="36" t="s">
        <v>118</v>
      </c>
      <c r="C4" s="37"/>
      <c r="D4" s="37"/>
      <c r="E4" s="37"/>
      <c r="F4" s="38"/>
    </row>
    <row r="5" spans="2:6" ht="15.75" customHeight="1">
      <c r="B5" s="39"/>
      <c r="D5" s="404" t="s">
        <v>91</v>
      </c>
      <c r="E5" s="404"/>
      <c r="F5" s="404"/>
    </row>
    <row r="6" spans="2:6" ht="47.25">
      <c r="B6" s="17" t="s">
        <v>92</v>
      </c>
      <c r="C6" s="40" t="s">
        <v>119</v>
      </c>
      <c r="D6" s="41" t="s">
        <v>93</v>
      </c>
      <c r="E6" s="41" t="s">
        <v>94</v>
      </c>
      <c r="F6" s="169" t="s">
        <v>601</v>
      </c>
    </row>
    <row r="7" spans="2:6" ht="15.75">
      <c r="B7" s="43" t="s">
        <v>120</v>
      </c>
      <c r="C7" s="44" t="s">
        <v>121</v>
      </c>
      <c r="D7" s="22">
        <v>18979</v>
      </c>
      <c r="E7" s="22">
        <v>118117</v>
      </c>
      <c r="F7" s="23">
        <f>+D7+E7</f>
        <v>137096</v>
      </c>
    </row>
    <row r="8" spans="2:6" ht="15.75">
      <c r="B8" s="46" t="s">
        <v>122</v>
      </c>
      <c r="C8" s="44" t="s">
        <v>123</v>
      </c>
      <c r="D8" s="22"/>
      <c r="E8" s="22">
        <v>973</v>
      </c>
      <c r="F8" s="23">
        <f>+D8+E8</f>
        <v>973</v>
      </c>
    </row>
    <row r="9" spans="2:6" ht="15.75">
      <c r="B9" s="47" t="s">
        <v>124</v>
      </c>
      <c r="C9" s="48" t="s">
        <v>125</v>
      </c>
      <c r="D9" s="23">
        <f>SUM(D7:D8)</f>
        <v>18979</v>
      </c>
      <c r="E9" s="23">
        <f>SUM(E7:E8)</f>
        <v>119090</v>
      </c>
      <c r="F9" s="23">
        <f>SUM(F7:F8)</f>
        <v>138069</v>
      </c>
    </row>
    <row r="10" spans="2:6" ht="15.75">
      <c r="B10" s="49" t="s">
        <v>126</v>
      </c>
      <c r="C10" s="48" t="s">
        <v>127</v>
      </c>
      <c r="D10" s="22">
        <v>5118</v>
      </c>
      <c r="E10" s="22">
        <v>30981</v>
      </c>
      <c r="F10" s="23">
        <f aca="true" t="shared" si="0" ref="F10:F15">+D10+E10</f>
        <v>36099</v>
      </c>
    </row>
    <row r="11" spans="2:6" ht="15.75">
      <c r="B11" s="46" t="s">
        <v>128</v>
      </c>
      <c r="C11" s="44" t="s">
        <v>129</v>
      </c>
      <c r="D11" s="22">
        <v>200</v>
      </c>
      <c r="E11" s="22">
        <v>49963</v>
      </c>
      <c r="F11" s="23">
        <f t="shared" si="0"/>
        <v>50163</v>
      </c>
    </row>
    <row r="12" spans="2:6" ht="15.75">
      <c r="B12" s="46" t="s">
        <v>130</v>
      </c>
      <c r="C12" s="44" t="s">
        <v>131</v>
      </c>
      <c r="D12" s="22">
        <v>320</v>
      </c>
      <c r="E12" s="22">
        <v>5625</v>
      </c>
      <c r="F12" s="23">
        <f t="shared" si="0"/>
        <v>5945</v>
      </c>
    </row>
    <row r="13" spans="2:6" ht="15.75">
      <c r="B13" s="46" t="s">
        <v>132</v>
      </c>
      <c r="C13" s="44" t="s">
        <v>133</v>
      </c>
      <c r="D13" s="22">
        <v>2283</v>
      </c>
      <c r="E13" s="22">
        <v>128389</v>
      </c>
      <c r="F13" s="23">
        <f t="shared" si="0"/>
        <v>130672</v>
      </c>
    </row>
    <row r="14" spans="2:6" ht="15.75">
      <c r="B14" s="46" t="s">
        <v>134</v>
      </c>
      <c r="C14" s="44" t="s">
        <v>135</v>
      </c>
      <c r="D14" s="22">
        <v>200</v>
      </c>
      <c r="E14" s="22">
        <v>500</v>
      </c>
      <c r="F14" s="23">
        <f t="shared" si="0"/>
        <v>700</v>
      </c>
    </row>
    <row r="15" spans="2:6" ht="15.75">
      <c r="B15" s="46" t="s">
        <v>136</v>
      </c>
      <c r="C15" s="44" t="s">
        <v>137</v>
      </c>
      <c r="D15" s="22">
        <v>400</v>
      </c>
      <c r="E15" s="22">
        <v>21241</v>
      </c>
      <c r="F15" s="23">
        <f t="shared" si="0"/>
        <v>21641</v>
      </c>
    </row>
    <row r="16" spans="2:6" ht="15.75">
      <c r="B16" s="49" t="s">
        <v>138</v>
      </c>
      <c r="C16" s="48" t="s">
        <v>139</v>
      </c>
      <c r="D16" s="23">
        <f>SUM(D11:D15)</f>
        <v>3403</v>
      </c>
      <c r="E16" s="23">
        <f>SUM(E11:E15)</f>
        <v>205718</v>
      </c>
      <c r="F16" s="23">
        <f>SUM(F11:F15)</f>
        <v>209121</v>
      </c>
    </row>
    <row r="17" spans="2:6" ht="15.75">
      <c r="B17" s="50" t="s">
        <v>140</v>
      </c>
      <c r="C17" s="48" t="s">
        <v>141</v>
      </c>
      <c r="D17" s="22"/>
      <c r="E17" s="22"/>
      <c r="F17" s="23">
        <f aca="true" t="shared" si="1" ref="F17:F31">+D17+E17</f>
        <v>0</v>
      </c>
    </row>
    <row r="18" spans="2:6" ht="15.75">
      <c r="B18" s="51" t="s">
        <v>142</v>
      </c>
      <c r="C18" s="44" t="s">
        <v>143</v>
      </c>
      <c r="D18" s="22"/>
      <c r="E18" s="22"/>
      <c r="F18" s="23">
        <f t="shared" si="1"/>
        <v>0</v>
      </c>
    </row>
    <row r="19" spans="2:6" ht="15.75">
      <c r="B19" s="51" t="s">
        <v>144</v>
      </c>
      <c r="C19" s="44" t="s">
        <v>145</v>
      </c>
      <c r="D19" s="22"/>
      <c r="E19" s="22"/>
      <c r="F19" s="23">
        <f t="shared" si="1"/>
        <v>0</v>
      </c>
    </row>
    <row r="20" spans="2:6" ht="15.75">
      <c r="B20" s="51" t="s">
        <v>146</v>
      </c>
      <c r="C20" s="44" t="s">
        <v>147</v>
      </c>
      <c r="D20" s="22"/>
      <c r="E20" s="22"/>
      <c r="F20" s="23">
        <f t="shared" si="1"/>
        <v>0</v>
      </c>
    </row>
    <row r="21" spans="2:6" ht="15.75">
      <c r="B21" s="51" t="s">
        <v>148</v>
      </c>
      <c r="C21" s="44" t="s">
        <v>149</v>
      </c>
      <c r="D21" s="22"/>
      <c r="E21" s="22"/>
      <c r="F21" s="23">
        <f t="shared" si="1"/>
        <v>0</v>
      </c>
    </row>
    <row r="22" spans="2:6" ht="15.75">
      <c r="B22" s="51" t="s">
        <v>150</v>
      </c>
      <c r="C22" s="44" t="s">
        <v>151</v>
      </c>
      <c r="D22" s="22"/>
      <c r="E22" s="22"/>
      <c r="F22" s="23">
        <f t="shared" si="1"/>
        <v>0</v>
      </c>
    </row>
    <row r="23" spans="2:6" ht="15.75">
      <c r="B23" s="51" t="s">
        <v>152</v>
      </c>
      <c r="C23" s="44" t="s">
        <v>153</v>
      </c>
      <c r="D23" s="22"/>
      <c r="E23" s="22"/>
      <c r="F23" s="23">
        <f t="shared" si="1"/>
        <v>0</v>
      </c>
    </row>
    <row r="24" spans="2:6" ht="15.75">
      <c r="B24" s="51" t="s">
        <v>154</v>
      </c>
      <c r="C24" s="44" t="s">
        <v>155</v>
      </c>
      <c r="D24" s="22"/>
      <c r="E24" s="22"/>
      <c r="F24" s="23">
        <f t="shared" si="1"/>
        <v>0</v>
      </c>
    </row>
    <row r="25" spans="2:6" ht="15.75">
      <c r="B25" s="51" t="s">
        <v>156</v>
      </c>
      <c r="C25" s="44" t="s">
        <v>157</v>
      </c>
      <c r="D25" s="22"/>
      <c r="E25" s="22"/>
      <c r="F25" s="23">
        <f t="shared" si="1"/>
        <v>0</v>
      </c>
    </row>
    <row r="26" spans="2:6" ht="15.75">
      <c r="B26" s="51" t="s">
        <v>158</v>
      </c>
      <c r="C26" s="44" t="s">
        <v>159</v>
      </c>
      <c r="D26" s="22"/>
      <c r="E26" s="22"/>
      <c r="F26" s="23">
        <f t="shared" si="1"/>
        <v>0</v>
      </c>
    </row>
    <row r="27" spans="2:6" ht="15.75">
      <c r="B27" s="52" t="s">
        <v>160</v>
      </c>
      <c r="C27" s="44" t="s">
        <v>161</v>
      </c>
      <c r="D27" s="22"/>
      <c r="E27" s="22"/>
      <c r="F27" s="23">
        <f t="shared" si="1"/>
        <v>0</v>
      </c>
    </row>
    <row r="28" spans="2:6" ht="15.75">
      <c r="B28" s="52" t="s">
        <v>665</v>
      </c>
      <c r="C28" s="44" t="s">
        <v>163</v>
      </c>
      <c r="D28" s="22"/>
      <c r="E28" s="22"/>
      <c r="F28" s="23">
        <f t="shared" si="1"/>
        <v>0</v>
      </c>
    </row>
    <row r="29" spans="2:6" ht="15.75">
      <c r="B29" s="51" t="s">
        <v>164</v>
      </c>
      <c r="C29" s="44" t="s">
        <v>165</v>
      </c>
      <c r="D29" s="22"/>
      <c r="E29" s="22"/>
      <c r="F29" s="23">
        <f t="shared" si="1"/>
        <v>0</v>
      </c>
    </row>
    <row r="30" spans="2:6" ht="15.75">
      <c r="B30" s="52" t="s">
        <v>166</v>
      </c>
      <c r="C30" s="44" t="s">
        <v>167</v>
      </c>
      <c r="D30" s="22"/>
      <c r="E30" s="22"/>
      <c r="F30" s="23">
        <f t="shared" si="1"/>
        <v>0</v>
      </c>
    </row>
    <row r="31" spans="2:6" ht="15.75">
      <c r="B31" s="52" t="s">
        <v>168</v>
      </c>
      <c r="C31" s="44" t="s">
        <v>167</v>
      </c>
      <c r="D31" s="22"/>
      <c r="E31" s="22"/>
      <c r="F31" s="23">
        <f t="shared" si="1"/>
        <v>0</v>
      </c>
    </row>
    <row r="32" spans="2:6" s="29" customFormat="1" ht="15.75">
      <c r="B32" s="50" t="s">
        <v>169</v>
      </c>
      <c r="C32" s="48" t="s">
        <v>170</v>
      </c>
      <c r="D32" s="23">
        <f>SUM(D18:D31)</f>
        <v>0</v>
      </c>
      <c r="E32" s="23">
        <f>SUM(E18:E31)</f>
        <v>0</v>
      </c>
      <c r="F32" s="23">
        <f>SUM(F18:F31)</f>
        <v>0</v>
      </c>
    </row>
    <row r="33" spans="2:6" ht="15.75">
      <c r="B33" s="53" t="s">
        <v>171</v>
      </c>
      <c r="C33" s="54" t="s">
        <v>172</v>
      </c>
      <c r="D33" s="55">
        <f>+D32+D17+D16+D10+D9</f>
        <v>27500</v>
      </c>
      <c r="E33" s="55">
        <f>+E32+E17+E16+E10+E9</f>
        <v>355789</v>
      </c>
      <c r="F33" s="55">
        <f>+F32+F17+F16+F10+F9</f>
        <v>383289</v>
      </c>
    </row>
    <row r="34" spans="2:6" ht="15.75">
      <c r="B34" s="56" t="s">
        <v>173</v>
      </c>
      <c r="C34" s="44" t="s">
        <v>174</v>
      </c>
      <c r="D34" s="22"/>
      <c r="E34" s="22"/>
      <c r="F34" s="23">
        <f aca="true" t="shared" si="2" ref="F34:F40">+D34+E34</f>
        <v>0</v>
      </c>
    </row>
    <row r="35" spans="2:6" ht="15.75">
      <c r="B35" s="56" t="s">
        <v>175</v>
      </c>
      <c r="C35" s="44" t="s">
        <v>176</v>
      </c>
      <c r="D35" s="22"/>
      <c r="E35" s="22"/>
      <c r="F35" s="23">
        <f t="shared" si="2"/>
        <v>0</v>
      </c>
    </row>
    <row r="36" spans="2:6" ht="15.75">
      <c r="B36" s="56" t="s">
        <v>177</v>
      </c>
      <c r="C36" s="44" t="s">
        <v>178</v>
      </c>
      <c r="D36" s="22"/>
      <c r="E36" s="22"/>
      <c r="F36" s="23">
        <f t="shared" si="2"/>
        <v>0</v>
      </c>
    </row>
    <row r="37" spans="2:6" ht="15.75">
      <c r="B37" s="56" t="s">
        <v>179</v>
      </c>
      <c r="C37" s="44" t="s">
        <v>180</v>
      </c>
      <c r="D37" s="22"/>
      <c r="E37" s="22">
        <v>8110</v>
      </c>
      <c r="F37" s="23">
        <f t="shared" si="2"/>
        <v>8110</v>
      </c>
    </row>
    <row r="38" spans="2:6" ht="15.75">
      <c r="B38" s="57" t="s">
        <v>181</v>
      </c>
      <c r="C38" s="44" t="s">
        <v>182</v>
      </c>
      <c r="D38" s="22"/>
      <c r="E38" s="22"/>
      <c r="F38" s="23">
        <f t="shared" si="2"/>
        <v>0</v>
      </c>
    </row>
    <row r="39" spans="2:6" ht="15.75">
      <c r="B39" s="57" t="s">
        <v>183</v>
      </c>
      <c r="C39" s="44" t="s">
        <v>184</v>
      </c>
      <c r="D39" s="22"/>
      <c r="E39" s="22"/>
      <c r="F39" s="23">
        <f t="shared" si="2"/>
        <v>0</v>
      </c>
    </row>
    <row r="40" spans="2:6" ht="15.75">
      <c r="B40" s="57" t="s">
        <v>185</v>
      </c>
      <c r="C40" s="44" t="s">
        <v>186</v>
      </c>
      <c r="D40" s="22"/>
      <c r="E40" s="22">
        <v>2190</v>
      </c>
      <c r="F40" s="23">
        <f t="shared" si="2"/>
        <v>2190</v>
      </c>
    </row>
    <row r="41" spans="2:6" s="29" customFormat="1" ht="15.75">
      <c r="B41" s="58" t="s">
        <v>187</v>
      </c>
      <c r="C41" s="48" t="s">
        <v>188</v>
      </c>
      <c r="D41" s="23">
        <f>SUM(D34:D40)</f>
        <v>0</v>
      </c>
      <c r="E41" s="23">
        <f>SUM(E34:E40)</f>
        <v>10300</v>
      </c>
      <c r="F41" s="23">
        <f>SUM(F34:F40)</f>
        <v>10300</v>
      </c>
    </row>
    <row r="42" spans="2:6" ht="15.75">
      <c r="B42" s="59" t="s">
        <v>189</v>
      </c>
      <c r="C42" s="44" t="s">
        <v>190</v>
      </c>
      <c r="D42" s="22"/>
      <c r="E42" s="22"/>
      <c r="F42" s="23">
        <f>+D42+E42</f>
        <v>0</v>
      </c>
    </row>
    <row r="43" spans="2:6" ht="15.75">
      <c r="B43" s="59" t="s">
        <v>191</v>
      </c>
      <c r="C43" s="44" t="s">
        <v>192</v>
      </c>
      <c r="D43" s="22"/>
      <c r="E43" s="22"/>
      <c r="F43" s="23">
        <f>+D43+E43</f>
        <v>0</v>
      </c>
    </row>
    <row r="44" spans="2:6" ht="15.75">
      <c r="B44" s="59" t="s">
        <v>193</v>
      </c>
      <c r="C44" s="44" t="s">
        <v>194</v>
      </c>
      <c r="D44" s="22"/>
      <c r="E44" s="22"/>
      <c r="F44" s="23">
        <f>+D44+E44</f>
        <v>0</v>
      </c>
    </row>
    <row r="45" spans="2:6" ht="15.75">
      <c r="B45" s="59" t="s">
        <v>195</v>
      </c>
      <c r="C45" s="44" t="s">
        <v>196</v>
      </c>
      <c r="D45" s="22"/>
      <c r="E45" s="22"/>
      <c r="F45" s="23">
        <f>+D45+E45</f>
        <v>0</v>
      </c>
    </row>
    <row r="46" spans="2:6" s="29" customFormat="1" ht="15.75">
      <c r="B46" s="49" t="s">
        <v>197</v>
      </c>
      <c r="C46" s="48" t="s">
        <v>198</v>
      </c>
      <c r="D46" s="23">
        <f>SUM(D42:D45)</f>
        <v>0</v>
      </c>
      <c r="E46" s="23">
        <f>SUM(E42:E45)</f>
        <v>0</v>
      </c>
      <c r="F46" s="23">
        <f>SUM(F42:F45)</f>
        <v>0</v>
      </c>
    </row>
    <row r="47" spans="2:6" ht="31.5">
      <c r="B47" s="59" t="s">
        <v>199</v>
      </c>
      <c r="C47" s="44" t="s">
        <v>200</v>
      </c>
      <c r="D47" s="22"/>
      <c r="E47" s="22"/>
      <c r="F47" s="23">
        <f aca="true" t="shared" si="3" ref="F47:F55">+D47+E47</f>
        <v>0</v>
      </c>
    </row>
    <row r="48" spans="2:6" ht="15.75">
      <c r="B48" s="59" t="s">
        <v>201</v>
      </c>
      <c r="C48" s="44" t="s">
        <v>202</v>
      </c>
      <c r="D48" s="22"/>
      <c r="E48" s="22"/>
      <c r="F48" s="23">
        <f t="shared" si="3"/>
        <v>0</v>
      </c>
    </row>
    <row r="49" spans="2:6" ht="31.5">
      <c r="B49" s="59" t="s">
        <v>203</v>
      </c>
      <c r="C49" s="44" t="s">
        <v>204</v>
      </c>
      <c r="D49" s="22"/>
      <c r="E49" s="22"/>
      <c r="F49" s="23">
        <f t="shared" si="3"/>
        <v>0</v>
      </c>
    </row>
    <row r="50" spans="2:6" ht="15.75">
      <c r="B50" s="59" t="s">
        <v>205</v>
      </c>
      <c r="C50" s="44" t="s">
        <v>206</v>
      </c>
      <c r="D50" s="22"/>
      <c r="E50" s="22"/>
      <c r="F50" s="23">
        <f t="shared" si="3"/>
        <v>0</v>
      </c>
    </row>
    <row r="51" spans="2:6" ht="31.5">
      <c r="B51" s="59" t="s">
        <v>207</v>
      </c>
      <c r="C51" s="44" t="s">
        <v>208</v>
      </c>
      <c r="D51" s="22"/>
      <c r="E51" s="22"/>
      <c r="F51" s="23">
        <f t="shared" si="3"/>
        <v>0</v>
      </c>
    </row>
    <row r="52" spans="2:6" ht="15.75">
      <c r="B52" s="59" t="s">
        <v>209</v>
      </c>
      <c r="C52" s="44" t="s">
        <v>210</v>
      </c>
      <c r="D52" s="22"/>
      <c r="E52" s="22"/>
      <c r="F52" s="23">
        <f t="shared" si="3"/>
        <v>0</v>
      </c>
    </row>
    <row r="53" spans="2:6" ht="15.75">
      <c r="B53" s="59" t="s">
        <v>211</v>
      </c>
      <c r="C53" s="44" t="s">
        <v>212</v>
      </c>
      <c r="D53" s="22"/>
      <c r="E53" s="22"/>
      <c r="F53" s="23">
        <f t="shared" si="3"/>
        <v>0</v>
      </c>
    </row>
    <row r="54" spans="2:6" ht="15.75">
      <c r="B54" s="52" t="s">
        <v>666</v>
      </c>
      <c r="C54" s="44" t="s">
        <v>214</v>
      </c>
      <c r="D54" s="22"/>
      <c r="E54" s="22"/>
      <c r="F54" s="23">
        <f t="shared" si="3"/>
        <v>0</v>
      </c>
    </row>
    <row r="55" spans="2:6" ht="15.75">
      <c r="B55" s="59" t="s">
        <v>215</v>
      </c>
      <c r="C55" s="44" t="s">
        <v>216</v>
      </c>
      <c r="D55" s="22"/>
      <c r="E55" s="22"/>
      <c r="F55" s="23">
        <f t="shared" si="3"/>
        <v>0</v>
      </c>
    </row>
    <row r="56" spans="2:6" s="29" customFormat="1" ht="15.75">
      <c r="B56" s="50" t="s">
        <v>217</v>
      </c>
      <c r="C56" s="48" t="s">
        <v>218</v>
      </c>
      <c r="D56" s="23">
        <f>SUM(D47:D55)</f>
        <v>0</v>
      </c>
      <c r="E56" s="23">
        <f>SUM(E47:E55)</f>
        <v>0</v>
      </c>
      <c r="F56" s="23">
        <f>SUM(F47:F55)</f>
        <v>0</v>
      </c>
    </row>
    <row r="57" spans="2:6" ht="15.75">
      <c r="B57" s="53" t="s">
        <v>219</v>
      </c>
      <c r="C57" s="54" t="s">
        <v>220</v>
      </c>
      <c r="D57" s="55">
        <f>+D56+D46+D41</f>
        <v>0</v>
      </c>
      <c r="E57" s="55">
        <f>+E56+E46+E41</f>
        <v>10300</v>
      </c>
      <c r="F57" s="55">
        <f>+F56+F46+F41</f>
        <v>10300</v>
      </c>
    </row>
    <row r="58" spans="2:6" ht="15.75">
      <c r="B58" s="60" t="s">
        <v>221</v>
      </c>
      <c r="C58" s="61" t="s">
        <v>222</v>
      </c>
      <c r="D58" s="62">
        <f>+D56+D46+D41+D32+D17+D16+D10+D9</f>
        <v>27500</v>
      </c>
      <c r="E58" s="62">
        <f>+E56+E46+E41+E32+E17+E16+E10+E9</f>
        <v>366089</v>
      </c>
      <c r="F58" s="62">
        <f>+F56+F46+F41+F32+F17+F16+F10+F9</f>
        <v>393589</v>
      </c>
    </row>
    <row r="59" spans="2:22" ht="15.75">
      <c r="B59" s="67" t="s">
        <v>654</v>
      </c>
      <c r="C59" s="46" t="s">
        <v>248</v>
      </c>
      <c r="D59" s="244"/>
      <c r="E59" s="244"/>
      <c r="F59" s="22">
        <f>+D59+E59</f>
        <v>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/>
      <c r="V59" s="64"/>
    </row>
    <row r="60" spans="2:22" ht="15.75">
      <c r="B60" s="67" t="s">
        <v>249</v>
      </c>
      <c r="C60" s="46" t="s">
        <v>250</v>
      </c>
      <c r="D60" s="244"/>
      <c r="E60" s="244"/>
      <c r="F60" s="22">
        <f>+D60+E60</f>
        <v>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/>
      <c r="V60" s="64"/>
    </row>
    <row r="61" spans="2:22" ht="15.75">
      <c r="B61" s="59" t="s">
        <v>251</v>
      </c>
      <c r="C61" s="46" t="s">
        <v>252</v>
      </c>
      <c r="D61" s="244"/>
      <c r="E61" s="244"/>
      <c r="F61" s="22">
        <f>+D61+E61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4"/>
    </row>
    <row r="62" spans="2:22" ht="15.75">
      <c r="B62" s="59" t="s">
        <v>253</v>
      </c>
      <c r="C62" s="46" t="s">
        <v>254</v>
      </c>
      <c r="D62" s="244"/>
      <c r="E62" s="244"/>
      <c r="F62" s="22">
        <f>+D62+E62</f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4"/>
    </row>
    <row r="63" spans="2:22" ht="15.75">
      <c r="B63" s="72" t="s">
        <v>255</v>
      </c>
      <c r="C63" s="73" t="s">
        <v>256</v>
      </c>
      <c r="D63" s="74">
        <f>+D61+D60+D59+D62</f>
        <v>0</v>
      </c>
      <c r="E63" s="74">
        <f>+E61+E60+E59+E62</f>
        <v>0</v>
      </c>
      <c r="F63" s="74">
        <f>+F61+F60+F59+F62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4"/>
      <c r="V63" s="64"/>
    </row>
    <row r="64" spans="2:22" ht="15.75">
      <c r="B64" s="26" t="s">
        <v>257</v>
      </c>
      <c r="C64" s="26" t="s">
        <v>258</v>
      </c>
      <c r="D64" s="27">
        <f>+D58+D63</f>
        <v>27500</v>
      </c>
      <c r="E64" s="27">
        <f>+E58+E63</f>
        <v>366089</v>
      </c>
      <c r="F64" s="27">
        <f>+F58+F63</f>
        <v>393589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.75">
      <c r="B65" s="12"/>
      <c r="C65" s="75"/>
      <c r="D65" s="76"/>
      <c r="E65" s="76"/>
      <c r="F65" s="7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.75" customHeight="1" hidden="1">
      <c r="B66" s="12"/>
      <c r="C66" s="75"/>
      <c r="D66" s="404" t="s">
        <v>259</v>
      </c>
      <c r="E66" s="404"/>
      <c r="F66" s="40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47.25">
      <c r="B67" s="17" t="s">
        <v>92</v>
      </c>
      <c r="C67" s="40" t="s">
        <v>260</v>
      </c>
      <c r="D67" s="41" t="s">
        <v>93</v>
      </c>
      <c r="E67" s="41" t="s">
        <v>94</v>
      </c>
      <c r="F67" s="169" t="s">
        <v>601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.75">
      <c r="B68" s="49" t="s">
        <v>655</v>
      </c>
      <c r="C68" s="58" t="s">
        <v>274</v>
      </c>
      <c r="D68" s="23"/>
      <c r="E68" s="23"/>
      <c r="F68" s="23">
        <f aca="true" t="shared" si="4" ref="F68:F73">+E68+D68</f>
        <v>0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.75">
      <c r="B69" s="46" t="s">
        <v>275</v>
      </c>
      <c r="C69" s="57" t="s">
        <v>276</v>
      </c>
      <c r="D69" s="23"/>
      <c r="E69" s="23"/>
      <c r="F69" s="23">
        <f t="shared" si="4"/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31.5">
      <c r="B70" s="46" t="s">
        <v>277</v>
      </c>
      <c r="C70" s="57" t="s">
        <v>278</v>
      </c>
      <c r="D70" s="23"/>
      <c r="E70" s="23"/>
      <c r="F70" s="23">
        <f t="shared" si="4"/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31.5">
      <c r="B71" s="46" t="s">
        <v>279</v>
      </c>
      <c r="C71" s="57" t="s">
        <v>280</v>
      </c>
      <c r="D71" s="23"/>
      <c r="E71" s="23"/>
      <c r="F71" s="23">
        <f t="shared" si="4"/>
        <v>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31.5">
      <c r="B72" s="46" t="s">
        <v>281</v>
      </c>
      <c r="C72" s="57" t="s">
        <v>282</v>
      </c>
      <c r="D72" s="23"/>
      <c r="E72" s="23"/>
      <c r="F72" s="23">
        <f t="shared" si="4"/>
        <v>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.75">
      <c r="B73" s="46" t="s">
        <v>283</v>
      </c>
      <c r="C73" s="57" t="s">
        <v>284</v>
      </c>
      <c r="D73" s="22">
        <v>27500</v>
      </c>
      <c r="E73" s="22">
        <v>333223</v>
      </c>
      <c r="F73" s="23">
        <f t="shared" si="4"/>
        <v>360723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.75">
      <c r="B74" s="49" t="s">
        <v>285</v>
      </c>
      <c r="C74" s="58" t="s">
        <v>286</v>
      </c>
      <c r="D74" s="23">
        <f>+D73+D72+D71+D70+D69+D68</f>
        <v>27500</v>
      </c>
      <c r="E74" s="23">
        <f>+E73+E72+E71+E70+E69+E68</f>
        <v>333223</v>
      </c>
      <c r="F74" s="23">
        <f>+F73+F72+F71+F70+F69+F68</f>
        <v>360723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.75">
      <c r="B75" s="49" t="s">
        <v>287</v>
      </c>
      <c r="C75" s="58" t="s">
        <v>288</v>
      </c>
      <c r="D75" s="22"/>
      <c r="E75" s="22"/>
      <c r="F75" s="23">
        <f aca="true" t="shared" si="5" ref="F75:F81">+E75+D75</f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.75" hidden="1">
      <c r="B76" s="46" t="s">
        <v>289</v>
      </c>
      <c r="C76" s="57" t="s">
        <v>290</v>
      </c>
      <c r="D76" s="22"/>
      <c r="E76" s="22"/>
      <c r="F76" s="23">
        <f t="shared" si="5"/>
        <v>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.75" hidden="1">
      <c r="B77" s="46" t="s">
        <v>291</v>
      </c>
      <c r="C77" s="57" t="s">
        <v>292</v>
      </c>
      <c r="D77" s="22"/>
      <c r="E77" s="22"/>
      <c r="F77" s="23">
        <f t="shared" si="5"/>
        <v>0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.75" hidden="1">
      <c r="B78" s="46" t="s">
        <v>293</v>
      </c>
      <c r="C78" s="57" t="s">
        <v>294</v>
      </c>
      <c r="D78" s="22"/>
      <c r="E78" s="22"/>
      <c r="F78" s="23">
        <f t="shared" si="5"/>
        <v>0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.75" hidden="1">
      <c r="B79" s="46" t="s">
        <v>295</v>
      </c>
      <c r="C79" s="57" t="s">
        <v>296</v>
      </c>
      <c r="D79" s="22"/>
      <c r="E79" s="22"/>
      <c r="F79" s="23">
        <f t="shared" si="5"/>
        <v>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.75" hidden="1">
      <c r="B80" s="46" t="s">
        <v>297</v>
      </c>
      <c r="C80" s="57" t="s">
        <v>298</v>
      </c>
      <c r="D80" s="22"/>
      <c r="E80" s="22"/>
      <c r="F80" s="23">
        <f t="shared" si="5"/>
        <v>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.75" hidden="1">
      <c r="B81" s="46" t="s">
        <v>299</v>
      </c>
      <c r="C81" s="57" t="s">
        <v>300</v>
      </c>
      <c r="D81" s="22"/>
      <c r="E81" s="22"/>
      <c r="F81" s="23">
        <f t="shared" si="5"/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.75">
      <c r="B82" s="49" t="s">
        <v>301</v>
      </c>
      <c r="C82" s="58" t="s">
        <v>302</v>
      </c>
      <c r="D82" s="23">
        <f>SUM(D76:D81)</f>
        <v>0</v>
      </c>
      <c r="E82" s="23">
        <f>SUM(E76:E81)</f>
        <v>0</v>
      </c>
      <c r="F82" s="23">
        <f>SUM(F76:F81)</f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.75">
      <c r="B83" s="59" t="s">
        <v>656</v>
      </c>
      <c r="C83" s="57" t="s">
        <v>304</v>
      </c>
      <c r="D83" s="22"/>
      <c r="E83" s="22">
        <v>200</v>
      </c>
      <c r="F83" s="23">
        <f aca="true" t="shared" si="6" ref="F83:F93">+E83+D83</f>
        <v>200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.75">
      <c r="B84" s="59" t="s">
        <v>305</v>
      </c>
      <c r="C84" s="57" t="s">
        <v>306</v>
      </c>
      <c r="D84" s="22"/>
      <c r="E84" s="22">
        <v>32216</v>
      </c>
      <c r="F84" s="23">
        <f t="shared" si="6"/>
        <v>32216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.75">
      <c r="B85" s="59" t="s">
        <v>307</v>
      </c>
      <c r="C85" s="57" t="s">
        <v>308</v>
      </c>
      <c r="D85" s="22"/>
      <c r="E85" s="22">
        <v>400</v>
      </c>
      <c r="F85" s="23">
        <f t="shared" si="6"/>
        <v>400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.75">
      <c r="B86" s="59" t="s">
        <v>309</v>
      </c>
      <c r="C86" s="57" t="s">
        <v>310</v>
      </c>
      <c r="D86" s="22"/>
      <c r="E86" s="22"/>
      <c r="F86" s="23">
        <f t="shared" si="6"/>
        <v>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.75">
      <c r="B87" s="59" t="s">
        <v>311</v>
      </c>
      <c r="C87" s="57" t="s">
        <v>312</v>
      </c>
      <c r="D87" s="22"/>
      <c r="E87" s="22"/>
      <c r="F87" s="23">
        <f t="shared" si="6"/>
        <v>0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.75">
      <c r="B88" s="59" t="s">
        <v>313</v>
      </c>
      <c r="C88" s="57" t="s">
        <v>314</v>
      </c>
      <c r="D88" s="22"/>
      <c r="E88" s="22"/>
      <c r="F88" s="23">
        <f t="shared" si="6"/>
        <v>0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.75">
      <c r="B89" s="59" t="s">
        <v>315</v>
      </c>
      <c r="C89" s="57" t="s">
        <v>316</v>
      </c>
      <c r="D89" s="22"/>
      <c r="E89" s="22"/>
      <c r="F89" s="23">
        <f t="shared" si="6"/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.75">
      <c r="B90" s="59" t="s">
        <v>317</v>
      </c>
      <c r="C90" s="57" t="s">
        <v>318</v>
      </c>
      <c r="D90" s="22"/>
      <c r="E90" s="22">
        <v>50</v>
      </c>
      <c r="F90" s="23">
        <f t="shared" si="6"/>
        <v>50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.75">
      <c r="B91" s="59" t="s">
        <v>319</v>
      </c>
      <c r="C91" s="57" t="s">
        <v>320</v>
      </c>
      <c r="D91" s="22"/>
      <c r="E91" s="22"/>
      <c r="F91" s="23">
        <f t="shared" si="6"/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.75">
      <c r="B92" s="59" t="s">
        <v>321</v>
      </c>
      <c r="C92" s="57" t="s">
        <v>322</v>
      </c>
      <c r="D92" s="22"/>
      <c r="E92" s="22"/>
      <c r="F92" s="23">
        <f t="shared" si="6"/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.75">
      <c r="B93" s="59" t="s">
        <v>323</v>
      </c>
      <c r="C93" s="57" t="s">
        <v>324</v>
      </c>
      <c r="D93" s="22"/>
      <c r="E93" s="22"/>
      <c r="F93" s="23">
        <f t="shared" si="6"/>
        <v>0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.75">
      <c r="B94" s="50" t="s">
        <v>325</v>
      </c>
      <c r="C94" s="58" t="s">
        <v>326</v>
      </c>
      <c r="D94" s="23">
        <f>SUM(D83:D93)</f>
        <v>0</v>
      </c>
      <c r="E94" s="23">
        <f>SUM(E83:E93)</f>
        <v>32866</v>
      </c>
      <c r="F94" s="23">
        <f>SUM(F83:F93)</f>
        <v>32866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.75">
      <c r="B95" s="59" t="s">
        <v>327</v>
      </c>
      <c r="C95" s="57" t="s">
        <v>328</v>
      </c>
      <c r="D95" s="22"/>
      <c r="E95" s="22"/>
      <c r="F95" s="23">
        <f>+E95+D95</f>
        <v>0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.75">
      <c r="B96" s="59" t="s">
        <v>329</v>
      </c>
      <c r="C96" s="57" t="s">
        <v>330</v>
      </c>
      <c r="D96" s="22"/>
      <c r="E96" s="22"/>
      <c r="F96" s="23">
        <f>+E96+D96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.75">
      <c r="B97" s="59" t="s">
        <v>331</v>
      </c>
      <c r="C97" s="57" t="s">
        <v>332</v>
      </c>
      <c r="D97" s="22"/>
      <c r="E97" s="22"/>
      <c r="F97" s="23">
        <f>+E97+D97</f>
        <v>0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ht="15.75">
      <c r="B98" s="59" t="s">
        <v>333</v>
      </c>
      <c r="C98" s="57" t="s">
        <v>334</v>
      </c>
      <c r="D98" s="22"/>
      <c r="E98" s="22"/>
      <c r="F98" s="23">
        <f>+E98+D98</f>
        <v>0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ht="15.75">
      <c r="B99" s="59" t="s">
        <v>335</v>
      </c>
      <c r="C99" s="57" t="s">
        <v>336</v>
      </c>
      <c r="D99" s="22"/>
      <c r="E99" s="22"/>
      <c r="F99" s="23">
        <f>+E99+D99</f>
        <v>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ht="15.75">
      <c r="B100" s="49" t="s">
        <v>337</v>
      </c>
      <c r="C100" s="58" t="s">
        <v>338</v>
      </c>
      <c r="D100" s="23">
        <f>SUM(D95:D99)</f>
        <v>0</v>
      </c>
      <c r="E100" s="23">
        <f>SUM(E95:E99)</f>
        <v>0</v>
      </c>
      <c r="F100" s="23">
        <f>SUM(F95:F99)</f>
        <v>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ht="15.75">
      <c r="B101" s="49" t="s">
        <v>339</v>
      </c>
      <c r="C101" s="58" t="s">
        <v>340</v>
      </c>
      <c r="D101" s="22"/>
      <c r="E101" s="22"/>
      <c r="F101" s="23">
        <f>+E101+D101</f>
        <v>0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ht="31.5">
      <c r="B102" s="59" t="s">
        <v>341</v>
      </c>
      <c r="C102" s="57" t="s">
        <v>342</v>
      </c>
      <c r="D102" s="22"/>
      <c r="E102" s="22"/>
      <c r="F102" s="23">
        <f>+E102+D102</f>
        <v>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ht="15.75">
      <c r="B103" s="46" t="s">
        <v>343</v>
      </c>
      <c r="C103" s="57" t="s">
        <v>344</v>
      </c>
      <c r="D103" s="22"/>
      <c r="E103" s="22"/>
      <c r="F103" s="2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ht="31.5">
      <c r="B104" s="59" t="s">
        <v>345</v>
      </c>
      <c r="C104" s="57" t="s">
        <v>346</v>
      </c>
      <c r="D104" s="22"/>
      <c r="E104" s="22"/>
      <c r="F104" s="2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ht="31.5">
      <c r="B105" s="59" t="s">
        <v>347</v>
      </c>
      <c r="C105" s="57" t="s">
        <v>348</v>
      </c>
      <c r="D105" s="22"/>
      <c r="E105" s="22"/>
      <c r="F105" s="23">
        <f>+E105+D105</f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ht="15.75">
      <c r="B106" s="59" t="s">
        <v>349</v>
      </c>
      <c r="C106" s="57" t="s">
        <v>350</v>
      </c>
      <c r="D106" s="22"/>
      <c r="E106" s="22"/>
      <c r="F106" s="23">
        <f>+E106+D106</f>
        <v>0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ht="15.75">
      <c r="B107" s="49" t="s">
        <v>351</v>
      </c>
      <c r="C107" s="58" t="s">
        <v>352</v>
      </c>
      <c r="D107" s="23">
        <f>SUM(D102:D106)</f>
        <v>0</v>
      </c>
      <c r="E107" s="23">
        <f>SUM(E102:E106)</f>
        <v>0</v>
      </c>
      <c r="F107" s="23">
        <f>SUM(F102:F106)</f>
        <v>0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ht="15.75">
      <c r="B108" s="80" t="s">
        <v>353</v>
      </c>
      <c r="C108" s="60" t="s">
        <v>354</v>
      </c>
      <c r="D108" s="62">
        <f>+D107+D101+D100+D94+D82+D75+D74</f>
        <v>27500</v>
      </c>
      <c r="E108" s="62">
        <f>+E107+E101+E100+E94+E82+E75+E74</f>
        <v>366089</v>
      </c>
      <c r="F108" s="62">
        <f>+F107+F101+F100+F94+F82+F75+F74</f>
        <v>393589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ht="15.75">
      <c r="B109" s="81" t="s">
        <v>355</v>
      </c>
      <c r="C109" s="82"/>
      <c r="D109" s="83">
        <f>+D101+D94+D82+D74-D33</f>
        <v>0</v>
      </c>
      <c r="E109" s="83">
        <f>+E101+E94+E82+E74-E33</f>
        <v>10300</v>
      </c>
      <c r="F109" s="83">
        <f aca="true" t="shared" si="7" ref="F109:F116">+E109+D109</f>
        <v>10300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ht="15.75">
      <c r="B110" s="81" t="s">
        <v>356</v>
      </c>
      <c r="C110" s="82"/>
      <c r="D110" s="83">
        <f>+D107+D100+D75-D57</f>
        <v>0</v>
      </c>
      <c r="E110" s="83">
        <f>+E107+E100+E75-E57</f>
        <v>-10300</v>
      </c>
      <c r="F110" s="83">
        <f t="shared" si="7"/>
        <v>-10300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6" ht="15.75">
      <c r="B111" s="50" t="s">
        <v>657</v>
      </c>
      <c r="C111" s="49" t="s">
        <v>364</v>
      </c>
      <c r="D111" s="22"/>
      <c r="E111" s="22"/>
      <c r="F111" s="23">
        <f t="shared" si="7"/>
        <v>0</v>
      </c>
    </row>
    <row r="112" spans="2:6" ht="15.75">
      <c r="B112" s="71" t="s">
        <v>658</v>
      </c>
      <c r="C112" s="49" t="s">
        <v>374</v>
      </c>
      <c r="D112" s="22"/>
      <c r="E112" s="22"/>
      <c r="F112" s="23">
        <f t="shared" si="7"/>
        <v>0</v>
      </c>
    </row>
    <row r="113" spans="2:6" ht="15.75">
      <c r="B113" s="46" t="s">
        <v>375</v>
      </c>
      <c r="C113" s="46" t="s">
        <v>376</v>
      </c>
      <c r="D113" s="22"/>
      <c r="E113" s="22"/>
      <c r="F113" s="23">
        <f t="shared" si="7"/>
        <v>0</v>
      </c>
    </row>
    <row r="114" spans="2:6" ht="15.75">
      <c r="B114" s="46" t="s">
        <v>377</v>
      </c>
      <c r="C114" s="46" t="s">
        <v>376</v>
      </c>
      <c r="D114" s="22"/>
      <c r="E114" s="22"/>
      <c r="F114" s="23">
        <f t="shared" si="7"/>
        <v>0</v>
      </c>
    </row>
    <row r="115" spans="2:6" ht="15.75">
      <c r="B115" s="46" t="s">
        <v>378</v>
      </c>
      <c r="C115" s="46" t="s">
        <v>379</v>
      </c>
      <c r="D115" s="22"/>
      <c r="E115" s="22"/>
      <c r="F115" s="23">
        <f t="shared" si="7"/>
        <v>0</v>
      </c>
    </row>
    <row r="116" spans="2:6" ht="15.75">
      <c r="B116" s="46" t="s">
        <v>380</v>
      </c>
      <c r="C116" s="46" t="s">
        <v>379</v>
      </c>
      <c r="D116" s="22"/>
      <c r="E116" s="22"/>
      <c r="F116" s="23">
        <f t="shared" si="7"/>
        <v>0</v>
      </c>
    </row>
    <row r="117" spans="1:6" ht="15.75">
      <c r="A117" s="88" t="s">
        <v>667</v>
      </c>
      <c r="B117" s="49" t="s">
        <v>381</v>
      </c>
      <c r="C117" s="49" t="s">
        <v>382</v>
      </c>
      <c r="D117" s="23">
        <f>SUM(D113:D116)</f>
        <v>0</v>
      </c>
      <c r="E117" s="23">
        <f>SUM(E113:E116)</f>
        <v>0</v>
      </c>
      <c r="F117" s="23">
        <f>SUM(F113:F116)</f>
        <v>0</v>
      </c>
    </row>
    <row r="118" spans="1:6" ht="15.75">
      <c r="A118" s="88" t="s">
        <v>668</v>
      </c>
      <c r="B118" s="67" t="s">
        <v>383</v>
      </c>
      <c r="C118" s="46" t="s">
        <v>384</v>
      </c>
      <c r="D118" s="22"/>
      <c r="E118" s="22"/>
      <c r="F118" s="23">
        <f aca="true" t="shared" si="8" ref="F118:F125">+E118+D118</f>
        <v>0</v>
      </c>
    </row>
    <row r="119" spans="2:6" ht="15.75">
      <c r="B119" s="67" t="s">
        <v>385</v>
      </c>
      <c r="C119" s="46" t="s">
        <v>386</v>
      </c>
      <c r="D119" s="22"/>
      <c r="E119" s="22"/>
      <c r="F119" s="23">
        <f t="shared" si="8"/>
        <v>0</v>
      </c>
    </row>
    <row r="120" spans="1:6" ht="15.75">
      <c r="A120" s="28" t="s">
        <v>675</v>
      </c>
      <c r="B120" s="67" t="s">
        <v>387</v>
      </c>
      <c r="C120" s="46" t="s">
        <v>388</v>
      </c>
      <c r="D120" s="22"/>
      <c r="E120" s="22"/>
      <c r="F120" s="23">
        <f t="shared" si="8"/>
        <v>0</v>
      </c>
    </row>
    <row r="121" spans="2:6" s="245" customFormat="1" ht="15.75">
      <c r="B121" s="246" t="s">
        <v>670</v>
      </c>
      <c r="C121" s="147"/>
      <c r="D121" s="103"/>
      <c r="E121" s="103"/>
      <c r="F121" s="133">
        <f t="shared" si="8"/>
        <v>0</v>
      </c>
    </row>
    <row r="122" spans="2:6" s="245" customFormat="1" ht="15.75">
      <c r="B122" s="247" t="s">
        <v>662</v>
      </c>
      <c r="C122" s="147"/>
      <c r="D122" s="103">
        <f>+D120-D121</f>
        <v>0</v>
      </c>
      <c r="E122" s="103">
        <f>+E120-E121</f>
        <v>0</v>
      </c>
      <c r="F122" s="133">
        <f t="shared" si="8"/>
        <v>0</v>
      </c>
    </row>
    <row r="123" spans="2:6" ht="15.75">
      <c r="B123" s="67" t="s">
        <v>389</v>
      </c>
      <c r="C123" s="46" t="s">
        <v>390</v>
      </c>
      <c r="D123" s="22"/>
      <c r="E123" s="22"/>
      <c r="F123" s="23">
        <f t="shared" si="8"/>
        <v>0</v>
      </c>
    </row>
    <row r="124" spans="2:6" ht="15.75">
      <c r="B124" s="59" t="s">
        <v>391</v>
      </c>
      <c r="C124" s="46" t="s">
        <v>392</v>
      </c>
      <c r="D124" s="22"/>
      <c r="E124" s="22"/>
      <c r="F124" s="23">
        <f t="shared" si="8"/>
        <v>0</v>
      </c>
    </row>
    <row r="125" spans="2:6" ht="15.75">
      <c r="B125" s="59" t="s">
        <v>393</v>
      </c>
      <c r="C125" s="46" t="s">
        <v>394</v>
      </c>
      <c r="D125" s="22"/>
      <c r="E125" s="22"/>
      <c r="F125" s="23">
        <f t="shared" si="8"/>
        <v>0</v>
      </c>
    </row>
    <row r="126" spans="2:6" ht="15.75">
      <c r="B126" s="50" t="s">
        <v>395</v>
      </c>
      <c r="C126" s="49" t="s">
        <v>396</v>
      </c>
      <c r="D126" s="23">
        <f>SUM(D118:D125)+D117+D112+D111-D121-D122</f>
        <v>0</v>
      </c>
      <c r="E126" s="23">
        <f>SUM(E118:E125)+E117+E112+E111-E121-E122</f>
        <v>0</v>
      </c>
      <c r="F126" s="23">
        <f>SUM(F118:F124)+F117+F112+F111-F121-F122</f>
        <v>0</v>
      </c>
    </row>
    <row r="127" spans="2:6" ht="15.75" hidden="1">
      <c r="B127" s="67" t="s">
        <v>397</v>
      </c>
      <c r="C127" s="46" t="s">
        <v>398</v>
      </c>
      <c r="D127" s="22"/>
      <c r="E127" s="22"/>
      <c r="F127" s="23">
        <f>+E127+D127</f>
        <v>0</v>
      </c>
    </row>
    <row r="128" spans="2:6" ht="15.75" hidden="1">
      <c r="B128" s="59" t="s">
        <v>399</v>
      </c>
      <c r="C128" s="46" t="s">
        <v>400</v>
      </c>
      <c r="D128" s="22"/>
      <c r="E128" s="22"/>
      <c r="F128" s="23">
        <f>+E128+D128</f>
        <v>0</v>
      </c>
    </row>
    <row r="129" spans="2:6" ht="15.75" hidden="1">
      <c r="B129" s="59" t="s">
        <v>401</v>
      </c>
      <c r="C129" s="46" t="s">
        <v>402</v>
      </c>
      <c r="D129" s="22"/>
      <c r="E129" s="22"/>
      <c r="F129" s="23">
        <f>+E129+D129</f>
        <v>0</v>
      </c>
    </row>
    <row r="130" spans="2:6" ht="15.75">
      <c r="B130" s="72" t="s">
        <v>403</v>
      </c>
      <c r="C130" s="73" t="s">
        <v>404</v>
      </c>
      <c r="D130" s="62">
        <f>+D128+D127+D126+D129</f>
        <v>0</v>
      </c>
      <c r="E130" s="62">
        <f>+E128+E127+E126+E129</f>
        <v>0</v>
      </c>
      <c r="F130" s="62">
        <f>+F129+F127+F126</f>
        <v>0</v>
      </c>
    </row>
    <row r="131" spans="2:6" ht="15.75">
      <c r="B131" s="26" t="s">
        <v>405</v>
      </c>
      <c r="C131" s="26" t="s">
        <v>406</v>
      </c>
      <c r="D131" s="27">
        <f>+D108+D130</f>
        <v>27500</v>
      </c>
      <c r="E131" s="27">
        <f>+E108+E130</f>
        <v>366089</v>
      </c>
      <c r="F131" s="27">
        <f>+F108+F130</f>
        <v>393589</v>
      </c>
    </row>
    <row r="132" spans="2:6" ht="15.75">
      <c r="B132" s="12"/>
      <c r="C132" s="12"/>
      <c r="D132" s="13"/>
      <c r="E132" s="13"/>
      <c r="F132" s="84"/>
    </row>
    <row r="133" spans="2:6" ht="15.75">
      <c r="B133" s="24" t="s">
        <v>407</v>
      </c>
      <c r="C133" s="24"/>
      <c r="D133" s="23">
        <f>+D108-D58</f>
        <v>0</v>
      </c>
      <c r="E133" s="23">
        <f>+E108-E58</f>
        <v>0</v>
      </c>
      <c r="F133" s="23">
        <f>+F108-F58</f>
        <v>0</v>
      </c>
    </row>
    <row r="134" spans="2:6" ht="15.75">
      <c r="B134" s="24" t="s">
        <v>408</v>
      </c>
      <c r="C134" s="24"/>
      <c r="D134" s="23">
        <f>+D130-D63</f>
        <v>0</v>
      </c>
      <c r="E134" s="23">
        <f>+E130-E63</f>
        <v>0</v>
      </c>
      <c r="F134" s="23">
        <f>+F130-F63</f>
        <v>0</v>
      </c>
    </row>
    <row r="135" spans="2:6" ht="15.75">
      <c r="B135" s="12"/>
      <c r="C135" s="12"/>
      <c r="D135" s="13"/>
      <c r="E135" s="13"/>
      <c r="F135" s="84"/>
    </row>
    <row r="136" spans="2:6" ht="15.75">
      <c r="B136" s="87" t="s">
        <v>411</v>
      </c>
      <c r="C136" s="12"/>
      <c r="D136" s="13">
        <f>+D131-D64</f>
        <v>0</v>
      </c>
      <c r="E136" s="13">
        <f>+E131-E64</f>
        <v>0</v>
      </c>
      <c r="F136" s="13">
        <f>+F131-F64</f>
        <v>0</v>
      </c>
    </row>
    <row r="137" spans="2:6" ht="15.75">
      <c r="B137" s="12"/>
      <c r="C137" s="12"/>
      <c r="D137" s="13"/>
      <c r="E137" s="13"/>
      <c r="F137" s="84"/>
    </row>
    <row r="138" spans="2:6" ht="15.75">
      <c r="B138" s="12"/>
      <c r="C138" s="12"/>
      <c r="D138" s="13"/>
      <c r="E138" s="13"/>
      <c r="F138" s="84"/>
    </row>
    <row r="139" spans="2:6" ht="15.75">
      <c r="B139" s="12"/>
      <c r="C139" s="12"/>
      <c r="D139" s="13"/>
      <c r="E139" s="13"/>
      <c r="F139" s="84"/>
    </row>
    <row r="140" spans="2:6" ht="15.75">
      <c r="B140" s="12"/>
      <c r="C140" s="12"/>
      <c r="D140" s="13"/>
      <c r="E140" s="13"/>
      <c r="F140" s="84"/>
    </row>
    <row r="141" spans="2:6" ht="15.75">
      <c r="B141" s="12"/>
      <c r="C141" s="12"/>
      <c r="D141" s="13"/>
      <c r="E141" s="13"/>
      <c r="F141" s="84"/>
    </row>
    <row r="142" spans="2:6" ht="15.75">
      <c r="B142" s="12"/>
      <c r="C142" s="12"/>
      <c r="D142" s="13"/>
      <c r="E142" s="13"/>
      <c r="F142" s="84"/>
    </row>
    <row r="143" spans="2:6" ht="15.75">
      <c r="B143" s="12"/>
      <c r="C143" s="12"/>
      <c r="D143" s="13"/>
      <c r="E143" s="13"/>
      <c r="F143" s="84"/>
    </row>
    <row r="144" spans="2:6" ht="15.75">
      <c r="B144" s="12"/>
      <c r="C144" s="12"/>
      <c r="D144" s="13"/>
      <c r="E144" s="13"/>
      <c r="F144" s="84"/>
    </row>
    <row r="145" spans="2:6" ht="15.75">
      <c r="B145" s="12"/>
      <c r="C145" s="12"/>
      <c r="D145" s="13"/>
      <c r="E145" s="13"/>
      <c r="F145" s="84"/>
    </row>
    <row r="146" spans="2:6" ht="15.75">
      <c r="B146" s="12"/>
      <c r="C146" s="12"/>
      <c r="D146" s="13"/>
      <c r="E146" s="13"/>
      <c r="F146" s="84"/>
    </row>
    <row r="147" spans="2:6" ht="15.75">
      <c r="B147" s="12"/>
      <c r="C147" s="12"/>
      <c r="D147" s="13"/>
      <c r="E147" s="13"/>
      <c r="F147" s="84"/>
    </row>
    <row r="148" spans="2:6" ht="15.75">
      <c r="B148" s="12"/>
      <c r="C148" s="12"/>
      <c r="D148" s="13"/>
      <c r="E148" s="13"/>
      <c r="F148" s="84"/>
    </row>
    <row r="149" spans="2:6" ht="15.75">
      <c r="B149" s="12"/>
      <c r="C149" s="12"/>
      <c r="D149" s="13"/>
      <c r="E149" s="13"/>
      <c r="F149" s="84"/>
    </row>
    <row r="150" spans="2:6" ht="15.75">
      <c r="B150" s="12"/>
      <c r="C150" s="12"/>
      <c r="D150" s="13"/>
      <c r="E150" s="13"/>
      <c r="F150" s="84"/>
    </row>
    <row r="151" spans="2:6" ht="15.75">
      <c r="B151" s="12"/>
      <c r="C151" s="12"/>
      <c r="D151" s="13"/>
      <c r="E151" s="13"/>
      <c r="F151" s="84"/>
    </row>
    <row r="152" spans="2:6" ht="15.75">
      <c r="B152" s="12"/>
      <c r="C152" s="12"/>
      <c r="D152" s="13"/>
      <c r="E152" s="13"/>
      <c r="F152" s="84"/>
    </row>
    <row r="153" spans="2:6" ht="15.75">
      <c r="B153" s="12"/>
      <c r="C153" s="12"/>
      <c r="D153" s="13"/>
      <c r="E153" s="13"/>
      <c r="F153" s="84"/>
    </row>
    <row r="154" spans="2:6" ht="15.75">
      <c r="B154" s="12"/>
      <c r="C154" s="12"/>
      <c r="D154" s="13"/>
      <c r="E154" s="13"/>
      <c r="F154" s="84"/>
    </row>
    <row r="155" spans="2:6" ht="15.75">
      <c r="B155" s="12"/>
      <c r="C155" s="12"/>
      <c r="D155" s="13"/>
      <c r="E155" s="13"/>
      <c r="F155" s="84"/>
    </row>
    <row r="156" spans="2:6" ht="15.75">
      <c r="B156" s="12"/>
      <c r="C156" s="12"/>
      <c r="D156" s="13"/>
      <c r="E156" s="13"/>
      <c r="F156" s="84"/>
    </row>
    <row r="157" spans="2:6" ht="15.75">
      <c r="B157" s="12"/>
      <c r="C157" s="12"/>
      <c r="D157" s="13"/>
      <c r="E157" s="13"/>
      <c r="F157" s="84"/>
    </row>
    <row r="158" spans="2:6" ht="15.75">
      <c r="B158" s="12"/>
      <c r="C158" s="12"/>
      <c r="D158" s="13"/>
      <c r="E158" s="13"/>
      <c r="F158" s="84"/>
    </row>
    <row r="159" spans="2:6" ht="15.75">
      <c r="B159" s="12"/>
      <c r="C159" s="12"/>
      <c r="D159" s="13"/>
      <c r="E159" s="13"/>
      <c r="F159" s="84"/>
    </row>
    <row r="160" spans="2:6" ht="15.75">
      <c r="B160" s="12"/>
      <c r="C160" s="12"/>
      <c r="D160" s="13"/>
      <c r="E160" s="13"/>
      <c r="F160" s="84"/>
    </row>
    <row r="161" spans="2:6" ht="15.75">
      <c r="B161" s="12"/>
      <c r="C161" s="12"/>
      <c r="D161" s="13"/>
      <c r="E161" s="13"/>
      <c r="F161" s="84"/>
    </row>
    <row r="162" spans="2:6" ht="15.75">
      <c r="B162" s="12"/>
      <c r="C162" s="12"/>
      <c r="D162" s="13"/>
      <c r="E162" s="13"/>
      <c r="F162" s="84"/>
    </row>
    <row r="163" spans="2:6" ht="15.75">
      <c r="B163" s="12"/>
      <c r="C163" s="12"/>
      <c r="D163" s="13"/>
      <c r="E163" s="13"/>
      <c r="F163" s="84"/>
    </row>
    <row r="164" spans="2:6" ht="15.75">
      <c r="B164" s="12"/>
      <c r="C164" s="12"/>
      <c r="D164" s="13"/>
      <c r="E164" s="13"/>
      <c r="F164" s="84"/>
    </row>
    <row r="165" spans="2:6" ht="15.75">
      <c r="B165" s="12"/>
      <c r="C165" s="12"/>
      <c r="D165" s="13"/>
      <c r="E165" s="13"/>
      <c r="F165" s="84"/>
    </row>
    <row r="166" spans="2:6" ht="15.75">
      <c r="B166" s="12"/>
      <c r="C166" s="12"/>
      <c r="D166" s="13"/>
      <c r="E166" s="13"/>
      <c r="F166" s="84"/>
    </row>
    <row r="167" spans="2:6" ht="15.75">
      <c r="B167" s="12"/>
      <c r="C167" s="12"/>
      <c r="D167" s="13"/>
      <c r="E167" s="13"/>
      <c r="F167" s="84"/>
    </row>
    <row r="168" spans="2:6" ht="15.75">
      <c r="B168" s="12"/>
      <c r="C168" s="12"/>
      <c r="D168" s="13"/>
      <c r="E168" s="13"/>
      <c r="F168" s="84"/>
    </row>
    <row r="169" spans="2:6" ht="15.75">
      <c r="B169" s="12"/>
      <c r="C169" s="12"/>
      <c r="D169" s="13"/>
      <c r="E169" s="13"/>
      <c r="F169" s="84"/>
    </row>
    <row r="170" spans="2:6" ht="15.75">
      <c r="B170" s="12"/>
      <c r="C170" s="12"/>
      <c r="D170" s="13"/>
      <c r="E170" s="13"/>
      <c r="F170" s="84"/>
    </row>
    <row r="171" spans="2:6" ht="15.75">
      <c r="B171" s="12"/>
      <c r="C171" s="12"/>
      <c r="D171" s="13"/>
      <c r="E171" s="13"/>
      <c r="F171" s="84"/>
    </row>
    <row r="172" spans="2:6" ht="15.75">
      <c r="B172" s="12"/>
      <c r="C172" s="12"/>
      <c r="D172" s="13"/>
      <c r="E172" s="13"/>
      <c r="F172" s="84"/>
    </row>
    <row r="173" spans="2:6" ht="15.75">
      <c r="B173" s="12"/>
      <c r="C173" s="12"/>
      <c r="D173" s="13"/>
      <c r="E173" s="13"/>
      <c r="F173" s="84"/>
    </row>
    <row r="174" spans="2:6" ht="15.75">
      <c r="B174" s="12"/>
      <c r="C174" s="12"/>
      <c r="D174" s="13"/>
      <c r="E174" s="13"/>
      <c r="F174" s="84"/>
    </row>
    <row r="175" spans="2:6" ht="15.75">
      <c r="B175" s="12"/>
      <c r="C175" s="12"/>
      <c r="D175" s="13"/>
      <c r="E175" s="13"/>
      <c r="F175" s="84"/>
    </row>
    <row r="176" spans="2:6" ht="15.75">
      <c r="B176" s="12"/>
      <c r="C176" s="12"/>
      <c r="D176" s="13"/>
      <c r="E176" s="13"/>
      <c r="F176" s="84"/>
    </row>
    <row r="177" spans="2:6" ht="15.75">
      <c r="B177" s="12"/>
      <c r="C177" s="12"/>
      <c r="D177" s="13"/>
      <c r="E177" s="13"/>
      <c r="F177" s="84"/>
    </row>
    <row r="178" spans="2:6" ht="15.75">
      <c r="B178" s="12"/>
      <c r="C178" s="12"/>
      <c r="D178" s="13"/>
      <c r="E178" s="13"/>
      <c r="F178" s="84"/>
    </row>
    <row r="179" spans="2:6" ht="15.75">
      <c r="B179" s="12"/>
      <c r="C179" s="12"/>
      <c r="D179" s="13"/>
      <c r="E179" s="13"/>
      <c r="F179" s="84"/>
    </row>
    <row r="180" spans="2:6" ht="15.75">
      <c r="B180" s="12"/>
      <c r="C180" s="12"/>
      <c r="D180" s="13"/>
      <c r="E180" s="13"/>
      <c r="F180" s="84"/>
    </row>
    <row r="181" spans="2:6" ht="15.75">
      <c r="B181" s="12"/>
      <c r="C181" s="12"/>
      <c r="D181" s="13"/>
      <c r="E181" s="13"/>
      <c r="F181" s="84"/>
    </row>
    <row r="182" spans="2:6" ht="15.75">
      <c r="B182" s="12"/>
      <c r="C182" s="12"/>
      <c r="D182" s="13"/>
      <c r="E182" s="13"/>
      <c r="F182" s="84"/>
    </row>
    <row r="183" spans="2:6" ht="15.75">
      <c r="B183" s="12"/>
      <c r="C183" s="12"/>
      <c r="D183" s="13"/>
      <c r="E183" s="13"/>
      <c r="F183" s="84"/>
    </row>
    <row r="184" spans="2:6" ht="15.75">
      <c r="B184" s="12"/>
      <c r="C184" s="12"/>
      <c r="D184" s="13"/>
      <c r="E184" s="13"/>
      <c r="F184" s="84"/>
    </row>
    <row r="185" spans="2:6" ht="15.75">
      <c r="B185" s="12"/>
      <c r="C185" s="12"/>
      <c r="D185" s="13"/>
      <c r="E185" s="13"/>
      <c r="F185" s="84"/>
    </row>
    <row r="186" spans="2:6" ht="15.75">
      <c r="B186" s="12"/>
      <c r="C186" s="12"/>
      <c r="D186" s="13"/>
      <c r="E186" s="13"/>
      <c r="F186" s="84"/>
    </row>
    <row r="187" spans="2:6" ht="15.75">
      <c r="B187" s="12"/>
      <c r="C187" s="12"/>
      <c r="D187" s="13"/>
      <c r="E187" s="13"/>
      <c r="F187" s="84"/>
    </row>
    <row r="188" spans="2:6" ht="15.75">
      <c r="B188" s="12"/>
      <c r="C188" s="12"/>
      <c r="D188" s="13"/>
      <c r="E188" s="13"/>
      <c r="F188" s="84"/>
    </row>
    <row r="189" spans="2:6" ht="15.75">
      <c r="B189" s="12"/>
      <c r="C189" s="12"/>
      <c r="D189" s="13"/>
      <c r="E189" s="13"/>
      <c r="F189" s="84"/>
    </row>
    <row r="190" spans="2:6" ht="15.75">
      <c r="B190" s="12"/>
      <c r="C190" s="12"/>
      <c r="D190" s="13"/>
      <c r="E190" s="13"/>
      <c r="F190" s="84"/>
    </row>
    <row r="191" spans="2:6" ht="15.75">
      <c r="B191" s="12"/>
      <c r="C191" s="12"/>
      <c r="D191" s="13"/>
      <c r="E191" s="13"/>
      <c r="F191" s="84"/>
    </row>
    <row r="192" spans="2:6" ht="15.75">
      <c r="B192" s="12"/>
      <c r="C192" s="12"/>
      <c r="D192" s="13"/>
      <c r="E192" s="13"/>
      <c r="F192" s="84"/>
    </row>
    <row r="193" spans="2:6" ht="15.75">
      <c r="B193" s="12"/>
      <c r="C193" s="12"/>
      <c r="D193" s="13"/>
      <c r="E193" s="13"/>
      <c r="F193" s="84"/>
    </row>
    <row r="194" spans="2:6" ht="15.75">
      <c r="B194" s="12"/>
      <c r="C194" s="12"/>
      <c r="D194" s="13"/>
      <c r="E194" s="13"/>
      <c r="F194" s="84"/>
    </row>
    <row r="195" spans="2:6" ht="15.75">
      <c r="B195" s="12"/>
      <c r="C195" s="12"/>
      <c r="D195" s="12"/>
      <c r="E195" s="12"/>
      <c r="F195" s="25"/>
    </row>
    <row r="196" spans="2:6" ht="15.75">
      <c r="B196" s="12"/>
      <c r="C196" s="12"/>
      <c r="D196" s="12"/>
      <c r="E196" s="12"/>
      <c r="F196" s="25"/>
    </row>
    <row r="197" spans="2:6" ht="15.75">
      <c r="B197" s="12"/>
      <c r="C197" s="12"/>
      <c r="D197" s="12"/>
      <c r="E197" s="12"/>
      <c r="F197" s="25"/>
    </row>
    <row r="198" spans="2:6" ht="15.75">
      <c r="B198" s="12"/>
      <c r="C198" s="12"/>
      <c r="D198" s="12"/>
      <c r="E198" s="12"/>
      <c r="F198" s="25"/>
    </row>
    <row r="199" spans="2:6" ht="15.75">
      <c r="B199" s="12"/>
      <c r="C199" s="12"/>
      <c r="D199" s="12"/>
      <c r="E199" s="12"/>
      <c r="F199" s="25"/>
    </row>
    <row r="200" spans="2:6" ht="15.75">
      <c r="B200" s="12"/>
      <c r="C200" s="12"/>
      <c r="D200" s="12"/>
      <c r="E200" s="12"/>
      <c r="F200" s="25"/>
    </row>
    <row r="201" spans="2:6" ht="15.75">
      <c r="B201" s="12"/>
      <c r="C201" s="12"/>
      <c r="D201" s="12"/>
      <c r="E201" s="12"/>
      <c r="F201" s="25"/>
    </row>
    <row r="202" spans="2:6" ht="15.75">
      <c r="B202" s="12"/>
      <c r="C202" s="12"/>
      <c r="D202" s="12"/>
      <c r="E202" s="12"/>
      <c r="F202" s="25"/>
    </row>
    <row r="203" spans="2:6" ht="15.75">
      <c r="B203" s="12"/>
      <c r="C203" s="12"/>
      <c r="D203" s="12"/>
      <c r="E203" s="12"/>
      <c r="F203" s="25"/>
    </row>
    <row r="204" spans="2:6" ht="15.75">
      <c r="B204" s="12"/>
      <c r="C204" s="12"/>
      <c r="D204" s="12"/>
      <c r="E204" s="12"/>
      <c r="F204" s="25"/>
    </row>
    <row r="205" spans="2:6" ht="15.75">
      <c r="B205" s="12"/>
      <c r="C205" s="12"/>
      <c r="D205" s="12"/>
      <c r="E205" s="12"/>
      <c r="F205" s="25"/>
    </row>
    <row r="206" spans="2:6" ht="15.75">
      <c r="B206" s="12"/>
      <c r="C206" s="12"/>
      <c r="D206" s="12"/>
      <c r="E206" s="12"/>
      <c r="F206" s="25"/>
    </row>
    <row r="207" spans="2:6" ht="15.75">
      <c r="B207" s="12"/>
      <c r="C207" s="12"/>
      <c r="D207" s="12"/>
      <c r="E207" s="12"/>
      <c r="F207" s="25"/>
    </row>
    <row r="208" spans="2:6" ht="15.75">
      <c r="B208" s="12"/>
      <c r="C208" s="12"/>
      <c r="D208" s="12"/>
      <c r="E208" s="12"/>
      <c r="F208" s="25"/>
    </row>
    <row r="209" spans="2:6" ht="15.75">
      <c r="B209" s="12"/>
      <c r="C209" s="12"/>
      <c r="D209" s="12"/>
      <c r="E209" s="12"/>
      <c r="F209" s="25"/>
    </row>
    <row r="210" spans="2:6" ht="15.75">
      <c r="B210" s="12"/>
      <c r="C210" s="12"/>
      <c r="D210" s="12"/>
      <c r="E210" s="12"/>
      <c r="F210" s="25"/>
    </row>
    <row r="211" spans="2:6" ht="15.75">
      <c r="B211" s="12"/>
      <c r="C211" s="12"/>
      <c r="D211" s="12"/>
      <c r="E211" s="12"/>
      <c r="F211" s="25"/>
    </row>
    <row r="212" spans="2:6" ht="15.75">
      <c r="B212" s="12"/>
      <c r="C212" s="12"/>
      <c r="D212" s="12"/>
      <c r="E212" s="12"/>
      <c r="F212" s="25"/>
    </row>
    <row r="213" spans="2:6" ht="15.75">
      <c r="B213" s="12"/>
      <c r="C213" s="12"/>
      <c r="D213" s="12"/>
      <c r="E213" s="12"/>
      <c r="F213" s="25"/>
    </row>
    <row r="214" spans="2:6" ht="15.75">
      <c r="B214" s="12"/>
      <c r="C214" s="12"/>
      <c r="D214" s="12"/>
      <c r="E214" s="12"/>
      <c r="F214" s="25"/>
    </row>
    <row r="215" spans="2:6" ht="15.75">
      <c r="B215" s="12"/>
      <c r="C215" s="12"/>
      <c r="D215" s="12"/>
      <c r="E215" s="12"/>
      <c r="F215" s="25"/>
    </row>
    <row r="216" spans="2:6" ht="15.75">
      <c r="B216" s="12"/>
      <c r="C216" s="12"/>
      <c r="D216" s="12"/>
      <c r="E216" s="12"/>
      <c r="F216" s="25"/>
    </row>
    <row r="217" spans="2:6" ht="15.75">
      <c r="B217" s="12"/>
      <c r="C217" s="12"/>
      <c r="D217" s="12"/>
      <c r="E217" s="12"/>
      <c r="F217" s="25"/>
    </row>
    <row r="218" spans="2:6" ht="15.75">
      <c r="B218" s="12"/>
      <c r="C218" s="12"/>
      <c r="D218" s="12"/>
      <c r="E218" s="12"/>
      <c r="F218" s="25"/>
    </row>
    <row r="219" spans="2:6" ht="15.75">
      <c r="B219" s="12"/>
      <c r="C219" s="12"/>
      <c r="D219" s="12"/>
      <c r="E219" s="12"/>
      <c r="F219" s="25"/>
    </row>
    <row r="220" spans="2:6" ht="15.75">
      <c r="B220" s="12"/>
      <c r="C220" s="12"/>
      <c r="D220" s="12"/>
      <c r="E220" s="12"/>
      <c r="F220" s="25"/>
    </row>
    <row r="221" spans="2:6" ht="15.75">
      <c r="B221" s="12"/>
      <c r="C221" s="12"/>
      <c r="D221" s="12"/>
      <c r="E221" s="12"/>
      <c r="F221" s="25"/>
    </row>
    <row r="222" spans="2:6" ht="15.75">
      <c r="B222" s="12"/>
      <c r="C222" s="12"/>
      <c r="D222" s="12"/>
      <c r="E222" s="12"/>
      <c r="F222" s="25"/>
    </row>
    <row r="223" spans="2:6" ht="15.75">
      <c r="B223" s="12"/>
      <c r="C223" s="12"/>
      <c r="D223" s="12"/>
      <c r="E223" s="12"/>
      <c r="F223" s="25"/>
    </row>
    <row r="224" spans="2:6" ht="15.75">
      <c r="B224" s="12"/>
      <c r="C224" s="12"/>
      <c r="D224" s="12"/>
      <c r="E224" s="12"/>
      <c r="F224" s="25"/>
    </row>
    <row r="225" spans="2:6" ht="15.75">
      <c r="B225" s="12"/>
      <c r="C225" s="12"/>
      <c r="D225" s="12"/>
      <c r="E225" s="12"/>
      <c r="F225" s="25"/>
    </row>
    <row r="226" spans="2:6" ht="15.75">
      <c r="B226" s="12"/>
      <c r="C226" s="12"/>
      <c r="D226" s="12"/>
      <c r="E226" s="12"/>
      <c r="F226" s="25"/>
    </row>
    <row r="227" spans="2:6" ht="15.75">
      <c r="B227" s="12"/>
      <c r="C227" s="12"/>
      <c r="D227" s="12"/>
      <c r="E227" s="12"/>
      <c r="F227" s="25"/>
    </row>
    <row r="228" spans="2:6" ht="15.75">
      <c r="B228" s="12"/>
      <c r="C228" s="12"/>
      <c r="D228" s="12"/>
      <c r="E228" s="12"/>
      <c r="F228" s="25"/>
    </row>
    <row r="229" spans="2:6" ht="15.75">
      <c r="B229" s="12"/>
      <c r="C229" s="12"/>
      <c r="D229" s="12"/>
      <c r="E229" s="12"/>
      <c r="F229" s="25"/>
    </row>
    <row r="230" spans="2:6" ht="15.75">
      <c r="B230" s="12"/>
      <c r="C230" s="12"/>
      <c r="D230" s="12"/>
      <c r="E230" s="12"/>
      <c r="F230" s="25"/>
    </row>
    <row r="231" spans="2:6" ht="15.75">
      <c r="B231" s="12"/>
      <c r="C231" s="12"/>
      <c r="D231" s="12"/>
      <c r="E231" s="12"/>
      <c r="F231" s="25"/>
    </row>
    <row r="232" spans="2:6" ht="15.75">
      <c r="B232" s="12"/>
      <c r="C232" s="12"/>
      <c r="D232" s="12"/>
      <c r="E232" s="12"/>
      <c r="F232" s="25"/>
    </row>
    <row r="233" spans="2:6" ht="15.75">
      <c r="B233" s="12"/>
      <c r="C233" s="12"/>
      <c r="D233" s="12"/>
      <c r="E233" s="12"/>
      <c r="F233" s="25"/>
    </row>
    <row r="234" spans="2:6" ht="15.75">
      <c r="B234" s="12"/>
      <c r="C234" s="12"/>
      <c r="D234" s="12"/>
      <c r="E234" s="12"/>
      <c r="F234" s="25"/>
    </row>
    <row r="235" spans="2:6" ht="15.75">
      <c r="B235" s="12"/>
      <c r="C235" s="12"/>
      <c r="D235" s="12"/>
      <c r="E235" s="12"/>
      <c r="F235" s="25"/>
    </row>
    <row r="236" spans="2:6" ht="15.75">
      <c r="B236" s="12"/>
      <c r="C236" s="12"/>
      <c r="D236" s="12"/>
      <c r="E236" s="12"/>
      <c r="F236" s="25"/>
    </row>
    <row r="237" spans="2:6" ht="15.75">
      <c r="B237" s="12"/>
      <c r="C237" s="12"/>
      <c r="D237" s="12"/>
      <c r="E237" s="12"/>
      <c r="F237" s="25"/>
    </row>
    <row r="238" spans="2:6" ht="15.75">
      <c r="B238" s="12"/>
      <c r="C238" s="12"/>
      <c r="D238" s="12"/>
      <c r="E238" s="12"/>
      <c r="F238" s="25"/>
    </row>
    <row r="239" spans="2:6" ht="15.75">
      <c r="B239" s="12"/>
      <c r="C239" s="12"/>
      <c r="D239" s="12"/>
      <c r="E239" s="12"/>
      <c r="F239" s="25"/>
    </row>
    <row r="240" spans="2:6" ht="15.75">
      <c r="B240" s="12"/>
      <c r="C240" s="12"/>
      <c r="D240" s="12"/>
      <c r="E240" s="12"/>
      <c r="F240" s="25"/>
    </row>
    <row r="241" spans="2:6" ht="15.75">
      <c r="B241" s="12"/>
      <c r="C241" s="12"/>
      <c r="D241" s="12"/>
      <c r="E241" s="12"/>
      <c r="F241" s="25"/>
    </row>
    <row r="242" spans="2:6" ht="15.75">
      <c r="B242" s="12"/>
      <c r="C242" s="12"/>
      <c r="D242" s="12"/>
      <c r="E242" s="12"/>
      <c r="F242" s="25"/>
    </row>
    <row r="243" spans="2:6" ht="15.75">
      <c r="B243" s="12"/>
      <c r="C243" s="12"/>
      <c r="D243" s="12"/>
      <c r="E243" s="12"/>
      <c r="F243" s="25"/>
    </row>
    <row r="244" spans="2:6" ht="15.75">
      <c r="B244" s="12"/>
      <c r="C244" s="12"/>
      <c r="D244" s="12"/>
      <c r="E244" s="12"/>
      <c r="F244" s="25"/>
    </row>
    <row r="245" spans="2:6" ht="15.75">
      <c r="B245" s="12"/>
      <c r="C245" s="12"/>
      <c r="D245" s="12"/>
      <c r="E245" s="12"/>
      <c r="F245" s="25"/>
    </row>
    <row r="246" spans="2:6" ht="15.75">
      <c r="B246" s="12"/>
      <c r="C246" s="12"/>
      <c r="D246" s="12"/>
      <c r="E246" s="12"/>
      <c r="F246" s="25"/>
    </row>
    <row r="247" spans="2:6" ht="15.75">
      <c r="B247" s="12"/>
      <c r="C247" s="12"/>
      <c r="D247" s="12"/>
      <c r="E247" s="12"/>
      <c r="F247" s="25"/>
    </row>
    <row r="248" spans="2:6" ht="15.75">
      <c r="B248" s="12"/>
      <c r="C248" s="12"/>
      <c r="D248" s="12"/>
      <c r="E248" s="12"/>
      <c r="F248" s="25"/>
    </row>
    <row r="249" spans="2:6" ht="15.75">
      <c r="B249" s="12"/>
      <c r="C249" s="12"/>
      <c r="D249" s="12"/>
      <c r="E249" s="12"/>
      <c r="F249" s="25"/>
    </row>
    <row r="250" spans="2:6" ht="15.75">
      <c r="B250" s="12"/>
      <c r="C250" s="12"/>
      <c r="D250" s="12"/>
      <c r="E250" s="12"/>
      <c r="F250" s="25"/>
    </row>
    <row r="251" spans="2:6" ht="15.75">
      <c r="B251" s="12"/>
      <c r="C251" s="12"/>
      <c r="D251" s="12"/>
      <c r="E251" s="12"/>
      <c r="F251" s="25"/>
    </row>
    <row r="252" spans="2:6" ht="15.75">
      <c r="B252" s="12"/>
      <c r="C252" s="12"/>
      <c r="D252" s="12"/>
      <c r="E252" s="12"/>
      <c r="F252" s="25"/>
    </row>
    <row r="253" spans="2:6" ht="15.75">
      <c r="B253" s="12"/>
      <c r="C253" s="12"/>
      <c r="D253" s="12"/>
      <c r="E253" s="12"/>
      <c r="F253" s="25"/>
    </row>
    <row r="254" spans="2:6" ht="15.75">
      <c r="B254" s="12"/>
      <c r="C254" s="12"/>
      <c r="D254" s="12"/>
      <c r="E254" s="12"/>
      <c r="F254" s="25"/>
    </row>
    <row r="255" spans="2:6" ht="15.75">
      <c r="B255" s="12"/>
      <c r="C255" s="12"/>
      <c r="D255" s="12"/>
      <c r="E255" s="12"/>
      <c r="F255" s="25"/>
    </row>
    <row r="256" spans="2:6" ht="15.75">
      <c r="B256" s="12"/>
      <c r="C256" s="12"/>
      <c r="D256" s="12"/>
      <c r="E256" s="12"/>
      <c r="F256" s="25"/>
    </row>
    <row r="257" spans="2:6" ht="15.75">
      <c r="B257" s="12"/>
      <c r="C257" s="12"/>
      <c r="D257" s="12"/>
      <c r="E257" s="12"/>
      <c r="F257" s="25"/>
    </row>
    <row r="258" spans="2:6" ht="15.75">
      <c r="B258" s="12"/>
      <c r="C258" s="12"/>
      <c r="D258" s="12"/>
      <c r="E258" s="12"/>
      <c r="F258" s="25"/>
    </row>
    <row r="259" spans="2:6" ht="15.75">
      <c r="B259" s="12"/>
      <c r="C259" s="12"/>
      <c r="D259" s="12"/>
      <c r="E259" s="12"/>
      <c r="F259" s="25"/>
    </row>
    <row r="260" spans="2:6" ht="15.75">
      <c r="B260" s="12"/>
      <c r="C260" s="12"/>
      <c r="D260" s="12"/>
      <c r="E260" s="12"/>
      <c r="F260" s="25"/>
    </row>
  </sheetData>
  <sheetProtection selectLockedCells="1" selectUnlockedCells="1"/>
  <mergeCells count="2">
    <mergeCell ref="D5:F5"/>
    <mergeCell ref="D66:F66"/>
  </mergeCells>
  <printOptions horizontalCentered="1"/>
  <pageMargins left="0.6298611111111111" right="0.39375" top="0.5402777777777777" bottom="0.5118055555555555" header="0.5118055555555555" footer="0.31527777777777777"/>
  <pageSetup horizontalDpi="300" verticalDpi="300" orientation="portrait" paperSize="9" scale="65" r:id="rId1"/>
  <headerFooter alignWithMargins="0">
    <oddFooter>&amp;R&amp;P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0.7109375" style="28" customWidth="1"/>
    <col min="2" max="2" width="72.421875" style="28" customWidth="1"/>
    <col min="3" max="3" width="9.7109375" style="28" customWidth="1"/>
    <col min="4" max="5" width="10.7109375" style="28" customWidth="1"/>
    <col min="6" max="6" width="10.7109375" style="29" customWidth="1"/>
    <col min="7" max="16384" width="9.140625" style="28" customWidth="1"/>
  </cols>
  <sheetData>
    <row r="1" s="12" customFormat="1" ht="15.75">
      <c r="F1" s="30" t="s">
        <v>676</v>
      </c>
    </row>
    <row r="2" spans="2:6" s="12" customFormat="1" ht="20.25">
      <c r="B2" s="243" t="s">
        <v>83</v>
      </c>
      <c r="F2" s="14" t="s">
        <v>88</v>
      </c>
    </row>
    <row r="3" spans="2:6" s="12" customFormat="1" ht="15.75">
      <c r="B3" s="38" t="s">
        <v>664</v>
      </c>
      <c r="C3" s="34"/>
      <c r="D3" s="34"/>
      <c r="E3" s="34"/>
      <c r="F3" s="35"/>
    </row>
    <row r="4" spans="2:6" s="12" customFormat="1" ht="15.75">
      <c r="B4" s="36" t="s">
        <v>118</v>
      </c>
      <c r="C4" s="37"/>
      <c r="D4" s="37"/>
      <c r="E4" s="37"/>
      <c r="F4" s="38"/>
    </row>
    <row r="5" spans="2:6" ht="15.75" customHeight="1">
      <c r="B5" s="39"/>
      <c r="D5" s="404" t="s">
        <v>91</v>
      </c>
      <c r="E5" s="404"/>
      <c r="F5" s="404"/>
    </row>
    <row r="6" spans="2:6" ht="47.25">
      <c r="B6" s="17" t="s">
        <v>92</v>
      </c>
      <c r="C6" s="40" t="s">
        <v>119</v>
      </c>
      <c r="D6" s="41" t="s">
        <v>93</v>
      </c>
      <c r="E6" s="41" t="s">
        <v>94</v>
      </c>
      <c r="F6" s="169" t="s">
        <v>601</v>
      </c>
    </row>
    <row r="7" spans="2:6" ht="15.75">
      <c r="B7" s="43" t="s">
        <v>120</v>
      </c>
      <c r="C7" s="44" t="s">
        <v>121</v>
      </c>
      <c r="D7" s="22">
        <v>173122</v>
      </c>
      <c r="E7" s="22">
        <v>16804</v>
      </c>
      <c r="F7" s="23">
        <f>+D7+E7</f>
        <v>189926</v>
      </c>
    </row>
    <row r="8" spans="2:6" ht="15.75">
      <c r="B8" s="46" t="s">
        <v>122</v>
      </c>
      <c r="C8" s="44" t="s">
        <v>123</v>
      </c>
      <c r="D8" s="22">
        <v>300</v>
      </c>
      <c r="E8" s="22">
        <v>4800</v>
      </c>
      <c r="F8" s="23">
        <f>+D8+E8</f>
        <v>5100</v>
      </c>
    </row>
    <row r="9" spans="2:6" ht="15.75">
      <c r="B9" s="47" t="s">
        <v>124</v>
      </c>
      <c r="C9" s="48" t="s">
        <v>125</v>
      </c>
      <c r="D9" s="23">
        <f>SUM(D7:D8)</f>
        <v>173422</v>
      </c>
      <c r="E9" s="23">
        <f>SUM(E7:E8)</f>
        <v>21604</v>
      </c>
      <c r="F9" s="23">
        <f>SUM(F7:F8)</f>
        <v>195026</v>
      </c>
    </row>
    <row r="10" spans="2:6" ht="15.75">
      <c r="B10" s="49" t="s">
        <v>126</v>
      </c>
      <c r="C10" s="48" t="s">
        <v>127</v>
      </c>
      <c r="D10" s="22">
        <v>46506</v>
      </c>
      <c r="E10" s="22">
        <v>3520</v>
      </c>
      <c r="F10" s="23">
        <f aca="true" t="shared" si="0" ref="F10:F15">+D10+E10</f>
        <v>50026</v>
      </c>
    </row>
    <row r="11" spans="2:6" ht="15.75">
      <c r="B11" s="46" t="s">
        <v>128</v>
      </c>
      <c r="C11" s="44" t="s">
        <v>129</v>
      </c>
      <c r="D11" s="22">
        <v>72885</v>
      </c>
      <c r="E11" s="22">
        <v>650</v>
      </c>
      <c r="F11" s="23">
        <f t="shared" si="0"/>
        <v>73535</v>
      </c>
    </row>
    <row r="12" spans="2:6" ht="15.75">
      <c r="B12" s="46" t="s">
        <v>130</v>
      </c>
      <c r="C12" s="44" t="s">
        <v>131</v>
      </c>
      <c r="D12" s="22">
        <v>1215</v>
      </c>
      <c r="E12" s="22">
        <v>250</v>
      </c>
      <c r="F12" s="23">
        <f t="shared" si="0"/>
        <v>1465</v>
      </c>
    </row>
    <row r="13" spans="2:6" ht="15.75">
      <c r="B13" s="46" t="s">
        <v>132</v>
      </c>
      <c r="C13" s="44" t="s">
        <v>133</v>
      </c>
      <c r="D13" s="22">
        <v>51234</v>
      </c>
      <c r="E13" s="22">
        <v>1080</v>
      </c>
      <c r="F13" s="23">
        <f t="shared" si="0"/>
        <v>52314</v>
      </c>
    </row>
    <row r="14" spans="2:6" ht="15.75">
      <c r="B14" s="46" t="s">
        <v>134</v>
      </c>
      <c r="C14" s="44" t="s">
        <v>135</v>
      </c>
      <c r="D14" s="22">
        <v>310</v>
      </c>
      <c r="E14" s="22">
        <v>130</v>
      </c>
      <c r="F14" s="23">
        <f t="shared" si="0"/>
        <v>440</v>
      </c>
    </row>
    <row r="15" spans="2:6" ht="15.75">
      <c r="B15" s="46" t="s">
        <v>136</v>
      </c>
      <c r="C15" s="44" t="s">
        <v>137</v>
      </c>
      <c r="D15" s="22">
        <v>38264</v>
      </c>
      <c r="E15" s="22">
        <v>722</v>
      </c>
      <c r="F15" s="23">
        <f t="shared" si="0"/>
        <v>38986</v>
      </c>
    </row>
    <row r="16" spans="2:6" ht="15.75">
      <c r="B16" s="49" t="s">
        <v>138</v>
      </c>
      <c r="C16" s="48" t="s">
        <v>139</v>
      </c>
      <c r="D16" s="23">
        <f>SUM(D11:D15)</f>
        <v>163908</v>
      </c>
      <c r="E16" s="23">
        <f>SUM(E11:E15)</f>
        <v>2832</v>
      </c>
      <c r="F16" s="23">
        <f>SUM(F11:F15)</f>
        <v>166740</v>
      </c>
    </row>
    <row r="17" spans="2:6" ht="15.75">
      <c r="B17" s="50" t="s">
        <v>140</v>
      </c>
      <c r="C17" s="48" t="s">
        <v>141</v>
      </c>
      <c r="D17" s="22"/>
      <c r="E17" s="22"/>
      <c r="F17" s="23">
        <f aca="true" t="shared" si="1" ref="F17:F31">+D17+E17</f>
        <v>0</v>
      </c>
    </row>
    <row r="18" spans="2:6" ht="15.75">
      <c r="B18" s="51" t="s">
        <v>142</v>
      </c>
      <c r="C18" s="44" t="s">
        <v>143</v>
      </c>
      <c r="D18" s="22"/>
      <c r="E18" s="22"/>
      <c r="F18" s="23">
        <f t="shared" si="1"/>
        <v>0</v>
      </c>
    </row>
    <row r="19" spans="2:6" ht="15.75">
      <c r="B19" s="51" t="s">
        <v>144</v>
      </c>
      <c r="C19" s="44" t="s">
        <v>145</v>
      </c>
      <c r="D19" s="22"/>
      <c r="E19" s="22"/>
      <c r="F19" s="23">
        <f t="shared" si="1"/>
        <v>0</v>
      </c>
    </row>
    <row r="20" spans="2:6" ht="15.75">
      <c r="B20" s="51" t="s">
        <v>146</v>
      </c>
      <c r="C20" s="44" t="s">
        <v>147</v>
      </c>
      <c r="D20" s="22"/>
      <c r="E20" s="22"/>
      <c r="F20" s="23">
        <f t="shared" si="1"/>
        <v>0</v>
      </c>
    </row>
    <row r="21" spans="2:6" ht="15.75">
      <c r="B21" s="51" t="s">
        <v>148</v>
      </c>
      <c r="C21" s="44" t="s">
        <v>149</v>
      </c>
      <c r="D21" s="22"/>
      <c r="E21" s="22"/>
      <c r="F21" s="23">
        <f t="shared" si="1"/>
        <v>0</v>
      </c>
    </row>
    <row r="22" spans="2:6" ht="15.75">
      <c r="B22" s="51" t="s">
        <v>150</v>
      </c>
      <c r="C22" s="44" t="s">
        <v>151</v>
      </c>
      <c r="D22" s="22"/>
      <c r="E22" s="22"/>
      <c r="F22" s="23">
        <f t="shared" si="1"/>
        <v>0</v>
      </c>
    </row>
    <row r="23" spans="2:6" ht="15.75">
      <c r="B23" s="51" t="s">
        <v>152</v>
      </c>
      <c r="C23" s="44" t="s">
        <v>153</v>
      </c>
      <c r="D23" s="22"/>
      <c r="E23" s="22"/>
      <c r="F23" s="23">
        <f t="shared" si="1"/>
        <v>0</v>
      </c>
    </row>
    <row r="24" spans="2:6" ht="15.75">
      <c r="B24" s="51" t="s">
        <v>154</v>
      </c>
      <c r="C24" s="44" t="s">
        <v>155</v>
      </c>
      <c r="D24" s="22"/>
      <c r="E24" s="22"/>
      <c r="F24" s="23">
        <f t="shared" si="1"/>
        <v>0</v>
      </c>
    </row>
    <row r="25" spans="2:6" ht="15.75">
      <c r="B25" s="51" t="s">
        <v>156</v>
      </c>
      <c r="C25" s="44" t="s">
        <v>157</v>
      </c>
      <c r="D25" s="22"/>
      <c r="E25" s="22"/>
      <c r="F25" s="23">
        <f t="shared" si="1"/>
        <v>0</v>
      </c>
    </row>
    <row r="26" spans="2:6" ht="15.75">
      <c r="B26" s="51" t="s">
        <v>158</v>
      </c>
      <c r="C26" s="44" t="s">
        <v>159</v>
      </c>
      <c r="D26" s="22"/>
      <c r="E26" s="22"/>
      <c r="F26" s="23">
        <f t="shared" si="1"/>
        <v>0</v>
      </c>
    </row>
    <row r="27" spans="2:6" ht="15.75">
      <c r="B27" s="52" t="s">
        <v>160</v>
      </c>
      <c r="C27" s="44" t="s">
        <v>161</v>
      </c>
      <c r="D27" s="22"/>
      <c r="E27" s="22"/>
      <c r="F27" s="23">
        <f t="shared" si="1"/>
        <v>0</v>
      </c>
    </row>
    <row r="28" spans="2:6" ht="15.75">
      <c r="B28" s="52" t="s">
        <v>665</v>
      </c>
      <c r="C28" s="44" t="s">
        <v>163</v>
      </c>
      <c r="D28" s="22"/>
      <c r="E28" s="22"/>
      <c r="F28" s="23">
        <f t="shared" si="1"/>
        <v>0</v>
      </c>
    </row>
    <row r="29" spans="2:6" ht="15.75">
      <c r="B29" s="51" t="s">
        <v>164</v>
      </c>
      <c r="C29" s="44" t="s">
        <v>165</v>
      </c>
      <c r="D29" s="22"/>
      <c r="E29" s="22"/>
      <c r="F29" s="23">
        <f t="shared" si="1"/>
        <v>0</v>
      </c>
    </row>
    <row r="30" spans="2:6" ht="15.75">
      <c r="B30" s="52" t="s">
        <v>166</v>
      </c>
      <c r="C30" s="44" t="s">
        <v>167</v>
      </c>
      <c r="D30" s="22"/>
      <c r="E30" s="22"/>
      <c r="F30" s="23">
        <f t="shared" si="1"/>
        <v>0</v>
      </c>
    </row>
    <row r="31" spans="2:6" ht="15.75">
      <c r="B31" s="52" t="s">
        <v>168</v>
      </c>
      <c r="C31" s="44" t="s">
        <v>167</v>
      </c>
      <c r="D31" s="22"/>
      <c r="E31" s="22"/>
      <c r="F31" s="23">
        <f t="shared" si="1"/>
        <v>0</v>
      </c>
    </row>
    <row r="32" spans="2:6" s="29" customFormat="1" ht="15.75">
      <c r="B32" s="50" t="s">
        <v>169</v>
      </c>
      <c r="C32" s="48" t="s">
        <v>170</v>
      </c>
      <c r="D32" s="23">
        <f>SUM(D18:D31)</f>
        <v>0</v>
      </c>
      <c r="E32" s="23">
        <f>SUM(E18:E31)</f>
        <v>0</v>
      </c>
      <c r="F32" s="23">
        <f>SUM(F18:F31)</f>
        <v>0</v>
      </c>
    </row>
    <row r="33" spans="2:6" ht="15.75">
      <c r="B33" s="53" t="s">
        <v>171</v>
      </c>
      <c r="C33" s="54" t="s">
        <v>172</v>
      </c>
      <c r="D33" s="55">
        <f>+D32+D17+D16+D10+D9</f>
        <v>383836</v>
      </c>
      <c r="E33" s="55">
        <f>+E32+E17+E16+E10+E9</f>
        <v>27956</v>
      </c>
      <c r="F33" s="55">
        <f>+F32+F17+F16+F10+F9</f>
        <v>411792</v>
      </c>
    </row>
    <row r="34" spans="2:6" ht="15.75">
      <c r="B34" s="56" t="s">
        <v>173</v>
      </c>
      <c r="C34" s="44" t="s">
        <v>174</v>
      </c>
      <c r="D34" s="22"/>
      <c r="E34" s="22"/>
      <c r="F34" s="23">
        <f aca="true" t="shared" si="2" ref="F34:F40">+D34+E34</f>
        <v>0</v>
      </c>
    </row>
    <row r="35" spans="2:6" ht="15.75">
      <c r="B35" s="56" t="s">
        <v>175</v>
      </c>
      <c r="C35" s="44" t="s">
        <v>176</v>
      </c>
      <c r="D35" s="22"/>
      <c r="E35" s="22"/>
      <c r="F35" s="23">
        <f t="shared" si="2"/>
        <v>0</v>
      </c>
    </row>
    <row r="36" spans="2:6" ht="15.75">
      <c r="B36" s="56" t="s">
        <v>177</v>
      </c>
      <c r="C36" s="44" t="s">
        <v>178</v>
      </c>
      <c r="D36" s="22"/>
      <c r="E36" s="22"/>
      <c r="F36" s="23">
        <f t="shared" si="2"/>
        <v>0</v>
      </c>
    </row>
    <row r="37" spans="2:6" ht="15.75">
      <c r="B37" s="56" t="s">
        <v>179</v>
      </c>
      <c r="C37" s="44" t="s">
        <v>180</v>
      </c>
      <c r="D37" s="22">
        <f>3000-D40</f>
        <v>2190</v>
      </c>
      <c r="E37" s="22"/>
      <c r="F37" s="23">
        <f t="shared" si="2"/>
        <v>2190</v>
      </c>
    </row>
    <row r="38" spans="2:6" ht="15.75">
      <c r="B38" s="57" t="s">
        <v>181</v>
      </c>
      <c r="C38" s="44" t="s">
        <v>182</v>
      </c>
      <c r="D38" s="22"/>
      <c r="E38" s="22"/>
      <c r="F38" s="23">
        <f t="shared" si="2"/>
        <v>0</v>
      </c>
    </row>
    <row r="39" spans="2:6" ht="15.75">
      <c r="B39" s="57" t="s">
        <v>183</v>
      </c>
      <c r="C39" s="44" t="s">
        <v>184</v>
      </c>
      <c r="D39" s="22"/>
      <c r="E39" s="22"/>
      <c r="F39" s="23">
        <f t="shared" si="2"/>
        <v>0</v>
      </c>
    </row>
    <row r="40" spans="2:6" ht="15.75">
      <c r="B40" s="57" t="s">
        <v>185</v>
      </c>
      <c r="C40" s="44" t="s">
        <v>186</v>
      </c>
      <c r="D40" s="22">
        <v>810</v>
      </c>
      <c r="E40" s="22"/>
      <c r="F40" s="23">
        <f t="shared" si="2"/>
        <v>810</v>
      </c>
    </row>
    <row r="41" spans="2:6" s="29" customFormat="1" ht="15.75">
      <c r="B41" s="58" t="s">
        <v>187</v>
      </c>
      <c r="C41" s="48" t="s">
        <v>188</v>
      </c>
      <c r="D41" s="23">
        <f>SUM(D34:D40)</f>
        <v>3000</v>
      </c>
      <c r="E41" s="23">
        <f>SUM(E34:E40)</f>
        <v>0</v>
      </c>
      <c r="F41" s="23">
        <f>SUM(F34:F40)</f>
        <v>3000</v>
      </c>
    </row>
    <row r="42" spans="2:6" ht="15.75">
      <c r="B42" s="59" t="s">
        <v>189</v>
      </c>
      <c r="C42" s="44" t="s">
        <v>190</v>
      </c>
      <c r="D42" s="22"/>
      <c r="E42" s="22"/>
      <c r="F42" s="23">
        <f>+D42+E42</f>
        <v>0</v>
      </c>
    </row>
    <row r="43" spans="2:6" ht="15.75">
      <c r="B43" s="59" t="s">
        <v>191</v>
      </c>
      <c r="C43" s="44" t="s">
        <v>192</v>
      </c>
      <c r="D43" s="22"/>
      <c r="E43" s="22"/>
      <c r="F43" s="23">
        <f>+D43+E43</f>
        <v>0</v>
      </c>
    </row>
    <row r="44" spans="2:6" ht="15.75">
      <c r="B44" s="59" t="s">
        <v>193</v>
      </c>
      <c r="C44" s="44" t="s">
        <v>194</v>
      </c>
      <c r="D44" s="22"/>
      <c r="E44" s="22"/>
      <c r="F44" s="23">
        <f>+D44+E44</f>
        <v>0</v>
      </c>
    </row>
    <row r="45" spans="2:6" ht="15.75">
      <c r="B45" s="59" t="s">
        <v>195</v>
      </c>
      <c r="C45" s="44" t="s">
        <v>196</v>
      </c>
      <c r="D45" s="22"/>
      <c r="E45" s="22"/>
      <c r="F45" s="23">
        <f>+D45+E45</f>
        <v>0</v>
      </c>
    </row>
    <row r="46" spans="2:6" s="29" customFormat="1" ht="15.75">
      <c r="B46" s="49" t="s">
        <v>197</v>
      </c>
      <c r="C46" s="48" t="s">
        <v>198</v>
      </c>
      <c r="D46" s="23">
        <f>SUM(D42:D45)</f>
        <v>0</v>
      </c>
      <c r="E46" s="23">
        <f>SUM(E42:E45)</f>
        <v>0</v>
      </c>
      <c r="F46" s="23">
        <f>SUM(F42:F45)</f>
        <v>0</v>
      </c>
    </row>
    <row r="47" spans="2:6" ht="31.5">
      <c r="B47" s="59" t="s">
        <v>199</v>
      </c>
      <c r="C47" s="44" t="s">
        <v>200</v>
      </c>
      <c r="D47" s="22"/>
      <c r="E47" s="22"/>
      <c r="F47" s="23">
        <f aca="true" t="shared" si="3" ref="F47:F55">+D47+E47</f>
        <v>0</v>
      </c>
    </row>
    <row r="48" spans="2:6" ht="15.75">
      <c r="B48" s="59" t="s">
        <v>201</v>
      </c>
      <c r="C48" s="44" t="s">
        <v>202</v>
      </c>
      <c r="D48" s="22"/>
      <c r="E48" s="22"/>
      <c r="F48" s="23">
        <f t="shared" si="3"/>
        <v>0</v>
      </c>
    </row>
    <row r="49" spans="2:6" ht="31.5">
      <c r="B49" s="59" t="s">
        <v>203</v>
      </c>
      <c r="C49" s="44" t="s">
        <v>204</v>
      </c>
      <c r="D49" s="22"/>
      <c r="E49" s="22"/>
      <c r="F49" s="23">
        <f t="shared" si="3"/>
        <v>0</v>
      </c>
    </row>
    <row r="50" spans="2:6" ht="15.75">
      <c r="B50" s="59" t="s">
        <v>205</v>
      </c>
      <c r="C50" s="44" t="s">
        <v>206</v>
      </c>
      <c r="D50" s="22"/>
      <c r="E50" s="22"/>
      <c r="F50" s="23">
        <f t="shared" si="3"/>
        <v>0</v>
      </c>
    </row>
    <row r="51" spans="2:6" ht="31.5">
      <c r="B51" s="59" t="s">
        <v>207</v>
      </c>
      <c r="C51" s="44" t="s">
        <v>208</v>
      </c>
      <c r="D51" s="22"/>
      <c r="E51" s="22"/>
      <c r="F51" s="23">
        <f t="shared" si="3"/>
        <v>0</v>
      </c>
    </row>
    <row r="52" spans="2:6" ht="15.75">
      <c r="B52" s="59" t="s">
        <v>209</v>
      </c>
      <c r="C52" s="44" t="s">
        <v>210</v>
      </c>
      <c r="D52" s="22"/>
      <c r="E52" s="22"/>
      <c r="F52" s="23">
        <f t="shared" si="3"/>
        <v>0</v>
      </c>
    </row>
    <row r="53" spans="2:6" ht="15.75">
      <c r="B53" s="59" t="s">
        <v>211</v>
      </c>
      <c r="C53" s="44" t="s">
        <v>212</v>
      </c>
      <c r="D53" s="22"/>
      <c r="E53" s="22"/>
      <c r="F53" s="23">
        <f t="shared" si="3"/>
        <v>0</v>
      </c>
    </row>
    <row r="54" spans="2:6" ht="15.75">
      <c r="B54" s="52" t="s">
        <v>666</v>
      </c>
      <c r="C54" s="44" t="s">
        <v>214</v>
      </c>
      <c r="D54" s="22"/>
      <c r="E54" s="22"/>
      <c r="F54" s="23">
        <f t="shared" si="3"/>
        <v>0</v>
      </c>
    </row>
    <row r="55" spans="2:6" ht="15.75">
      <c r="B55" s="59" t="s">
        <v>215</v>
      </c>
      <c r="C55" s="44" t="s">
        <v>216</v>
      </c>
      <c r="D55" s="22"/>
      <c r="E55" s="22"/>
      <c r="F55" s="23">
        <f t="shared" si="3"/>
        <v>0</v>
      </c>
    </row>
    <row r="56" spans="2:6" s="29" customFormat="1" ht="15.75">
      <c r="B56" s="50" t="s">
        <v>217</v>
      </c>
      <c r="C56" s="48" t="s">
        <v>218</v>
      </c>
      <c r="D56" s="23">
        <f>SUM(D47:D55)</f>
        <v>0</v>
      </c>
      <c r="E56" s="23">
        <f>SUM(E47:E55)</f>
        <v>0</v>
      </c>
      <c r="F56" s="23">
        <f>SUM(F47:F55)</f>
        <v>0</v>
      </c>
    </row>
    <row r="57" spans="2:6" ht="15.75">
      <c r="B57" s="53" t="s">
        <v>219</v>
      </c>
      <c r="C57" s="54" t="s">
        <v>220</v>
      </c>
      <c r="D57" s="55">
        <f>+D56+D46+D41</f>
        <v>3000</v>
      </c>
      <c r="E57" s="55">
        <f>+E56+E46+E41</f>
        <v>0</v>
      </c>
      <c r="F57" s="55">
        <f>+F56+F46+F41</f>
        <v>3000</v>
      </c>
    </row>
    <row r="58" spans="2:6" ht="15.75">
      <c r="B58" s="60" t="s">
        <v>221</v>
      </c>
      <c r="C58" s="61" t="s">
        <v>222</v>
      </c>
      <c r="D58" s="62">
        <f>+D56+D46+D41+D32+D17+D16+D10+D9</f>
        <v>386836</v>
      </c>
      <c r="E58" s="62">
        <f>+E56+E46+E41+E32+E17+E16+E10+E9</f>
        <v>27956</v>
      </c>
      <c r="F58" s="62">
        <f>+F56+F46+F41+F32+F17+F16+F10+F9</f>
        <v>414792</v>
      </c>
    </row>
    <row r="59" spans="2:22" ht="15.75">
      <c r="B59" s="67" t="s">
        <v>654</v>
      </c>
      <c r="C59" s="46" t="s">
        <v>248</v>
      </c>
      <c r="D59" s="244"/>
      <c r="E59" s="244"/>
      <c r="F59" s="22">
        <f>+D59+E59</f>
        <v>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/>
      <c r="V59" s="64"/>
    </row>
    <row r="60" spans="2:22" ht="15.75">
      <c r="B60" s="67" t="s">
        <v>249</v>
      </c>
      <c r="C60" s="46" t="s">
        <v>250</v>
      </c>
      <c r="D60" s="244"/>
      <c r="E60" s="244"/>
      <c r="F60" s="22">
        <f>+D60+E60</f>
        <v>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/>
      <c r="V60" s="64"/>
    </row>
    <row r="61" spans="2:22" ht="15.75">
      <c r="B61" s="59" t="s">
        <v>251</v>
      </c>
      <c r="C61" s="46" t="s">
        <v>252</v>
      </c>
      <c r="D61" s="244"/>
      <c r="E61" s="244"/>
      <c r="F61" s="22">
        <f>+D61+E61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4"/>
    </row>
    <row r="62" spans="2:22" ht="15.75">
      <c r="B62" s="59" t="s">
        <v>253</v>
      </c>
      <c r="C62" s="46" t="s">
        <v>254</v>
      </c>
      <c r="D62" s="244"/>
      <c r="E62" s="244"/>
      <c r="F62" s="22">
        <f>+D62+E62</f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4"/>
    </row>
    <row r="63" spans="2:22" ht="15.75">
      <c r="B63" s="72" t="s">
        <v>255</v>
      </c>
      <c r="C63" s="73" t="s">
        <v>256</v>
      </c>
      <c r="D63" s="74">
        <f>+D61+D60+D59+D62</f>
        <v>0</v>
      </c>
      <c r="E63" s="74">
        <f>+E61+E60+E59+E62</f>
        <v>0</v>
      </c>
      <c r="F63" s="74">
        <f>+F61+F60+F59+F62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4"/>
      <c r="V63" s="64"/>
    </row>
    <row r="64" spans="2:22" ht="15.75">
      <c r="B64" s="26" t="s">
        <v>257</v>
      </c>
      <c r="C64" s="26" t="s">
        <v>258</v>
      </c>
      <c r="D64" s="27">
        <f>+D58+D63</f>
        <v>386836</v>
      </c>
      <c r="E64" s="27">
        <f>+E58+E63</f>
        <v>27956</v>
      </c>
      <c r="F64" s="27">
        <f>+F58+F63</f>
        <v>414792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.75">
      <c r="B65" s="12"/>
      <c r="C65" s="75"/>
      <c r="D65" s="76"/>
      <c r="E65" s="76"/>
      <c r="F65" s="7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.75" customHeight="1" hidden="1">
      <c r="B66" s="12"/>
      <c r="C66" s="75"/>
      <c r="D66" s="404" t="s">
        <v>259</v>
      </c>
      <c r="E66" s="404"/>
      <c r="F66" s="40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47.25">
      <c r="B67" s="17" t="s">
        <v>92</v>
      </c>
      <c r="C67" s="40" t="s">
        <v>260</v>
      </c>
      <c r="D67" s="41" t="s">
        <v>93</v>
      </c>
      <c r="E67" s="41" t="s">
        <v>94</v>
      </c>
      <c r="F67" s="169" t="s">
        <v>601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.75">
      <c r="B68" s="49" t="s">
        <v>655</v>
      </c>
      <c r="C68" s="58" t="s">
        <v>274</v>
      </c>
      <c r="D68" s="23"/>
      <c r="E68" s="23"/>
      <c r="F68" s="23">
        <f aca="true" t="shared" si="4" ref="F68:F73">+E68+D68</f>
        <v>0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.75">
      <c r="B69" s="46" t="s">
        <v>275</v>
      </c>
      <c r="C69" s="57" t="s">
        <v>276</v>
      </c>
      <c r="D69" s="23"/>
      <c r="E69" s="23"/>
      <c r="F69" s="23">
        <f t="shared" si="4"/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31.5">
      <c r="B70" s="46" t="s">
        <v>277</v>
      </c>
      <c r="C70" s="57" t="s">
        <v>278</v>
      </c>
      <c r="D70" s="23"/>
      <c r="E70" s="23"/>
      <c r="F70" s="23">
        <f t="shared" si="4"/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31.5">
      <c r="B71" s="46" t="s">
        <v>279</v>
      </c>
      <c r="C71" s="57" t="s">
        <v>280</v>
      </c>
      <c r="D71" s="23"/>
      <c r="E71" s="23"/>
      <c r="F71" s="23">
        <f t="shared" si="4"/>
        <v>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31.5">
      <c r="B72" s="46" t="s">
        <v>281</v>
      </c>
      <c r="C72" s="57" t="s">
        <v>282</v>
      </c>
      <c r="D72" s="23"/>
      <c r="E72" s="23"/>
      <c r="F72" s="23">
        <f t="shared" si="4"/>
        <v>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.75">
      <c r="B73" s="46" t="s">
        <v>283</v>
      </c>
      <c r="C73" s="57" t="s">
        <v>284</v>
      </c>
      <c r="D73" s="22"/>
      <c r="E73" s="22"/>
      <c r="F73" s="23">
        <f t="shared" si="4"/>
        <v>0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.75">
      <c r="B74" s="49" t="s">
        <v>285</v>
      </c>
      <c r="C74" s="58" t="s">
        <v>286</v>
      </c>
      <c r="D74" s="23">
        <f>+D73+D72+D71+D70+D69+D68</f>
        <v>0</v>
      </c>
      <c r="E74" s="23">
        <f>+E73+E72+E71+E70+E69+E68</f>
        <v>0</v>
      </c>
      <c r="F74" s="23">
        <f>+F73+F72+F71+F70+F69+F68</f>
        <v>0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.75">
      <c r="B75" s="49" t="s">
        <v>287</v>
      </c>
      <c r="C75" s="58" t="s">
        <v>288</v>
      </c>
      <c r="D75" s="22"/>
      <c r="E75" s="22"/>
      <c r="F75" s="23">
        <f aca="true" t="shared" si="5" ref="F75:F81">+E75+D75</f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.75" hidden="1">
      <c r="B76" s="46" t="s">
        <v>289</v>
      </c>
      <c r="C76" s="57" t="s">
        <v>290</v>
      </c>
      <c r="D76" s="22"/>
      <c r="E76" s="22"/>
      <c r="F76" s="23">
        <f t="shared" si="5"/>
        <v>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.75" hidden="1">
      <c r="B77" s="46" t="s">
        <v>291</v>
      </c>
      <c r="C77" s="57" t="s">
        <v>292</v>
      </c>
      <c r="D77" s="22"/>
      <c r="E77" s="22"/>
      <c r="F77" s="23">
        <f t="shared" si="5"/>
        <v>0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.75" hidden="1">
      <c r="B78" s="46" t="s">
        <v>293</v>
      </c>
      <c r="C78" s="57" t="s">
        <v>294</v>
      </c>
      <c r="D78" s="22"/>
      <c r="E78" s="22"/>
      <c r="F78" s="23">
        <f t="shared" si="5"/>
        <v>0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.75" hidden="1">
      <c r="B79" s="46" t="s">
        <v>295</v>
      </c>
      <c r="C79" s="57" t="s">
        <v>296</v>
      </c>
      <c r="D79" s="22"/>
      <c r="E79" s="22"/>
      <c r="F79" s="23">
        <f t="shared" si="5"/>
        <v>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.75" hidden="1">
      <c r="B80" s="46" t="s">
        <v>297</v>
      </c>
      <c r="C80" s="57" t="s">
        <v>298</v>
      </c>
      <c r="D80" s="22"/>
      <c r="E80" s="22"/>
      <c r="F80" s="23">
        <f t="shared" si="5"/>
        <v>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.75" hidden="1">
      <c r="B81" s="46" t="s">
        <v>299</v>
      </c>
      <c r="C81" s="57" t="s">
        <v>300</v>
      </c>
      <c r="D81" s="22"/>
      <c r="E81" s="22"/>
      <c r="F81" s="23">
        <f t="shared" si="5"/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.75">
      <c r="B82" s="49" t="s">
        <v>301</v>
      </c>
      <c r="C82" s="58" t="s">
        <v>302</v>
      </c>
      <c r="D82" s="23">
        <f>SUM(D76:D81)</f>
        <v>0</v>
      </c>
      <c r="E82" s="23">
        <f>SUM(E76:E81)</f>
        <v>0</v>
      </c>
      <c r="F82" s="23">
        <f>SUM(F76:F81)</f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.75">
      <c r="B83" s="59" t="s">
        <v>656</v>
      </c>
      <c r="C83" s="57" t="s">
        <v>304</v>
      </c>
      <c r="D83" s="22"/>
      <c r="E83" s="22"/>
      <c r="F83" s="23">
        <f aca="true" t="shared" si="6" ref="F83:F93">+E83+D83</f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.75">
      <c r="B84" s="59" t="s">
        <v>305</v>
      </c>
      <c r="C84" s="57" t="s">
        <v>306</v>
      </c>
      <c r="D84" s="22">
        <v>15525</v>
      </c>
      <c r="E84" s="22">
        <v>630</v>
      </c>
      <c r="F84" s="23">
        <f t="shared" si="6"/>
        <v>16155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.75">
      <c r="B85" s="59" t="s">
        <v>307</v>
      </c>
      <c r="C85" s="57" t="s">
        <v>308</v>
      </c>
      <c r="D85" s="22"/>
      <c r="E85" s="22"/>
      <c r="F85" s="23">
        <f t="shared" si="6"/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.75">
      <c r="B86" s="59" t="s">
        <v>309</v>
      </c>
      <c r="C86" s="57" t="s">
        <v>310</v>
      </c>
      <c r="D86" s="22"/>
      <c r="E86" s="22"/>
      <c r="F86" s="23">
        <f t="shared" si="6"/>
        <v>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.75">
      <c r="B87" s="59" t="s">
        <v>311</v>
      </c>
      <c r="C87" s="57" t="s">
        <v>312</v>
      </c>
      <c r="D87" s="22">
        <v>113680</v>
      </c>
      <c r="E87" s="22">
        <v>0</v>
      </c>
      <c r="F87" s="23">
        <f t="shared" si="6"/>
        <v>113680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.75">
      <c r="B88" s="59" t="s">
        <v>313</v>
      </c>
      <c r="C88" s="57" t="s">
        <v>314</v>
      </c>
      <c r="D88" s="22">
        <v>8261</v>
      </c>
      <c r="E88" s="22">
        <v>170</v>
      </c>
      <c r="F88" s="23">
        <f t="shared" si="6"/>
        <v>8431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.75">
      <c r="B89" s="59" t="s">
        <v>315</v>
      </c>
      <c r="C89" s="57" t="s">
        <v>316</v>
      </c>
      <c r="D89" s="22"/>
      <c r="E89" s="22"/>
      <c r="F89" s="23">
        <f t="shared" si="6"/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.75">
      <c r="B90" s="59" t="s">
        <v>317</v>
      </c>
      <c r="C90" s="57" t="s">
        <v>318</v>
      </c>
      <c r="D90" s="22"/>
      <c r="E90" s="22"/>
      <c r="F90" s="23">
        <f t="shared" si="6"/>
        <v>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.75">
      <c r="B91" s="59" t="s">
        <v>319</v>
      </c>
      <c r="C91" s="57" t="s">
        <v>320</v>
      </c>
      <c r="D91" s="22"/>
      <c r="E91" s="22"/>
      <c r="F91" s="23">
        <f t="shared" si="6"/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.75">
      <c r="B92" s="59" t="s">
        <v>321</v>
      </c>
      <c r="C92" s="57" t="s">
        <v>322</v>
      </c>
      <c r="D92" s="22"/>
      <c r="E92" s="22"/>
      <c r="F92" s="23">
        <f t="shared" si="6"/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.75">
      <c r="B93" s="59" t="s">
        <v>323</v>
      </c>
      <c r="C93" s="57" t="s">
        <v>324</v>
      </c>
      <c r="D93" s="22">
        <v>0</v>
      </c>
      <c r="E93" s="22"/>
      <c r="F93" s="23">
        <f t="shared" si="6"/>
        <v>0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.75">
      <c r="B94" s="50" t="s">
        <v>325</v>
      </c>
      <c r="C94" s="58" t="s">
        <v>326</v>
      </c>
      <c r="D94" s="23">
        <f>SUM(D83:D93)</f>
        <v>137466</v>
      </c>
      <c r="E94" s="23">
        <f>SUM(E83:E93)</f>
        <v>800</v>
      </c>
      <c r="F94" s="23">
        <f>SUM(F83:F93)</f>
        <v>138266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.75">
      <c r="B95" s="59" t="s">
        <v>327</v>
      </c>
      <c r="C95" s="57" t="s">
        <v>328</v>
      </c>
      <c r="D95" s="22"/>
      <c r="E95" s="22"/>
      <c r="F95" s="23">
        <f>+E95+D95</f>
        <v>0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.75">
      <c r="B96" s="59" t="s">
        <v>329</v>
      </c>
      <c r="C96" s="57" t="s">
        <v>330</v>
      </c>
      <c r="D96" s="22"/>
      <c r="E96" s="22"/>
      <c r="F96" s="23">
        <f>+E96+D96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.75">
      <c r="B97" s="59" t="s">
        <v>331</v>
      </c>
      <c r="C97" s="57" t="s">
        <v>332</v>
      </c>
      <c r="D97" s="22"/>
      <c r="E97" s="22"/>
      <c r="F97" s="23">
        <f>+E97+D97</f>
        <v>0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ht="15.75">
      <c r="B98" s="59" t="s">
        <v>333</v>
      </c>
      <c r="C98" s="57" t="s">
        <v>334</v>
      </c>
      <c r="D98" s="22"/>
      <c r="E98" s="22"/>
      <c r="F98" s="23">
        <f>+E98+D98</f>
        <v>0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ht="15.75">
      <c r="B99" s="59" t="s">
        <v>335</v>
      </c>
      <c r="C99" s="57" t="s">
        <v>336</v>
      </c>
      <c r="D99" s="22"/>
      <c r="E99" s="22"/>
      <c r="F99" s="23">
        <f>+E99+D99</f>
        <v>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ht="15.75">
      <c r="B100" s="49" t="s">
        <v>337</v>
      </c>
      <c r="C100" s="58" t="s">
        <v>338</v>
      </c>
      <c r="D100" s="23">
        <f>SUM(D95:D99)</f>
        <v>0</v>
      </c>
      <c r="E100" s="23">
        <f>SUM(E95:E99)</f>
        <v>0</v>
      </c>
      <c r="F100" s="23">
        <f>SUM(F95:F99)</f>
        <v>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ht="15.75">
      <c r="B101" s="49" t="s">
        <v>339</v>
      </c>
      <c r="C101" s="58" t="s">
        <v>340</v>
      </c>
      <c r="D101" s="22"/>
      <c r="E101" s="22">
        <v>8582</v>
      </c>
      <c r="F101" s="23">
        <f>+E101+D101</f>
        <v>8582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ht="31.5">
      <c r="B102" s="59" t="s">
        <v>341</v>
      </c>
      <c r="C102" s="57" t="s">
        <v>342</v>
      </c>
      <c r="D102" s="22"/>
      <c r="E102" s="22"/>
      <c r="F102" s="23">
        <f>+E102+D102</f>
        <v>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ht="15.75">
      <c r="B103" s="46" t="s">
        <v>343</v>
      </c>
      <c r="C103" s="57" t="s">
        <v>344</v>
      </c>
      <c r="D103" s="22"/>
      <c r="E103" s="22"/>
      <c r="F103" s="2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ht="31.5">
      <c r="B104" s="59" t="s">
        <v>345</v>
      </c>
      <c r="C104" s="57" t="s">
        <v>346</v>
      </c>
      <c r="D104" s="22"/>
      <c r="E104" s="22"/>
      <c r="F104" s="2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ht="31.5">
      <c r="B105" s="59" t="s">
        <v>347</v>
      </c>
      <c r="C105" s="57" t="s">
        <v>348</v>
      </c>
      <c r="D105" s="22"/>
      <c r="E105" s="22"/>
      <c r="F105" s="23">
        <f>+E105+D105</f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ht="15.75">
      <c r="B106" s="59" t="s">
        <v>349</v>
      </c>
      <c r="C106" s="57" t="s">
        <v>350</v>
      </c>
      <c r="D106" s="22">
        <v>3000</v>
      </c>
      <c r="E106" s="22"/>
      <c r="F106" s="23">
        <f>+E106+D106</f>
        <v>3000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ht="15.75">
      <c r="B107" s="49" t="s">
        <v>351</v>
      </c>
      <c r="C107" s="58" t="s">
        <v>352</v>
      </c>
      <c r="D107" s="23">
        <f>SUM(D102:D106)</f>
        <v>3000</v>
      </c>
      <c r="E107" s="23">
        <f>SUM(E102:E106)</f>
        <v>0</v>
      </c>
      <c r="F107" s="23">
        <f>SUM(F102:F106)</f>
        <v>3000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ht="15.75">
      <c r="B108" s="80" t="s">
        <v>353</v>
      </c>
      <c r="C108" s="60" t="s">
        <v>354</v>
      </c>
      <c r="D108" s="62">
        <f>+D107+D101+D100+D94+D82+D75+D74</f>
        <v>140466</v>
      </c>
      <c r="E108" s="62">
        <f>+E107+E101+E100+E94+E82+E75+E74</f>
        <v>9382</v>
      </c>
      <c r="F108" s="62">
        <f>+F107+F101+F100+F94+F82+F75+F74</f>
        <v>149848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ht="15.75">
      <c r="B109" s="81" t="s">
        <v>355</v>
      </c>
      <c r="C109" s="82"/>
      <c r="D109" s="83">
        <f>+D101+D94+D82+D74-D33</f>
        <v>-246370</v>
      </c>
      <c r="E109" s="83">
        <f>+E101+E94+E82+E74-E33</f>
        <v>-18574</v>
      </c>
      <c r="F109" s="83">
        <f aca="true" t="shared" si="7" ref="F109:F116">+E109+D109</f>
        <v>-264944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ht="15.75">
      <c r="B110" s="81" t="s">
        <v>356</v>
      </c>
      <c r="C110" s="82"/>
      <c r="D110" s="83">
        <f>+D107+D100+D75-D57</f>
        <v>0</v>
      </c>
      <c r="E110" s="83">
        <f>+E107+E100+E75-E57</f>
        <v>0</v>
      </c>
      <c r="F110" s="83">
        <f t="shared" si="7"/>
        <v>0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6" ht="15.75">
      <c r="B111" s="50" t="s">
        <v>657</v>
      </c>
      <c r="C111" s="49" t="s">
        <v>364</v>
      </c>
      <c r="D111" s="22"/>
      <c r="E111" s="22"/>
      <c r="F111" s="23">
        <f t="shared" si="7"/>
        <v>0</v>
      </c>
    </row>
    <row r="112" spans="2:6" ht="15.75">
      <c r="B112" s="71" t="s">
        <v>658</v>
      </c>
      <c r="C112" s="49" t="s">
        <v>374</v>
      </c>
      <c r="D112" s="22"/>
      <c r="E112" s="22"/>
      <c r="F112" s="23">
        <f t="shared" si="7"/>
        <v>0</v>
      </c>
    </row>
    <row r="113" spans="2:6" ht="15.75">
      <c r="B113" s="46" t="s">
        <v>375</v>
      </c>
      <c r="C113" s="46" t="s">
        <v>376</v>
      </c>
      <c r="D113" s="22"/>
      <c r="E113" s="22"/>
      <c r="F113" s="23">
        <f t="shared" si="7"/>
        <v>0</v>
      </c>
    </row>
    <row r="114" spans="2:6" ht="15.75">
      <c r="B114" s="46" t="s">
        <v>377</v>
      </c>
      <c r="C114" s="46" t="s">
        <v>376</v>
      </c>
      <c r="D114" s="22"/>
      <c r="E114" s="22"/>
      <c r="F114" s="23">
        <f t="shared" si="7"/>
        <v>0</v>
      </c>
    </row>
    <row r="115" spans="2:6" ht="15.75">
      <c r="B115" s="46" t="s">
        <v>378</v>
      </c>
      <c r="C115" s="46" t="s">
        <v>379</v>
      </c>
      <c r="D115" s="22"/>
      <c r="E115" s="22"/>
      <c r="F115" s="23">
        <f t="shared" si="7"/>
        <v>0</v>
      </c>
    </row>
    <row r="116" spans="2:6" ht="15.75">
      <c r="B116" s="46" t="s">
        <v>380</v>
      </c>
      <c r="C116" s="46" t="s">
        <v>379</v>
      </c>
      <c r="D116" s="22"/>
      <c r="E116" s="22"/>
      <c r="F116" s="23">
        <f t="shared" si="7"/>
        <v>0</v>
      </c>
    </row>
    <row r="117" spans="1:6" ht="15.75">
      <c r="A117" s="88" t="s">
        <v>667</v>
      </c>
      <c r="B117" s="49" t="s">
        <v>381</v>
      </c>
      <c r="C117" s="49" t="s">
        <v>382</v>
      </c>
      <c r="D117" s="23">
        <f>SUM(D113:D116)</f>
        <v>0</v>
      </c>
      <c r="E117" s="23">
        <f>SUM(E113:E116)</f>
        <v>0</v>
      </c>
      <c r="F117" s="23">
        <f>SUM(F113:F116)</f>
        <v>0</v>
      </c>
    </row>
    <row r="118" spans="1:6" ht="15.75">
      <c r="A118" s="88" t="s">
        <v>668</v>
      </c>
      <c r="B118" s="67" t="s">
        <v>383</v>
      </c>
      <c r="C118" s="46" t="s">
        <v>384</v>
      </c>
      <c r="D118" s="22"/>
      <c r="E118" s="22"/>
      <c r="F118" s="23">
        <f aca="true" t="shared" si="8" ref="F118:F125">+E118+D118</f>
        <v>0</v>
      </c>
    </row>
    <row r="119" spans="2:6" ht="15.75">
      <c r="B119" s="67" t="s">
        <v>385</v>
      </c>
      <c r="C119" s="46" t="s">
        <v>386</v>
      </c>
      <c r="D119" s="22"/>
      <c r="E119" s="22"/>
      <c r="F119" s="23">
        <f t="shared" si="8"/>
        <v>0</v>
      </c>
    </row>
    <row r="120" spans="1:6" ht="15.75">
      <c r="A120" s="28" t="s">
        <v>677</v>
      </c>
      <c r="B120" s="67" t="s">
        <v>387</v>
      </c>
      <c r="C120" s="46" t="s">
        <v>388</v>
      </c>
      <c r="D120" s="22">
        <v>246370</v>
      </c>
      <c r="E120" s="22">
        <v>18574</v>
      </c>
      <c r="F120" s="23">
        <f t="shared" si="8"/>
        <v>264944</v>
      </c>
    </row>
    <row r="121" spans="2:6" s="245" customFormat="1" ht="15.75">
      <c r="B121" s="246" t="s">
        <v>670</v>
      </c>
      <c r="C121" s="147"/>
      <c r="D121" s="103">
        <v>215793</v>
      </c>
      <c r="E121" s="103">
        <v>18300</v>
      </c>
      <c r="F121" s="133">
        <f t="shared" si="8"/>
        <v>234093</v>
      </c>
    </row>
    <row r="122" spans="2:6" s="245" customFormat="1" ht="15.75">
      <c r="B122" s="247" t="s">
        <v>662</v>
      </c>
      <c r="C122" s="147"/>
      <c r="D122" s="103">
        <f>+D120-D121</f>
        <v>30577</v>
      </c>
      <c r="E122" s="103">
        <f>+E120-E121</f>
        <v>274</v>
      </c>
      <c r="F122" s="133">
        <f t="shared" si="8"/>
        <v>30851</v>
      </c>
    </row>
    <row r="123" spans="2:6" ht="15.75">
      <c r="B123" s="67" t="s">
        <v>389</v>
      </c>
      <c r="C123" s="46" t="s">
        <v>390</v>
      </c>
      <c r="D123" s="22"/>
      <c r="E123" s="22"/>
      <c r="F123" s="23">
        <f t="shared" si="8"/>
        <v>0</v>
      </c>
    </row>
    <row r="124" spans="2:6" ht="15.75">
      <c r="B124" s="59" t="s">
        <v>391</v>
      </c>
      <c r="C124" s="46" t="s">
        <v>392</v>
      </c>
      <c r="D124" s="22"/>
      <c r="E124" s="22"/>
      <c r="F124" s="23">
        <f t="shared" si="8"/>
        <v>0</v>
      </c>
    </row>
    <row r="125" spans="2:6" ht="15.75">
      <c r="B125" s="59" t="s">
        <v>393</v>
      </c>
      <c r="C125" s="46" t="s">
        <v>394</v>
      </c>
      <c r="D125" s="22"/>
      <c r="E125" s="22"/>
      <c r="F125" s="23">
        <f t="shared" si="8"/>
        <v>0</v>
      </c>
    </row>
    <row r="126" spans="2:6" ht="15.75">
      <c r="B126" s="50" t="s">
        <v>395</v>
      </c>
      <c r="C126" s="49" t="s">
        <v>396</v>
      </c>
      <c r="D126" s="23">
        <f>SUM(D118:D125)+D117+D112+D111-D121-D122</f>
        <v>246370</v>
      </c>
      <c r="E126" s="23">
        <f>SUM(E118:E125)+E117+E112+E111-E121-E122</f>
        <v>18574</v>
      </c>
      <c r="F126" s="23">
        <f>SUM(F118:F124)+F117+F112+F111-F121-F122</f>
        <v>264944</v>
      </c>
    </row>
    <row r="127" spans="2:6" ht="15.75" hidden="1">
      <c r="B127" s="67" t="s">
        <v>397</v>
      </c>
      <c r="C127" s="46" t="s">
        <v>398</v>
      </c>
      <c r="D127" s="22"/>
      <c r="E127" s="22"/>
      <c r="F127" s="23">
        <f>+E127+D127</f>
        <v>0</v>
      </c>
    </row>
    <row r="128" spans="2:6" ht="15.75" hidden="1">
      <c r="B128" s="59" t="s">
        <v>399</v>
      </c>
      <c r="C128" s="46" t="s">
        <v>400</v>
      </c>
      <c r="D128" s="22"/>
      <c r="E128" s="22"/>
      <c r="F128" s="23">
        <f>+E128+D128</f>
        <v>0</v>
      </c>
    </row>
    <row r="129" spans="2:6" ht="15.75" hidden="1">
      <c r="B129" s="59" t="s">
        <v>401</v>
      </c>
      <c r="C129" s="46" t="s">
        <v>402</v>
      </c>
      <c r="D129" s="22"/>
      <c r="E129" s="22"/>
      <c r="F129" s="23">
        <f>+E129+D129</f>
        <v>0</v>
      </c>
    </row>
    <row r="130" spans="2:6" ht="15.75">
      <c r="B130" s="72" t="s">
        <v>403</v>
      </c>
      <c r="C130" s="73" t="s">
        <v>404</v>
      </c>
      <c r="D130" s="62">
        <f>+D128+D127+D126+D129</f>
        <v>246370</v>
      </c>
      <c r="E130" s="62">
        <f>+E128+E127+E126+E129</f>
        <v>18574</v>
      </c>
      <c r="F130" s="62">
        <f>+F129+F127+F126</f>
        <v>264944</v>
      </c>
    </row>
    <row r="131" spans="2:6" ht="15.75">
      <c r="B131" s="26" t="s">
        <v>405</v>
      </c>
      <c r="C131" s="26" t="s">
        <v>406</v>
      </c>
      <c r="D131" s="27">
        <f>+D108+D130</f>
        <v>386836</v>
      </c>
      <c r="E131" s="27">
        <f>+E108+E130</f>
        <v>27956</v>
      </c>
      <c r="F131" s="27">
        <f>+F108+F130</f>
        <v>414792</v>
      </c>
    </row>
    <row r="132" spans="2:6" ht="15.75">
      <c r="B132" s="12"/>
      <c r="C132" s="12"/>
      <c r="D132" s="13"/>
      <c r="E132" s="13"/>
      <c r="F132" s="84"/>
    </row>
    <row r="133" spans="2:6" ht="15.75">
      <c r="B133" s="24" t="s">
        <v>407</v>
      </c>
      <c r="C133" s="24"/>
      <c r="D133" s="23">
        <f>+D108-D58</f>
        <v>-246370</v>
      </c>
      <c r="E133" s="23">
        <f>+E108-E58</f>
        <v>-18574</v>
      </c>
      <c r="F133" s="23">
        <f>+F108-F58</f>
        <v>-264944</v>
      </c>
    </row>
    <row r="134" spans="2:6" ht="15.75">
      <c r="B134" s="24" t="s">
        <v>408</v>
      </c>
      <c r="C134" s="24"/>
      <c r="D134" s="23">
        <f>+D130-D63</f>
        <v>246370</v>
      </c>
      <c r="E134" s="23">
        <f>+E130-E63</f>
        <v>18574</v>
      </c>
      <c r="F134" s="23">
        <f>+F130-F63</f>
        <v>264944</v>
      </c>
    </row>
    <row r="135" spans="2:6" ht="15.75">
      <c r="B135" s="12"/>
      <c r="C135" s="12"/>
      <c r="D135" s="13"/>
      <c r="E135" s="13"/>
      <c r="F135" s="84"/>
    </row>
    <row r="136" spans="2:6" ht="15.75">
      <c r="B136" s="87" t="s">
        <v>411</v>
      </c>
      <c r="C136" s="12"/>
      <c r="D136" s="13">
        <f>+D131-D64</f>
        <v>0</v>
      </c>
      <c r="E136" s="13">
        <f>+E131-E64</f>
        <v>0</v>
      </c>
      <c r="F136" s="13">
        <f>+F131-F64</f>
        <v>0</v>
      </c>
    </row>
    <row r="137" spans="2:6" ht="15.75">
      <c r="B137" s="12"/>
      <c r="C137" s="12"/>
      <c r="D137" s="13"/>
      <c r="E137" s="13"/>
      <c r="F137" s="84"/>
    </row>
    <row r="138" spans="2:6" ht="15.75">
      <c r="B138" s="12"/>
      <c r="C138" s="12"/>
      <c r="D138" s="13"/>
      <c r="E138" s="13"/>
      <c r="F138" s="84"/>
    </row>
    <row r="139" spans="2:6" ht="15.75">
      <c r="B139" s="12"/>
      <c r="C139" s="12"/>
      <c r="D139" s="13"/>
      <c r="E139" s="13"/>
      <c r="F139" s="84"/>
    </row>
    <row r="140" spans="2:6" ht="15.75">
      <c r="B140" s="12"/>
      <c r="C140" s="12"/>
      <c r="D140" s="13"/>
      <c r="E140" s="13"/>
      <c r="F140" s="84"/>
    </row>
    <row r="141" spans="2:6" ht="15.75">
      <c r="B141" s="12"/>
      <c r="C141" s="12"/>
      <c r="D141" s="13"/>
      <c r="E141" s="13"/>
      <c r="F141" s="84"/>
    </row>
    <row r="142" spans="2:6" ht="15.75">
      <c r="B142" s="12"/>
      <c r="C142" s="12"/>
      <c r="D142" s="13"/>
      <c r="E142" s="13"/>
      <c r="F142" s="84"/>
    </row>
    <row r="143" spans="2:6" ht="15.75">
      <c r="B143" s="12"/>
      <c r="C143" s="12"/>
      <c r="D143" s="13"/>
      <c r="E143" s="13"/>
      <c r="F143" s="84"/>
    </row>
    <row r="144" spans="2:6" ht="15.75">
      <c r="B144" s="12"/>
      <c r="C144" s="12"/>
      <c r="D144" s="13"/>
      <c r="E144" s="13"/>
      <c r="F144" s="84"/>
    </row>
    <row r="145" spans="2:6" ht="15.75">
      <c r="B145" s="12"/>
      <c r="C145" s="12"/>
      <c r="D145" s="13"/>
      <c r="E145" s="13"/>
      <c r="F145" s="84"/>
    </row>
    <row r="146" spans="2:6" ht="15.75">
      <c r="B146" s="12"/>
      <c r="C146" s="12"/>
      <c r="D146" s="13"/>
      <c r="E146" s="13"/>
      <c r="F146" s="84"/>
    </row>
    <row r="147" spans="2:6" ht="15.75">
      <c r="B147" s="12"/>
      <c r="C147" s="12"/>
      <c r="D147" s="13"/>
      <c r="E147" s="13"/>
      <c r="F147" s="84"/>
    </row>
    <row r="148" spans="2:6" ht="15.75">
      <c r="B148" s="12"/>
      <c r="C148" s="12"/>
      <c r="D148" s="13"/>
      <c r="E148" s="13"/>
      <c r="F148" s="84"/>
    </row>
    <row r="149" spans="2:6" ht="15.75">
      <c r="B149" s="12"/>
      <c r="C149" s="12"/>
      <c r="D149" s="13"/>
      <c r="E149" s="13"/>
      <c r="F149" s="84"/>
    </row>
    <row r="150" spans="2:6" ht="15.75">
      <c r="B150" s="12"/>
      <c r="C150" s="12"/>
      <c r="D150" s="13"/>
      <c r="E150" s="13"/>
      <c r="F150" s="84"/>
    </row>
    <row r="151" spans="2:6" ht="15.75">
      <c r="B151" s="12"/>
      <c r="C151" s="12"/>
      <c r="D151" s="13"/>
      <c r="E151" s="13"/>
      <c r="F151" s="84"/>
    </row>
    <row r="152" spans="2:6" ht="15.75">
      <c r="B152" s="12"/>
      <c r="C152" s="12"/>
      <c r="D152" s="13"/>
      <c r="E152" s="13"/>
      <c r="F152" s="84"/>
    </row>
    <row r="153" spans="2:6" ht="15.75">
      <c r="B153" s="12"/>
      <c r="C153" s="12"/>
      <c r="D153" s="13"/>
      <c r="E153" s="13"/>
      <c r="F153" s="84"/>
    </row>
    <row r="154" spans="2:6" ht="15.75">
      <c r="B154" s="12"/>
      <c r="C154" s="12"/>
      <c r="D154" s="13"/>
      <c r="E154" s="13"/>
      <c r="F154" s="84"/>
    </row>
    <row r="155" spans="2:6" ht="15.75">
      <c r="B155" s="12"/>
      <c r="C155" s="12"/>
      <c r="D155" s="13"/>
      <c r="E155" s="13"/>
      <c r="F155" s="84"/>
    </row>
    <row r="156" spans="2:6" ht="15.75">
      <c r="B156" s="12"/>
      <c r="C156" s="12"/>
      <c r="D156" s="13"/>
      <c r="E156" s="13"/>
      <c r="F156" s="84"/>
    </row>
    <row r="157" spans="2:6" ht="15.75">
      <c r="B157" s="12"/>
      <c r="C157" s="12"/>
      <c r="D157" s="13"/>
      <c r="E157" s="13"/>
      <c r="F157" s="84"/>
    </row>
    <row r="158" spans="2:6" ht="15.75">
      <c r="B158" s="12"/>
      <c r="C158" s="12"/>
      <c r="D158" s="13"/>
      <c r="E158" s="13"/>
      <c r="F158" s="84"/>
    </row>
    <row r="159" spans="2:6" ht="15.75">
      <c r="B159" s="12"/>
      <c r="C159" s="12"/>
      <c r="D159" s="13"/>
      <c r="E159" s="13"/>
      <c r="F159" s="84"/>
    </row>
    <row r="160" spans="2:6" ht="15.75">
      <c r="B160" s="12"/>
      <c r="C160" s="12"/>
      <c r="D160" s="13"/>
      <c r="E160" s="13"/>
      <c r="F160" s="84"/>
    </row>
    <row r="161" spans="2:6" ht="15.75">
      <c r="B161" s="12"/>
      <c r="C161" s="12"/>
      <c r="D161" s="13"/>
      <c r="E161" s="13"/>
      <c r="F161" s="84"/>
    </row>
    <row r="162" spans="2:6" ht="15.75">
      <c r="B162" s="12"/>
      <c r="C162" s="12"/>
      <c r="D162" s="13"/>
      <c r="E162" s="13"/>
      <c r="F162" s="84"/>
    </row>
    <row r="163" spans="2:6" ht="15.75">
      <c r="B163" s="12"/>
      <c r="C163" s="12"/>
      <c r="D163" s="13"/>
      <c r="E163" s="13"/>
      <c r="F163" s="84"/>
    </row>
    <row r="164" spans="2:6" ht="15.75">
      <c r="B164" s="12"/>
      <c r="C164" s="12"/>
      <c r="D164" s="13"/>
      <c r="E164" s="13"/>
      <c r="F164" s="84"/>
    </row>
    <row r="165" spans="2:6" ht="15.75">
      <c r="B165" s="12"/>
      <c r="C165" s="12"/>
      <c r="D165" s="13"/>
      <c r="E165" s="13"/>
      <c r="F165" s="84"/>
    </row>
    <row r="166" spans="2:6" ht="15.75">
      <c r="B166" s="12"/>
      <c r="C166" s="12"/>
      <c r="D166" s="13"/>
      <c r="E166" s="13"/>
      <c r="F166" s="84"/>
    </row>
    <row r="167" spans="2:6" ht="15.75">
      <c r="B167" s="12"/>
      <c r="C167" s="12"/>
      <c r="D167" s="13"/>
      <c r="E167" s="13"/>
      <c r="F167" s="84"/>
    </row>
    <row r="168" spans="2:6" ht="15.75">
      <c r="B168" s="12"/>
      <c r="C168" s="12"/>
      <c r="D168" s="13"/>
      <c r="E168" s="13"/>
      <c r="F168" s="84"/>
    </row>
    <row r="169" spans="2:6" ht="15.75">
      <c r="B169" s="12"/>
      <c r="C169" s="12"/>
      <c r="D169" s="13"/>
      <c r="E169" s="13"/>
      <c r="F169" s="84"/>
    </row>
    <row r="170" spans="2:6" ht="15.75">
      <c r="B170" s="12"/>
      <c r="C170" s="12"/>
      <c r="D170" s="13"/>
      <c r="E170" s="13"/>
      <c r="F170" s="84"/>
    </row>
    <row r="171" spans="2:6" ht="15.75">
      <c r="B171" s="12"/>
      <c r="C171" s="12"/>
      <c r="D171" s="13"/>
      <c r="E171" s="13"/>
      <c r="F171" s="84"/>
    </row>
    <row r="172" spans="2:6" ht="15.75">
      <c r="B172" s="12"/>
      <c r="C172" s="12"/>
      <c r="D172" s="13"/>
      <c r="E172" s="13"/>
      <c r="F172" s="84"/>
    </row>
    <row r="173" spans="2:6" ht="15.75">
      <c r="B173" s="12"/>
      <c r="C173" s="12"/>
      <c r="D173" s="13"/>
      <c r="E173" s="13"/>
      <c r="F173" s="84"/>
    </row>
    <row r="174" spans="2:6" ht="15.75">
      <c r="B174" s="12"/>
      <c r="C174" s="12"/>
      <c r="D174" s="13"/>
      <c r="E174" s="13"/>
      <c r="F174" s="84"/>
    </row>
    <row r="175" spans="2:6" ht="15.75">
      <c r="B175" s="12"/>
      <c r="C175" s="12"/>
      <c r="D175" s="13"/>
      <c r="E175" s="13"/>
      <c r="F175" s="84"/>
    </row>
    <row r="176" spans="2:6" ht="15.75">
      <c r="B176" s="12"/>
      <c r="C176" s="12"/>
      <c r="D176" s="13"/>
      <c r="E176" s="13"/>
      <c r="F176" s="84"/>
    </row>
    <row r="177" spans="2:6" ht="15.75">
      <c r="B177" s="12"/>
      <c r="C177" s="12"/>
      <c r="D177" s="13"/>
      <c r="E177" s="13"/>
      <c r="F177" s="84"/>
    </row>
    <row r="178" spans="2:6" ht="15.75">
      <c r="B178" s="12"/>
      <c r="C178" s="12"/>
      <c r="D178" s="13"/>
      <c r="E178" s="13"/>
      <c r="F178" s="84"/>
    </row>
    <row r="179" spans="2:6" ht="15.75">
      <c r="B179" s="12"/>
      <c r="C179" s="12"/>
      <c r="D179" s="13"/>
      <c r="E179" s="13"/>
      <c r="F179" s="84"/>
    </row>
    <row r="180" spans="2:6" ht="15.75">
      <c r="B180" s="12"/>
      <c r="C180" s="12"/>
      <c r="D180" s="13"/>
      <c r="E180" s="13"/>
      <c r="F180" s="84"/>
    </row>
    <row r="181" spans="2:6" ht="15.75">
      <c r="B181" s="12"/>
      <c r="C181" s="12"/>
      <c r="D181" s="13"/>
      <c r="E181" s="13"/>
      <c r="F181" s="84"/>
    </row>
    <row r="182" spans="2:6" ht="15.75">
      <c r="B182" s="12"/>
      <c r="C182" s="12"/>
      <c r="D182" s="13"/>
      <c r="E182" s="13"/>
      <c r="F182" s="84"/>
    </row>
    <row r="183" spans="2:6" ht="15.75">
      <c r="B183" s="12"/>
      <c r="C183" s="12"/>
      <c r="D183" s="13"/>
      <c r="E183" s="13"/>
      <c r="F183" s="84"/>
    </row>
    <row r="184" spans="2:6" ht="15.75">
      <c r="B184" s="12"/>
      <c r="C184" s="12"/>
      <c r="D184" s="13"/>
      <c r="E184" s="13"/>
      <c r="F184" s="84"/>
    </row>
    <row r="185" spans="2:6" ht="15.75">
      <c r="B185" s="12"/>
      <c r="C185" s="12"/>
      <c r="D185" s="13"/>
      <c r="E185" s="13"/>
      <c r="F185" s="84"/>
    </row>
    <row r="186" spans="2:6" ht="15.75">
      <c r="B186" s="12"/>
      <c r="C186" s="12"/>
      <c r="D186" s="13"/>
      <c r="E186" s="13"/>
      <c r="F186" s="84"/>
    </row>
    <row r="187" spans="2:6" ht="15.75">
      <c r="B187" s="12"/>
      <c r="C187" s="12"/>
      <c r="D187" s="13"/>
      <c r="E187" s="13"/>
      <c r="F187" s="84"/>
    </row>
    <row r="188" spans="2:6" ht="15.75">
      <c r="B188" s="12"/>
      <c r="C188" s="12"/>
      <c r="D188" s="13"/>
      <c r="E188" s="13"/>
      <c r="F188" s="84"/>
    </row>
    <row r="189" spans="2:6" ht="15.75">
      <c r="B189" s="12"/>
      <c r="C189" s="12"/>
      <c r="D189" s="13"/>
      <c r="E189" s="13"/>
      <c r="F189" s="84"/>
    </row>
    <row r="190" spans="2:6" ht="15.75">
      <c r="B190" s="12"/>
      <c r="C190" s="12"/>
      <c r="D190" s="13"/>
      <c r="E190" s="13"/>
      <c r="F190" s="84"/>
    </row>
    <row r="191" spans="2:6" ht="15.75">
      <c r="B191" s="12"/>
      <c r="C191" s="12"/>
      <c r="D191" s="13"/>
      <c r="E191" s="13"/>
      <c r="F191" s="84"/>
    </row>
    <row r="192" spans="2:6" ht="15.75">
      <c r="B192" s="12"/>
      <c r="C192" s="12"/>
      <c r="D192" s="13"/>
      <c r="E192" s="13"/>
      <c r="F192" s="84"/>
    </row>
    <row r="193" spans="2:6" ht="15.75">
      <c r="B193" s="12"/>
      <c r="C193" s="12"/>
      <c r="D193" s="13"/>
      <c r="E193" s="13"/>
      <c r="F193" s="84"/>
    </row>
    <row r="194" spans="2:6" ht="15.75">
      <c r="B194" s="12"/>
      <c r="C194" s="12"/>
      <c r="D194" s="13"/>
      <c r="E194" s="13"/>
      <c r="F194" s="84"/>
    </row>
    <row r="195" spans="2:6" ht="15.75">
      <c r="B195" s="12"/>
      <c r="C195" s="12"/>
      <c r="D195" s="12"/>
      <c r="E195" s="12"/>
      <c r="F195" s="25"/>
    </row>
    <row r="196" spans="2:6" ht="15.75">
      <c r="B196" s="12"/>
      <c r="C196" s="12"/>
      <c r="D196" s="12"/>
      <c r="E196" s="12"/>
      <c r="F196" s="25"/>
    </row>
    <row r="197" spans="2:6" ht="15.75">
      <c r="B197" s="12"/>
      <c r="C197" s="12"/>
      <c r="D197" s="12"/>
      <c r="E197" s="12"/>
      <c r="F197" s="25"/>
    </row>
    <row r="198" spans="2:6" ht="15.75">
      <c r="B198" s="12"/>
      <c r="C198" s="12"/>
      <c r="D198" s="12"/>
      <c r="E198" s="12"/>
      <c r="F198" s="25"/>
    </row>
    <row r="199" spans="2:6" ht="15.75">
      <c r="B199" s="12"/>
      <c r="C199" s="12"/>
      <c r="D199" s="12"/>
      <c r="E199" s="12"/>
      <c r="F199" s="25"/>
    </row>
    <row r="200" spans="2:6" ht="15.75">
      <c r="B200" s="12"/>
      <c r="C200" s="12"/>
      <c r="D200" s="12"/>
      <c r="E200" s="12"/>
      <c r="F200" s="25"/>
    </row>
    <row r="201" spans="2:6" ht="15.75">
      <c r="B201" s="12"/>
      <c r="C201" s="12"/>
      <c r="D201" s="12"/>
      <c r="E201" s="12"/>
      <c r="F201" s="25"/>
    </row>
    <row r="202" spans="2:6" ht="15.75">
      <c r="B202" s="12"/>
      <c r="C202" s="12"/>
      <c r="D202" s="12"/>
      <c r="E202" s="12"/>
      <c r="F202" s="25"/>
    </row>
    <row r="203" spans="2:6" ht="15.75">
      <c r="B203" s="12"/>
      <c r="C203" s="12"/>
      <c r="D203" s="12"/>
      <c r="E203" s="12"/>
      <c r="F203" s="25"/>
    </row>
    <row r="204" spans="2:6" ht="15.75">
      <c r="B204" s="12"/>
      <c r="C204" s="12"/>
      <c r="D204" s="12"/>
      <c r="E204" s="12"/>
      <c r="F204" s="25"/>
    </row>
    <row r="205" spans="2:6" ht="15.75">
      <c r="B205" s="12"/>
      <c r="C205" s="12"/>
      <c r="D205" s="12"/>
      <c r="E205" s="12"/>
      <c r="F205" s="25"/>
    </row>
    <row r="206" spans="2:6" ht="15.75">
      <c r="B206" s="12"/>
      <c r="C206" s="12"/>
      <c r="D206" s="12"/>
      <c r="E206" s="12"/>
      <c r="F206" s="25"/>
    </row>
    <row r="207" spans="2:6" ht="15.75">
      <c r="B207" s="12"/>
      <c r="C207" s="12"/>
      <c r="D207" s="12"/>
      <c r="E207" s="12"/>
      <c r="F207" s="25"/>
    </row>
    <row r="208" spans="2:6" ht="15.75">
      <c r="B208" s="12"/>
      <c r="C208" s="12"/>
      <c r="D208" s="12"/>
      <c r="E208" s="12"/>
      <c r="F208" s="25"/>
    </row>
    <row r="209" spans="2:6" ht="15.75">
      <c r="B209" s="12"/>
      <c r="C209" s="12"/>
      <c r="D209" s="12"/>
      <c r="E209" s="12"/>
      <c r="F209" s="25"/>
    </row>
    <row r="210" spans="2:6" ht="15.75">
      <c r="B210" s="12"/>
      <c r="C210" s="12"/>
      <c r="D210" s="12"/>
      <c r="E210" s="12"/>
      <c r="F210" s="25"/>
    </row>
    <row r="211" spans="2:6" ht="15.75">
      <c r="B211" s="12"/>
      <c r="C211" s="12"/>
      <c r="D211" s="12"/>
      <c r="E211" s="12"/>
      <c r="F211" s="25"/>
    </row>
    <row r="212" spans="2:6" ht="15.75">
      <c r="B212" s="12"/>
      <c r="C212" s="12"/>
      <c r="D212" s="12"/>
      <c r="E212" s="12"/>
      <c r="F212" s="25"/>
    </row>
    <row r="213" spans="2:6" ht="15.75">
      <c r="B213" s="12"/>
      <c r="C213" s="12"/>
      <c r="D213" s="12"/>
      <c r="E213" s="12"/>
      <c r="F213" s="25"/>
    </row>
    <row r="214" spans="2:6" ht="15.75">
      <c r="B214" s="12"/>
      <c r="C214" s="12"/>
      <c r="D214" s="12"/>
      <c r="E214" s="12"/>
      <c r="F214" s="25"/>
    </row>
    <row r="215" spans="2:6" ht="15.75">
      <c r="B215" s="12"/>
      <c r="C215" s="12"/>
      <c r="D215" s="12"/>
      <c r="E215" s="12"/>
      <c r="F215" s="25"/>
    </row>
    <row r="216" spans="2:6" ht="15.75">
      <c r="B216" s="12"/>
      <c r="C216" s="12"/>
      <c r="D216" s="12"/>
      <c r="E216" s="12"/>
      <c r="F216" s="25"/>
    </row>
    <row r="217" spans="2:6" ht="15.75">
      <c r="B217" s="12"/>
      <c r="C217" s="12"/>
      <c r="D217" s="12"/>
      <c r="E217" s="12"/>
      <c r="F217" s="25"/>
    </row>
    <row r="218" spans="2:6" ht="15.75">
      <c r="B218" s="12"/>
      <c r="C218" s="12"/>
      <c r="D218" s="12"/>
      <c r="E218" s="12"/>
      <c r="F218" s="25"/>
    </row>
    <row r="219" spans="2:6" ht="15.75">
      <c r="B219" s="12"/>
      <c r="C219" s="12"/>
      <c r="D219" s="12"/>
      <c r="E219" s="12"/>
      <c r="F219" s="25"/>
    </row>
    <row r="220" spans="2:6" ht="15.75">
      <c r="B220" s="12"/>
      <c r="C220" s="12"/>
      <c r="D220" s="12"/>
      <c r="E220" s="12"/>
      <c r="F220" s="25"/>
    </row>
    <row r="221" spans="2:6" ht="15.75">
      <c r="B221" s="12"/>
      <c r="C221" s="12"/>
      <c r="D221" s="12"/>
      <c r="E221" s="12"/>
      <c r="F221" s="25"/>
    </row>
    <row r="222" spans="2:6" ht="15.75">
      <c r="B222" s="12"/>
      <c r="C222" s="12"/>
      <c r="D222" s="12"/>
      <c r="E222" s="12"/>
      <c r="F222" s="25"/>
    </row>
    <row r="223" spans="2:6" ht="15.75">
      <c r="B223" s="12"/>
      <c r="C223" s="12"/>
      <c r="D223" s="12"/>
      <c r="E223" s="12"/>
      <c r="F223" s="25"/>
    </row>
    <row r="224" spans="2:6" ht="15.75">
      <c r="B224" s="12"/>
      <c r="C224" s="12"/>
      <c r="D224" s="12"/>
      <c r="E224" s="12"/>
      <c r="F224" s="25"/>
    </row>
    <row r="225" spans="2:6" ht="15.75">
      <c r="B225" s="12"/>
      <c r="C225" s="12"/>
      <c r="D225" s="12"/>
      <c r="E225" s="12"/>
      <c r="F225" s="25"/>
    </row>
    <row r="226" spans="2:6" ht="15.75">
      <c r="B226" s="12"/>
      <c r="C226" s="12"/>
      <c r="D226" s="12"/>
      <c r="E226" s="12"/>
      <c r="F226" s="25"/>
    </row>
    <row r="227" spans="2:6" ht="15.75">
      <c r="B227" s="12"/>
      <c r="C227" s="12"/>
      <c r="D227" s="12"/>
      <c r="E227" s="12"/>
      <c r="F227" s="25"/>
    </row>
    <row r="228" spans="2:6" ht="15.75">
      <c r="B228" s="12"/>
      <c r="C228" s="12"/>
      <c r="D228" s="12"/>
      <c r="E228" s="12"/>
      <c r="F228" s="25"/>
    </row>
    <row r="229" spans="2:6" ht="15.75">
      <c r="B229" s="12"/>
      <c r="C229" s="12"/>
      <c r="D229" s="12"/>
      <c r="E229" s="12"/>
      <c r="F229" s="25"/>
    </row>
    <row r="230" spans="2:6" ht="15.75">
      <c r="B230" s="12"/>
      <c r="C230" s="12"/>
      <c r="D230" s="12"/>
      <c r="E230" s="12"/>
      <c r="F230" s="25"/>
    </row>
    <row r="231" spans="2:6" ht="15.75">
      <c r="B231" s="12"/>
      <c r="C231" s="12"/>
      <c r="D231" s="12"/>
      <c r="E231" s="12"/>
      <c r="F231" s="25"/>
    </row>
    <row r="232" spans="2:6" ht="15.75">
      <c r="B232" s="12"/>
      <c r="C232" s="12"/>
      <c r="D232" s="12"/>
      <c r="E232" s="12"/>
      <c r="F232" s="25"/>
    </row>
    <row r="233" spans="2:6" ht="15.75">
      <c r="B233" s="12"/>
      <c r="C233" s="12"/>
      <c r="D233" s="12"/>
      <c r="E233" s="12"/>
      <c r="F233" s="25"/>
    </row>
    <row r="234" spans="2:6" ht="15.75">
      <c r="B234" s="12"/>
      <c r="C234" s="12"/>
      <c r="D234" s="12"/>
      <c r="E234" s="12"/>
      <c r="F234" s="25"/>
    </row>
    <row r="235" spans="2:6" ht="15.75">
      <c r="B235" s="12"/>
      <c r="C235" s="12"/>
      <c r="D235" s="12"/>
      <c r="E235" s="12"/>
      <c r="F235" s="25"/>
    </row>
    <row r="236" spans="2:6" ht="15.75">
      <c r="B236" s="12"/>
      <c r="C236" s="12"/>
      <c r="D236" s="12"/>
      <c r="E236" s="12"/>
      <c r="F236" s="25"/>
    </row>
    <row r="237" spans="2:6" ht="15.75">
      <c r="B237" s="12"/>
      <c r="C237" s="12"/>
      <c r="D237" s="12"/>
      <c r="E237" s="12"/>
      <c r="F237" s="25"/>
    </row>
    <row r="238" spans="2:6" ht="15.75">
      <c r="B238" s="12"/>
      <c r="C238" s="12"/>
      <c r="D238" s="12"/>
      <c r="E238" s="12"/>
      <c r="F238" s="25"/>
    </row>
    <row r="239" spans="2:6" ht="15.75">
      <c r="B239" s="12"/>
      <c r="C239" s="12"/>
      <c r="D239" s="12"/>
      <c r="E239" s="12"/>
      <c r="F239" s="25"/>
    </row>
    <row r="240" spans="2:6" ht="15.75">
      <c r="B240" s="12"/>
      <c r="C240" s="12"/>
      <c r="D240" s="12"/>
      <c r="E240" s="12"/>
      <c r="F240" s="25"/>
    </row>
    <row r="241" spans="2:6" ht="15.75">
      <c r="B241" s="12"/>
      <c r="C241" s="12"/>
      <c r="D241" s="12"/>
      <c r="E241" s="12"/>
      <c r="F241" s="25"/>
    </row>
    <row r="242" spans="2:6" ht="15.75">
      <c r="B242" s="12"/>
      <c r="C242" s="12"/>
      <c r="D242" s="12"/>
      <c r="E242" s="12"/>
      <c r="F242" s="25"/>
    </row>
    <row r="243" spans="2:6" ht="15.75">
      <c r="B243" s="12"/>
      <c r="C243" s="12"/>
      <c r="D243" s="12"/>
      <c r="E243" s="12"/>
      <c r="F243" s="25"/>
    </row>
    <row r="244" spans="2:6" ht="15.75">
      <c r="B244" s="12"/>
      <c r="C244" s="12"/>
      <c r="D244" s="12"/>
      <c r="E244" s="12"/>
      <c r="F244" s="25"/>
    </row>
    <row r="245" spans="2:6" ht="15.75">
      <c r="B245" s="12"/>
      <c r="C245" s="12"/>
      <c r="D245" s="12"/>
      <c r="E245" s="12"/>
      <c r="F245" s="25"/>
    </row>
    <row r="246" spans="2:6" ht="15.75">
      <c r="B246" s="12"/>
      <c r="C246" s="12"/>
      <c r="D246" s="12"/>
      <c r="E246" s="12"/>
      <c r="F246" s="25"/>
    </row>
    <row r="247" spans="2:6" ht="15.75">
      <c r="B247" s="12"/>
      <c r="C247" s="12"/>
      <c r="D247" s="12"/>
      <c r="E247" s="12"/>
      <c r="F247" s="25"/>
    </row>
    <row r="248" spans="2:6" ht="15.75">
      <c r="B248" s="12"/>
      <c r="C248" s="12"/>
      <c r="D248" s="12"/>
      <c r="E248" s="12"/>
      <c r="F248" s="25"/>
    </row>
    <row r="249" spans="2:6" ht="15.75">
      <c r="B249" s="12"/>
      <c r="C249" s="12"/>
      <c r="D249" s="12"/>
      <c r="E249" s="12"/>
      <c r="F249" s="25"/>
    </row>
    <row r="250" spans="2:6" ht="15.75">
      <c r="B250" s="12"/>
      <c r="C250" s="12"/>
      <c r="D250" s="12"/>
      <c r="E250" s="12"/>
      <c r="F250" s="25"/>
    </row>
    <row r="251" spans="2:6" ht="15.75">
      <c r="B251" s="12"/>
      <c r="C251" s="12"/>
      <c r="D251" s="12"/>
      <c r="E251" s="12"/>
      <c r="F251" s="25"/>
    </row>
    <row r="252" spans="2:6" ht="15.75">
      <c r="B252" s="12"/>
      <c r="C252" s="12"/>
      <c r="D252" s="12"/>
      <c r="E252" s="12"/>
      <c r="F252" s="25"/>
    </row>
    <row r="253" spans="2:6" ht="15.75">
      <c r="B253" s="12"/>
      <c r="C253" s="12"/>
      <c r="D253" s="12"/>
      <c r="E253" s="12"/>
      <c r="F253" s="25"/>
    </row>
    <row r="254" spans="2:6" ht="15.75">
      <c r="B254" s="12"/>
      <c r="C254" s="12"/>
      <c r="D254" s="12"/>
      <c r="E254" s="12"/>
      <c r="F254" s="25"/>
    </row>
    <row r="255" spans="2:6" ht="15.75">
      <c r="B255" s="12"/>
      <c r="C255" s="12"/>
      <c r="D255" s="12"/>
      <c r="E255" s="12"/>
      <c r="F255" s="25"/>
    </row>
    <row r="256" spans="2:6" ht="15.75">
      <c r="B256" s="12"/>
      <c r="C256" s="12"/>
      <c r="D256" s="12"/>
      <c r="E256" s="12"/>
      <c r="F256" s="25"/>
    </row>
    <row r="257" spans="2:6" ht="15.75">
      <c r="B257" s="12"/>
      <c r="C257" s="12"/>
      <c r="D257" s="12"/>
      <c r="E257" s="12"/>
      <c r="F257" s="25"/>
    </row>
    <row r="258" spans="2:6" ht="15.75">
      <c r="B258" s="12"/>
      <c r="C258" s="12"/>
      <c r="D258" s="12"/>
      <c r="E258" s="12"/>
      <c r="F258" s="25"/>
    </row>
    <row r="259" spans="2:6" ht="15.75">
      <c r="B259" s="12"/>
      <c r="C259" s="12"/>
      <c r="D259" s="12"/>
      <c r="E259" s="12"/>
      <c r="F259" s="25"/>
    </row>
    <row r="260" spans="2:6" ht="15.75">
      <c r="B260" s="12"/>
      <c r="C260" s="12"/>
      <c r="D260" s="12"/>
      <c r="E260" s="12"/>
      <c r="F260" s="25"/>
    </row>
  </sheetData>
  <sheetProtection selectLockedCells="1" selectUnlockedCells="1"/>
  <mergeCells count="2">
    <mergeCell ref="D5:F5"/>
    <mergeCell ref="D66:F66"/>
  </mergeCells>
  <printOptions horizontalCentered="1"/>
  <pageMargins left="0.6402777777777777" right="0.39375" top="0.5902777777777778" bottom="0.5118055555555555" header="0.5118055555555555" footer="0.31527777777777777"/>
  <pageSetup horizontalDpi="300" verticalDpi="300" orientation="portrait" paperSize="9" scale="64" r:id="rId1"/>
  <headerFooter alignWithMargins="0">
    <oddFooter>&amp;R&amp;P</oddFooter>
  </headerFooter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="75" zoomScaleSheetLayoutView="75" workbookViewId="0" topLeftCell="A1">
      <selection activeCell="G143" sqref="G143"/>
    </sheetView>
  </sheetViews>
  <sheetFormatPr defaultColWidth="9.140625" defaultRowHeight="15"/>
  <cols>
    <col min="1" max="1" width="11.00390625" style="28" customWidth="1"/>
    <col min="2" max="2" width="72.57421875" style="28" customWidth="1"/>
    <col min="3" max="3" width="10.28125" style="28" customWidth="1"/>
    <col min="4" max="4" width="11.57421875" style="28" customWidth="1"/>
    <col min="5" max="5" width="11.140625" style="28" customWidth="1"/>
    <col min="6" max="6" width="12.00390625" style="29" customWidth="1"/>
    <col min="7" max="16384" width="9.140625" style="28" customWidth="1"/>
  </cols>
  <sheetData>
    <row r="1" s="12" customFormat="1" ht="15.75">
      <c r="F1" s="30" t="s">
        <v>678</v>
      </c>
    </row>
    <row r="2" spans="2:6" s="12" customFormat="1" ht="20.25">
      <c r="B2" s="243" t="s">
        <v>84</v>
      </c>
      <c r="F2" s="14" t="s">
        <v>88</v>
      </c>
    </row>
    <row r="3" spans="2:6" s="12" customFormat="1" ht="15.75">
      <c r="B3" s="38" t="s">
        <v>664</v>
      </c>
      <c r="C3" s="34"/>
      <c r="D3" s="34"/>
      <c r="E3" s="34"/>
      <c r="F3" s="35"/>
    </row>
    <row r="4" spans="2:6" s="12" customFormat="1" ht="15.75">
      <c r="B4" s="36" t="s">
        <v>118</v>
      </c>
      <c r="C4" s="37"/>
      <c r="D4" s="37"/>
      <c r="E4" s="37"/>
      <c r="F4" s="38"/>
    </row>
    <row r="5" spans="2:6" ht="15.75" customHeight="1">
      <c r="B5" s="39"/>
      <c r="D5" s="404" t="s">
        <v>91</v>
      </c>
      <c r="E5" s="404"/>
      <c r="F5" s="404"/>
    </row>
    <row r="6" spans="2:6" ht="47.25">
      <c r="B6" s="17" t="s">
        <v>92</v>
      </c>
      <c r="C6" s="40" t="s">
        <v>119</v>
      </c>
      <c r="D6" s="41" t="s">
        <v>93</v>
      </c>
      <c r="E6" s="41" t="s">
        <v>94</v>
      </c>
      <c r="F6" s="169" t="s">
        <v>601</v>
      </c>
    </row>
    <row r="7" spans="2:6" ht="15.75">
      <c r="B7" s="43" t="s">
        <v>120</v>
      </c>
      <c r="C7" s="44" t="s">
        <v>121</v>
      </c>
      <c r="D7" s="22">
        <v>219220</v>
      </c>
      <c r="E7" s="22"/>
      <c r="F7" s="23">
        <f>+D7+E7</f>
        <v>219220</v>
      </c>
    </row>
    <row r="8" spans="2:6" ht="15.75">
      <c r="B8" s="46" t="s">
        <v>122</v>
      </c>
      <c r="C8" s="44" t="s">
        <v>123</v>
      </c>
      <c r="D8" s="22">
        <v>0</v>
      </c>
      <c r="E8" s="22"/>
      <c r="F8" s="23">
        <f>+D8+E8</f>
        <v>0</v>
      </c>
    </row>
    <row r="9" spans="2:6" ht="15.75">
      <c r="B9" s="47" t="s">
        <v>124</v>
      </c>
      <c r="C9" s="48" t="s">
        <v>125</v>
      </c>
      <c r="D9" s="23">
        <f>SUM(D7:D8)</f>
        <v>219220</v>
      </c>
      <c r="E9" s="23">
        <f>SUM(E7:E8)</f>
        <v>0</v>
      </c>
      <c r="F9" s="23">
        <f>SUM(F7:F8)</f>
        <v>219220</v>
      </c>
    </row>
    <row r="10" spans="2:6" ht="15.75">
      <c r="B10" s="49" t="s">
        <v>126</v>
      </c>
      <c r="C10" s="48" t="s">
        <v>127</v>
      </c>
      <c r="D10" s="22">
        <v>57843</v>
      </c>
      <c r="E10" s="22"/>
      <c r="F10" s="23">
        <f aca="true" t="shared" si="0" ref="F10:F15">+D10+E10</f>
        <v>57843</v>
      </c>
    </row>
    <row r="11" spans="2:6" ht="15.75">
      <c r="B11" s="46" t="s">
        <v>128</v>
      </c>
      <c r="C11" s="44" t="s">
        <v>129</v>
      </c>
      <c r="D11" s="22">
        <v>89943</v>
      </c>
      <c r="E11" s="22"/>
      <c r="F11" s="23">
        <f t="shared" si="0"/>
        <v>89943</v>
      </c>
    </row>
    <row r="12" spans="2:6" ht="15.75">
      <c r="B12" s="46" t="s">
        <v>130</v>
      </c>
      <c r="C12" s="44" t="s">
        <v>131</v>
      </c>
      <c r="D12" s="22">
        <v>755</v>
      </c>
      <c r="E12" s="22"/>
      <c r="F12" s="23">
        <f t="shared" si="0"/>
        <v>755</v>
      </c>
    </row>
    <row r="13" spans="2:6" ht="15.75">
      <c r="B13" s="46" t="s">
        <v>132</v>
      </c>
      <c r="C13" s="44" t="s">
        <v>133</v>
      </c>
      <c r="D13" s="22">
        <v>47061</v>
      </c>
      <c r="E13" s="22"/>
      <c r="F13" s="23">
        <f t="shared" si="0"/>
        <v>47061</v>
      </c>
    </row>
    <row r="14" spans="2:6" ht="15.75">
      <c r="B14" s="46" t="s">
        <v>134</v>
      </c>
      <c r="C14" s="44" t="s">
        <v>135</v>
      </c>
      <c r="D14" s="22">
        <v>60</v>
      </c>
      <c r="E14" s="22"/>
      <c r="F14" s="23">
        <f t="shared" si="0"/>
        <v>60</v>
      </c>
    </row>
    <row r="15" spans="2:6" ht="15.75">
      <c r="B15" s="46" t="s">
        <v>136</v>
      </c>
      <c r="C15" s="44" t="s">
        <v>137</v>
      </c>
      <c r="D15" s="22">
        <v>36698</v>
      </c>
      <c r="E15" s="22"/>
      <c r="F15" s="23">
        <f t="shared" si="0"/>
        <v>36698</v>
      </c>
    </row>
    <row r="16" spans="2:6" ht="15.75">
      <c r="B16" s="49" t="s">
        <v>138</v>
      </c>
      <c r="C16" s="48" t="s">
        <v>139</v>
      </c>
      <c r="D16" s="23">
        <f>SUM(D11:D15)</f>
        <v>174517</v>
      </c>
      <c r="E16" s="23">
        <f>SUM(E11:E15)</f>
        <v>0</v>
      </c>
      <c r="F16" s="23">
        <f>SUM(F11:F15)</f>
        <v>174517</v>
      </c>
    </row>
    <row r="17" spans="2:6" ht="15.75">
      <c r="B17" s="50" t="s">
        <v>140</v>
      </c>
      <c r="C17" s="48" t="s">
        <v>141</v>
      </c>
      <c r="D17" s="22"/>
      <c r="E17" s="22"/>
      <c r="F17" s="23">
        <f aca="true" t="shared" si="1" ref="F17:F31">+D17+E17</f>
        <v>0</v>
      </c>
    </row>
    <row r="18" spans="2:6" ht="15.75">
      <c r="B18" s="51" t="s">
        <v>142</v>
      </c>
      <c r="C18" s="44" t="s">
        <v>143</v>
      </c>
      <c r="D18" s="22"/>
      <c r="E18" s="22"/>
      <c r="F18" s="23">
        <f t="shared" si="1"/>
        <v>0</v>
      </c>
    </row>
    <row r="19" spans="2:6" ht="15.75">
      <c r="B19" s="51" t="s">
        <v>144</v>
      </c>
      <c r="C19" s="44" t="s">
        <v>145</v>
      </c>
      <c r="D19" s="22"/>
      <c r="E19" s="22"/>
      <c r="F19" s="23">
        <f t="shared" si="1"/>
        <v>0</v>
      </c>
    </row>
    <row r="20" spans="2:6" ht="15.75">
      <c r="B20" s="51" t="s">
        <v>146</v>
      </c>
      <c r="C20" s="44" t="s">
        <v>147</v>
      </c>
      <c r="D20" s="22"/>
      <c r="E20" s="22"/>
      <c r="F20" s="23">
        <f t="shared" si="1"/>
        <v>0</v>
      </c>
    </row>
    <row r="21" spans="2:6" ht="15.75">
      <c r="B21" s="51" t="s">
        <v>148</v>
      </c>
      <c r="C21" s="44" t="s">
        <v>149</v>
      </c>
      <c r="D21" s="22"/>
      <c r="E21" s="22"/>
      <c r="F21" s="23">
        <f t="shared" si="1"/>
        <v>0</v>
      </c>
    </row>
    <row r="22" spans="2:6" ht="15.75">
      <c r="B22" s="51" t="s">
        <v>150</v>
      </c>
      <c r="C22" s="44" t="s">
        <v>151</v>
      </c>
      <c r="D22" s="22"/>
      <c r="E22" s="22"/>
      <c r="F22" s="23">
        <f t="shared" si="1"/>
        <v>0</v>
      </c>
    </row>
    <row r="23" spans="2:6" ht="15.75">
      <c r="B23" s="51" t="s">
        <v>152</v>
      </c>
      <c r="C23" s="44" t="s">
        <v>153</v>
      </c>
      <c r="D23" s="22"/>
      <c r="E23" s="22"/>
      <c r="F23" s="23">
        <f t="shared" si="1"/>
        <v>0</v>
      </c>
    </row>
    <row r="24" spans="2:6" ht="15.75">
      <c r="B24" s="51" t="s">
        <v>154</v>
      </c>
      <c r="C24" s="44" t="s">
        <v>155</v>
      </c>
      <c r="D24" s="22"/>
      <c r="E24" s="22"/>
      <c r="F24" s="23">
        <f t="shared" si="1"/>
        <v>0</v>
      </c>
    </row>
    <row r="25" spans="2:6" ht="15.75">
      <c r="B25" s="51" t="s">
        <v>156</v>
      </c>
      <c r="C25" s="44" t="s">
        <v>157</v>
      </c>
      <c r="D25" s="22"/>
      <c r="E25" s="22"/>
      <c r="F25" s="23">
        <f t="shared" si="1"/>
        <v>0</v>
      </c>
    </row>
    <row r="26" spans="2:6" ht="15.75">
      <c r="B26" s="51" t="s">
        <v>158</v>
      </c>
      <c r="C26" s="44" t="s">
        <v>159</v>
      </c>
      <c r="D26" s="22"/>
      <c r="E26" s="22"/>
      <c r="F26" s="23">
        <f t="shared" si="1"/>
        <v>0</v>
      </c>
    </row>
    <row r="27" spans="2:6" ht="15.75">
      <c r="B27" s="52" t="s">
        <v>160</v>
      </c>
      <c r="C27" s="44" t="s">
        <v>161</v>
      </c>
      <c r="D27" s="22"/>
      <c r="E27" s="22"/>
      <c r="F27" s="23">
        <f t="shared" si="1"/>
        <v>0</v>
      </c>
    </row>
    <row r="28" spans="2:6" ht="15.75">
      <c r="B28" s="52" t="s">
        <v>665</v>
      </c>
      <c r="C28" s="44" t="s">
        <v>163</v>
      </c>
      <c r="D28" s="22"/>
      <c r="E28" s="22"/>
      <c r="F28" s="23">
        <f t="shared" si="1"/>
        <v>0</v>
      </c>
    </row>
    <row r="29" spans="2:6" ht="15.75">
      <c r="B29" s="51" t="s">
        <v>164</v>
      </c>
      <c r="C29" s="44" t="s">
        <v>165</v>
      </c>
      <c r="D29" s="22"/>
      <c r="E29" s="22"/>
      <c r="F29" s="23">
        <f t="shared" si="1"/>
        <v>0</v>
      </c>
    </row>
    <row r="30" spans="2:6" ht="15.75">
      <c r="B30" s="52" t="s">
        <v>166</v>
      </c>
      <c r="C30" s="44" t="s">
        <v>167</v>
      </c>
      <c r="D30" s="22"/>
      <c r="E30" s="22"/>
      <c r="F30" s="23">
        <f t="shared" si="1"/>
        <v>0</v>
      </c>
    </row>
    <row r="31" spans="2:6" ht="15.75">
      <c r="B31" s="52" t="s">
        <v>168</v>
      </c>
      <c r="C31" s="44" t="s">
        <v>167</v>
      </c>
      <c r="D31" s="22"/>
      <c r="E31" s="22"/>
      <c r="F31" s="23">
        <f t="shared" si="1"/>
        <v>0</v>
      </c>
    </row>
    <row r="32" spans="2:6" s="29" customFormat="1" ht="15.75">
      <c r="B32" s="50" t="s">
        <v>169</v>
      </c>
      <c r="C32" s="48" t="s">
        <v>170</v>
      </c>
      <c r="D32" s="23">
        <f>SUM(D18:D31)</f>
        <v>0</v>
      </c>
      <c r="E32" s="23">
        <f>SUM(E18:E31)</f>
        <v>0</v>
      </c>
      <c r="F32" s="23">
        <f>SUM(F18:F31)</f>
        <v>0</v>
      </c>
    </row>
    <row r="33" spans="2:6" ht="15.75">
      <c r="B33" s="53" t="s">
        <v>171</v>
      </c>
      <c r="C33" s="54" t="s">
        <v>172</v>
      </c>
      <c r="D33" s="55">
        <f>+D32+D17+D16+D10+D9</f>
        <v>451580</v>
      </c>
      <c r="E33" s="55">
        <f>+E32+E17+E16+E10+E9</f>
        <v>0</v>
      </c>
      <c r="F33" s="55">
        <f>+F32+F17+F16+F10+F9</f>
        <v>451580</v>
      </c>
    </row>
    <row r="34" spans="2:6" ht="15.75">
      <c r="B34" s="56" t="s">
        <v>173</v>
      </c>
      <c r="C34" s="44" t="s">
        <v>174</v>
      </c>
      <c r="D34" s="22"/>
      <c r="E34" s="22"/>
      <c r="F34" s="23">
        <f aca="true" t="shared" si="2" ref="F34:F40">+D34+E34</f>
        <v>0</v>
      </c>
    </row>
    <row r="35" spans="2:6" ht="15.75">
      <c r="B35" s="56" t="s">
        <v>175</v>
      </c>
      <c r="C35" s="44" t="s">
        <v>176</v>
      </c>
      <c r="D35" s="22"/>
      <c r="E35" s="22"/>
      <c r="F35" s="23">
        <f t="shared" si="2"/>
        <v>0</v>
      </c>
    </row>
    <row r="36" spans="2:6" ht="15.75">
      <c r="B36" s="56" t="s">
        <v>177</v>
      </c>
      <c r="C36" s="44" t="s">
        <v>178</v>
      </c>
      <c r="D36" s="22"/>
      <c r="E36" s="22"/>
      <c r="F36" s="23">
        <f>+D36+E36</f>
        <v>0</v>
      </c>
    </row>
    <row r="37" spans="2:6" ht="15.75">
      <c r="B37" s="56" t="s">
        <v>179</v>
      </c>
      <c r="C37" s="44" t="s">
        <v>180</v>
      </c>
      <c r="D37" s="22">
        <f>189+4500</f>
        <v>4689</v>
      </c>
      <c r="E37" s="22"/>
      <c r="F37" s="23">
        <f>+D37+E37</f>
        <v>4689</v>
      </c>
    </row>
    <row r="38" spans="2:6" ht="15.75">
      <c r="B38" s="57" t="s">
        <v>181</v>
      </c>
      <c r="C38" s="44" t="s">
        <v>182</v>
      </c>
      <c r="D38" s="22"/>
      <c r="E38" s="22"/>
      <c r="F38" s="23">
        <f t="shared" si="2"/>
        <v>0</v>
      </c>
    </row>
    <row r="39" spans="2:6" ht="15.75">
      <c r="B39" s="57" t="s">
        <v>183</v>
      </c>
      <c r="C39" s="44" t="s">
        <v>184</v>
      </c>
      <c r="D39" s="22"/>
      <c r="E39" s="22"/>
      <c r="F39" s="23">
        <f t="shared" si="2"/>
        <v>0</v>
      </c>
    </row>
    <row r="40" spans="2:6" ht="15.75">
      <c r="B40" s="57" t="s">
        <v>185</v>
      </c>
      <c r="C40" s="44" t="s">
        <v>186</v>
      </c>
      <c r="D40" s="22">
        <f>51+1215</f>
        <v>1266</v>
      </c>
      <c r="E40" s="22"/>
      <c r="F40" s="23">
        <f t="shared" si="2"/>
        <v>1266</v>
      </c>
    </row>
    <row r="41" spans="2:6" s="29" customFormat="1" ht="15.75">
      <c r="B41" s="58" t="s">
        <v>187</v>
      </c>
      <c r="C41" s="48" t="s">
        <v>188</v>
      </c>
      <c r="D41" s="23">
        <f>SUM(D34:D40)</f>
        <v>5955</v>
      </c>
      <c r="E41" s="23">
        <f>SUM(E34:E40)</f>
        <v>0</v>
      </c>
      <c r="F41" s="23">
        <f>SUM(F34:F40)</f>
        <v>5955</v>
      </c>
    </row>
    <row r="42" spans="2:6" ht="15.75">
      <c r="B42" s="59" t="s">
        <v>189</v>
      </c>
      <c r="C42" s="44" t="s">
        <v>190</v>
      </c>
      <c r="D42" s="22"/>
      <c r="E42" s="22"/>
      <c r="F42" s="23">
        <f>+D42+E42</f>
        <v>0</v>
      </c>
    </row>
    <row r="43" spans="2:6" ht="15.75">
      <c r="B43" s="59" t="s">
        <v>191</v>
      </c>
      <c r="C43" s="44" t="s">
        <v>192</v>
      </c>
      <c r="D43" s="22"/>
      <c r="E43" s="22"/>
      <c r="F43" s="23">
        <f>+D43+E43</f>
        <v>0</v>
      </c>
    </row>
    <row r="44" spans="2:6" ht="15.75">
      <c r="B44" s="59" t="s">
        <v>193</v>
      </c>
      <c r="C44" s="44" t="s">
        <v>194</v>
      </c>
      <c r="D44" s="22"/>
      <c r="E44" s="22"/>
      <c r="F44" s="23">
        <f>+D44+E44</f>
        <v>0</v>
      </c>
    </row>
    <row r="45" spans="2:6" ht="15.75">
      <c r="B45" s="59" t="s">
        <v>195</v>
      </c>
      <c r="C45" s="44" t="s">
        <v>196</v>
      </c>
      <c r="D45" s="22"/>
      <c r="E45" s="22"/>
      <c r="F45" s="23">
        <f>+D45+E45</f>
        <v>0</v>
      </c>
    </row>
    <row r="46" spans="2:6" s="29" customFormat="1" ht="15.75">
      <c r="B46" s="49" t="s">
        <v>197</v>
      </c>
      <c r="C46" s="48" t="s">
        <v>198</v>
      </c>
      <c r="D46" s="23">
        <f>SUM(D42:D45)</f>
        <v>0</v>
      </c>
      <c r="E46" s="23">
        <f>SUM(E42:E45)</f>
        <v>0</v>
      </c>
      <c r="F46" s="23">
        <f>SUM(F42:F45)</f>
        <v>0</v>
      </c>
    </row>
    <row r="47" spans="2:6" ht="31.5">
      <c r="B47" s="59" t="s">
        <v>199</v>
      </c>
      <c r="C47" s="44" t="s">
        <v>200</v>
      </c>
      <c r="D47" s="22"/>
      <c r="E47" s="22"/>
      <c r="F47" s="23">
        <f aca="true" t="shared" si="3" ref="F47:F55">+D47+E47</f>
        <v>0</v>
      </c>
    </row>
    <row r="48" spans="2:6" ht="15.75">
      <c r="B48" s="59" t="s">
        <v>201</v>
      </c>
      <c r="C48" s="44" t="s">
        <v>202</v>
      </c>
      <c r="D48" s="22"/>
      <c r="E48" s="22"/>
      <c r="F48" s="23">
        <f t="shared" si="3"/>
        <v>0</v>
      </c>
    </row>
    <row r="49" spans="2:6" ht="31.5">
      <c r="B49" s="59" t="s">
        <v>203</v>
      </c>
      <c r="C49" s="44" t="s">
        <v>204</v>
      </c>
      <c r="D49" s="22"/>
      <c r="E49" s="22"/>
      <c r="F49" s="23">
        <f t="shared" si="3"/>
        <v>0</v>
      </c>
    </row>
    <row r="50" spans="2:6" ht="15.75">
      <c r="B50" s="59" t="s">
        <v>205</v>
      </c>
      <c r="C50" s="44" t="s">
        <v>206</v>
      </c>
      <c r="D50" s="22"/>
      <c r="E50" s="22"/>
      <c r="F50" s="23">
        <f t="shared" si="3"/>
        <v>0</v>
      </c>
    </row>
    <row r="51" spans="2:6" ht="31.5">
      <c r="B51" s="59" t="s">
        <v>207</v>
      </c>
      <c r="C51" s="44" t="s">
        <v>208</v>
      </c>
      <c r="D51" s="22"/>
      <c r="E51" s="22"/>
      <c r="F51" s="23">
        <f t="shared" si="3"/>
        <v>0</v>
      </c>
    </row>
    <row r="52" spans="2:6" ht="15.75">
      <c r="B52" s="59" t="s">
        <v>209</v>
      </c>
      <c r="C52" s="44" t="s">
        <v>210</v>
      </c>
      <c r="D52" s="22"/>
      <c r="E52" s="22"/>
      <c r="F52" s="23">
        <f t="shared" si="3"/>
        <v>0</v>
      </c>
    </row>
    <row r="53" spans="2:6" ht="15.75">
      <c r="B53" s="59" t="s">
        <v>211</v>
      </c>
      <c r="C53" s="44" t="s">
        <v>212</v>
      </c>
      <c r="D53" s="22"/>
      <c r="E53" s="22"/>
      <c r="F53" s="23">
        <f t="shared" si="3"/>
        <v>0</v>
      </c>
    </row>
    <row r="54" spans="2:6" ht="15.75">
      <c r="B54" s="52" t="s">
        <v>666</v>
      </c>
      <c r="C54" s="44" t="s">
        <v>214</v>
      </c>
      <c r="D54" s="22"/>
      <c r="E54" s="22"/>
      <c r="F54" s="23">
        <f t="shared" si="3"/>
        <v>0</v>
      </c>
    </row>
    <row r="55" spans="2:6" ht="15.75">
      <c r="B55" s="59" t="s">
        <v>215</v>
      </c>
      <c r="C55" s="44" t="s">
        <v>216</v>
      </c>
      <c r="D55" s="22"/>
      <c r="E55" s="22"/>
      <c r="F55" s="23">
        <f t="shared" si="3"/>
        <v>0</v>
      </c>
    </row>
    <row r="56" spans="2:6" s="29" customFormat="1" ht="15.75">
      <c r="B56" s="50" t="s">
        <v>217</v>
      </c>
      <c r="C56" s="48" t="s">
        <v>218</v>
      </c>
      <c r="D56" s="23">
        <f>SUM(D47:D55)</f>
        <v>0</v>
      </c>
      <c r="E56" s="23">
        <f>SUM(E47:E55)</f>
        <v>0</v>
      </c>
      <c r="F56" s="23">
        <f>SUM(F47:F55)</f>
        <v>0</v>
      </c>
    </row>
    <row r="57" spans="2:6" ht="15.75">
      <c r="B57" s="53" t="s">
        <v>219</v>
      </c>
      <c r="C57" s="54" t="s">
        <v>220</v>
      </c>
      <c r="D57" s="55">
        <f>+D56+D46+D41</f>
        <v>5955</v>
      </c>
      <c r="E57" s="55">
        <f>+E56+E46+E41</f>
        <v>0</v>
      </c>
      <c r="F57" s="55">
        <f>+F56+F46+F41</f>
        <v>5955</v>
      </c>
    </row>
    <row r="58" spans="2:6" ht="15.75">
      <c r="B58" s="60" t="s">
        <v>221</v>
      </c>
      <c r="C58" s="61" t="s">
        <v>222</v>
      </c>
      <c r="D58" s="62">
        <f>+D56+D46+D41+D32+D17+D16+D10+D9</f>
        <v>457535</v>
      </c>
      <c r="E58" s="62">
        <f>+E56+E46+E41+E32+E17+E16+E10+E9</f>
        <v>0</v>
      </c>
      <c r="F58" s="62">
        <f>+F56+F46+F41+F32+F17+F16+F10+F9</f>
        <v>457535</v>
      </c>
    </row>
    <row r="59" spans="2:22" ht="15.75">
      <c r="B59" s="67" t="s">
        <v>654</v>
      </c>
      <c r="C59" s="46" t="s">
        <v>248</v>
      </c>
      <c r="D59" s="244"/>
      <c r="E59" s="244"/>
      <c r="F59" s="22">
        <f>+D59+E59</f>
        <v>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/>
      <c r="V59" s="64"/>
    </row>
    <row r="60" spans="2:22" ht="15.75">
      <c r="B60" s="67" t="s">
        <v>249</v>
      </c>
      <c r="C60" s="46" t="s">
        <v>250</v>
      </c>
      <c r="D60" s="244"/>
      <c r="E60" s="244"/>
      <c r="F60" s="22">
        <f>+D60+E60</f>
        <v>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/>
      <c r="V60" s="64"/>
    </row>
    <row r="61" spans="2:22" ht="15.75">
      <c r="B61" s="59" t="s">
        <v>251</v>
      </c>
      <c r="C61" s="46" t="s">
        <v>252</v>
      </c>
      <c r="D61" s="244"/>
      <c r="E61" s="244"/>
      <c r="F61" s="22">
        <f>+D61+E61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4"/>
    </row>
    <row r="62" spans="2:22" ht="15.75">
      <c r="B62" s="59" t="s">
        <v>253</v>
      </c>
      <c r="C62" s="46" t="s">
        <v>254</v>
      </c>
      <c r="D62" s="244"/>
      <c r="E62" s="244"/>
      <c r="F62" s="22">
        <f>+D62+E62</f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4"/>
    </row>
    <row r="63" spans="2:22" ht="15.75">
      <c r="B63" s="72" t="s">
        <v>255</v>
      </c>
      <c r="C63" s="73" t="s">
        <v>256</v>
      </c>
      <c r="D63" s="74">
        <f>+D61+D60+D59+D62</f>
        <v>0</v>
      </c>
      <c r="E63" s="74">
        <f>+E61+E60+E59+E62</f>
        <v>0</v>
      </c>
      <c r="F63" s="74">
        <f>+F61+F60+F59+F62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4"/>
      <c r="V63" s="64"/>
    </row>
    <row r="64" spans="2:22" ht="15.75">
      <c r="B64" s="26" t="s">
        <v>257</v>
      </c>
      <c r="C64" s="26" t="s">
        <v>258</v>
      </c>
      <c r="D64" s="27">
        <f>+D58+D63</f>
        <v>457535</v>
      </c>
      <c r="E64" s="27">
        <f>+E58+E63</f>
        <v>0</v>
      </c>
      <c r="F64" s="27">
        <f>+F58+F63</f>
        <v>457535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.75">
      <c r="B65" s="12"/>
      <c r="C65" s="75"/>
      <c r="D65" s="76"/>
      <c r="E65" s="76"/>
      <c r="F65" s="7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.75" customHeight="1" hidden="1">
      <c r="B66" s="12"/>
      <c r="C66" s="75"/>
      <c r="D66" s="404" t="s">
        <v>259</v>
      </c>
      <c r="E66" s="404"/>
      <c r="F66" s="40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47.25">
      <c r="B67" s="17" t="s">
        <v>92</v>
      </c>
      <c r="C67" s="40" t="s">
        <v>260</v>
      </c>
      <c r="D67" s="41" t="s">
        <v>93</v>
      </c>
      <c r="E67" s="41" t="s">
        <v>94</v>
      </c>
      <c r="F67" s="169" t="s">
        <v>601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.75">
      <c r="B68" s="49" t="s">
        <v>655</v>
      </c>
      <c r="C68" s="58" t="s">
        <v>274</v>
      </c>
      <c r="D68" s="23"/>
      <c r="E68" s="23"/>
      <c r="F68" s="23">
        <f aca="true" t="shared" si="4" ref="F68:F73">+E68+D68</f>
        <v>0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.75">
      <c r="B69" s="46" t="s">
        <v>275</v>
      </c>
      <c r="C69" s="57" t="s">
        <v>276</v>
      </c>
      <c r="D69" s="23"/>
      <c r="E69" s="23"/>
      <c r="F69" s="23">
        <f t="shared" si="4"/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31.5">
      <c r="B70" s="46" t="s">
        <v>277</v>
      </c>
      <c r="C70" s="57" t="s">
        <v>278</v>
      </c>
      <c r="D70" s="23"/>
      <c r="E70" s="23"/>
      <c r="F70" s="23">
        <f t="shared" si="4"/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31.5">
      <c r="B71" s="46" t="s">
        <v>279</v>
      </c>
      <c r="C71" s="57" t="s">
        <v>280</v>
      </c>
      <c r="D71" s="23"/>
      <c r="E71" s="23"/>
      <c r="F71" s="23">
        <f t="shared" si="4"/>
        <v>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31.5">
      <c r="B72" s="46" t="s">
        <v>281</v>
      </c>
      <c r="C72" s="57" t="s">
        <v>282</v>
      </c>
      <c r="D72" s="23"/>
      <c r="E72" s="23"/>
      <c r="F72" s="23">
        <f t="shared" si="4"/>
        <v>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.75">
      <c r="B73" s="46" t="s">
        <v>283</v>
      </c>
      <c r="C73" s="57" t="s">
        <v>284</v>
      </c>
      <c r="D73" s="22"/>
      <c r="E73" s="22"/>
      <c r="F73" s="23">
        <f t="shared" si="4"/>
        <v>0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.75">
      <c r="B74" s="49" t="s">
        <v>285</v>
      </c>
      <c r="C74" s="58" t="s">
        <v>286</v>
      </c>
      <c r="D74" s="23">
        <f>+D73+D72+D71+D70+D69+D68</f>
        <v>0</v>
      </c>
      <c r="E74" s="23">
        <f>+E73+E72+E71+E70+E69+E68</f>
        <v>0</v>
      </c>
      <c r="F74" s="23">
        <f>+F73+F72+F71+F70+F69+F68</f>
        <v>0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.75">
      <c r="B75" s="49" t="s">
        <v>287</v>
      </c>
      <c r="C75" s="58" t="s">
        <v>288</v>
      </c>
      <c r="D75" s="22"/>
      <c r="E75" s="22"/>
      <c r="F75" s="23">
        <f aca="true" t="shared" si="5" ref="F75:F81">+E75+D75</f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.75" hidden="1">
      <c r="B76" s="46" t="s">
        <v>289</v>
      </c>
      <c r="C76" s="57" t="s">
        <v>290</v>
      </c>
      <c r="D76" s="22"/>
      <c r="E76" s="22"/>
      <c r="F76" s="23">
        <f t="shared" si="5"/>
        <v>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.75" hidden="1">
      <c r="B77" s="46" t="s">
        <v>291</v>
      </c>
      <c r="C77" s="57" t="s">
        <v>292</v>
      </c>
      <c r="D77" s="22"/>
      <c r="E77" s="22"/>
      <c r="F77" s="23">
        <f t="shared" si="5"/>
        <v>0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.75" hidden="1">
      <c r="B78" s="46" t="s">
        <v>293</v>
      </c>
      <c r="C78" s="57" t="s">
        <v>294</v>
      </c>
      <c r="D78" s="22"/>
      <c r="E78" s="22"/>
      <c r="F78" s="23">
        <f t="shared" si="5"/>
        <v>0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.75" hidden="1">
      <c r="B79" s="46" t="s">
        <v>295</v>
      </c>
      <c r="C79" s="57" t="s">
        <v>296</v>
      </c>
      <c r="D79" s="22"/>
      <c r="E79" s="22"/>
      <c r="F79" s="23">
        <f t="shared" si="5"/>
        <v>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.75" hidden="1">
      <c r="B80" s="46" t="s">
        <v>297</v>
      </c>
      <c r="C80" s="57" t="s">
        <v>298</v>
      </c>
      <c r="D80" s="22"/>
      <c r="E80" s="22"/>
      <c r="F80" s="23">
        <f t="shared" si="5"/>
        <v>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.75" hidden="1">
      <c r="B81" s="46" t="s">
        <v>299</v>
      </c>
      <c r="C81" s="57" t="s">
        <v>300</v>
      </c>
      <c r="D81" s="22"/>
      <c r="E81" s="22"/>
      <c r="F81" s="23">
        <f t="shared" si="5"/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.75">
      <c r="B82" s="49" t="s">
        <v>301</v>
      </c>
      <c r="C82" s="58" t="s">
        <v>302</v>
      </c>
      <c r="D82" s="23">
        <f>SUM(D76:D81)</f>
        <v>0</v>
      </c>
      <c r="E82" s="23">
        <f>SUM(E76:E81)</f>
        <v>0</v>
      </c>
      <c r="F82" s="23">
        <f>SUM(F76:F81)</f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.75">
      <c r="B83" s="59" t="s">
        <v>656</v>
      </c>
      <c r="C83" s="57" t="s">
        <v>304</v>
      </c>
      <c r="D83" s="22"/>
      <c r="E83" s="22"/>
      <c r="F83" s="23">
        <f aca="true" t="shared" si="6" ref="F83:F93">+E83+D83</f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.75">
      <c r="B84" s="59" t="s">
        <v>305</v>
      </c>
      <c r="C84" s="57" t="s">
        <v>306</v>
      </c>
      <c r="D84" s="22">
        <v>7658</v>
      </c>
      <c r="E84" s="22"/>
      <c r="F84" s="23">
        <f t="shared" si="6"/>
        <v>7658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.75">
      <c r="B85" s="59" t="s">
        <v>307</v>
      </c>
      <c r="C85" s="57" t="s">
        <v>308</v>
      </c>
      <c r="D85" s="22"/>
      <c r="E85" s="22"/>
      <c r="F85" s="23">
        <f t="shared" si="6"/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.75">
      <c r="B86" s="59" t="s">
        <v>309</v>
      </c>
      <c r="C86" s="57" t="s">
        <v>310</v>
      </c>
      <c r="D86" s="22"/>
      <c r="E86" s="22"/>
      <c r="F86" s="23">
        <f t="shared" si="6"/>
        <v>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.75">
      <c r="B87" s="59" t="s">
        <v>311</v>
      </c>
      <c r="C87" s="57" t="s">
        <v>312</v>
      </c>
      <c r="D87" s="22">
        <v>54975</v>
      </c>
      <c r="E87" s="22"/>
      <c r="F87" s="23">
        <f t="shared" si="6"/>
        <v>54975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.75">
      <c r="B88" s="59" t="s">
        <v>313</v>
      </c>
      <c r="C88" s="57" t="s">
        <v>314</v>
      </c>
      <c r="D88" s="22">
        <v>16474</v>
      </c>
      <c r="E88" s="22"/>
      <c r="F88" s="23">
        <f t="shared" si="6"/>
        <v>16474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.75">
      <c r="B89" s="59" t="s">
        <v>315</v>
      </c>
      <c r="C89" s="57" t="s">
        <v>316</v>
      </c>
      <c r="D89" s="22"/>
      <c r="E89" s="22"/>
      <c r="F89" s="23">
        <f t="shared" si="6"/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.75">
      <c r="B90" s="59" t="s">
        <v>317</v>
      </c>
      <c r="C90" s="57" t="s">
        <v>318</v>
      </c>
      <c r="D90" s="22"/>
      <c r="E90" s="22"/>
      <c r="F90" s="23">
        <f t="shared" si="6"/>
        <v>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.75">
      <c r="B91" s="59" t="s">
        <v>319</v>
      </c>
      <c r="C91" s="57" t="s">
        <v>320</v>
      </c>
      <c r="D91" s="22"/>
      <c r="E91" s="22"/>
      <c r="F91" s="23">
        <f t="shared" si="6"/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.75">
      <c r="B92" s="59" t="s">
        <v>321</v>
      </c>
      <c r="C92" s="57" t="s">
        <v>322</v>
      </c>
      <c r="D92" s="22"/>
      <c r="E92" s="22"/>
      <c r="F92" s="23">
        <f t="shared" si="6"/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.75">
      <c r="B93" s="59" t="s">
        <v>323</v>
      </c>
      <c r="C93" s="57" t="s">
        <v>324</v>
      </c>
      <c r="D93" s="22">
        <v>340</v>
      </c>
      <c r="E93" s="22"/>
      <c r="F93" s="23">
        <f t="shared" si="6"/>
        <v>340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.75">
      <c r="B94" s="50" t="s">
        <v>325</v>
      </c>
      <c r="C94" s="58" t="s">
        <v>326</v>
      </c>
      <c r="D94" s="23">
        <f>SUM(D83:D93)</f>
        <v>79447</v>
      </c>
      <c r="E94" s="23">
        <f>SUM(E83:E93)</f>
        <v>0</v>
      </c>
      <c r="F94" s="23">
        <f>SUM(F83:F93)</f>
        <v>79447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.75">
      <c r="B95" s="59" t="s">
        <v>327</v>
      </c>
      <c r="C95" s="57" t="s">
        <v>328</v>
      </c>
      <c r="D95" s="22"/>
      <c r="E95" s="22"/>
      <c r="F95" s="23">
        <f>+E95+D95</f>
        <v>0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.75">
      <c r="B96" s="59" t="s">
        <v>329</v>
      </c>
      <c r="C96" s="57" t="s">
        <v>330</v>
      </c>
      <c r="D96" s="22"/>
      <c r="E96" s="22"/>
      <c r="F96" s="23">
        <f>+E96+D96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.75">
      <c r="B97" s="59" t="s">
        <v>331</v>
      </c>
      <c r="C97" s="57" t="s">
        <v>332</v>
      </c>
      <c r="D97" s="22"/>
      <c r="E97" s="22"/>
      <c r="F97" s="23">
        <f>+E97+D97</f>
        <v>0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ht="15.75">
      <c r="B98" s="59" t="s">
        <v>333</v>
      </c>
      <c r="C98" s="57" t="s">
        <v>334</v>
      </c>
      <c r="D98" s="22"/>
      <c r="E98" s="22"/>
      <c r="F98" s="23">
        <f>+E98+D98</f>
        <v>0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ht="15.75">
      <c r="B99" s="59" t="s">
        <v>335</v>
      </c>
      <c r="C99" s="57" t="s">
        <v>336</v>
      </c>
      <c r="D99" s="22"/>
      <c r="E99" s="22"/>
      <c r="F99" s="23">
        <f>+E99+D99</f>
        <v>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ht="15.75">
      <c r="B100" s="49" t="s">
        <v>337</v>
      </c>
      <c r="C100" s="58" t="s">
        <v>338</v>
      </c>
      <c r="D100" s="23">
        <f>SUM(D95:D99)</f>
        <v>0</v>
      </c>
      <c r="E100" s="23">
        <f>SUM(E95:E99)</f>
        <v>0</v>
      </c>
      <c r="F100" s="23">
        <f>SUM(F95:F99)</f>
        <v>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ht="15.75">
      <c r="B101" s="49" t="s">
        <v>339</v>
      </c>
      <c r="C101" s="58" t="s">
        <v>340</v>
      </c>
      <c r="D101" s="22">
        <v>8301</v>
      </c>
      <c r="E101" s="22"/>
      <c r="F101" s="23">
        <f>+E101+D101</f>
        <v>8301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ht="31.5">
      <c r="B102" s="59" t="s">
        <v>341</v>
      </c>
      <c r="C102" s="57" t="s">
        <v>342</v>
      </c>
      <c r="D102" s="22"/>
      <c r="E102" s="22"/>
      <c r="F102" s="23">
        <f>+E102+D102</f>
        <v>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ht="15.75">
      <c r="B103" s="46" t="s">
        <v>343</v>
      </c>
      <c r="C103" s="57" t="s">
        <v>344</v>
      </c>
      <c r="D103" s="22"/>
      <c r="E103" s="22"/>
      <c r="F103" s="2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ht="31.5">
      <c r="B104" s="59" t="s">
        <v>345</v>
      </c>
      <c r="C104" s="57" t="s">
        <v>346</v>
      </c>
      <c r="D104" s="22"/>
      <c r="E104" s="22"/>
      <c r="F104" s="2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ht="31.5">
      <c r="B105" s="59" t="s">
        <v>347</v>
      </c>
      <c r="C105" s="57" t="s">
        <v>348</v>
      </c>
      <c r="D105" s="22"/>
      <c r="E105" s="22"/>
      <c r="F105" s="23">
        <f>+E105+D105</f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ht="15.75">
      <c r="B106" s="59" t="s">
        <v>349</v>
      </c>
      <c r="C106" s="57" t="s">
        <v>350</v>
      </c>
      <c r="D106" s="22"/>
      <c r="E106" s="22"/>
      <c r="F106" s="23">
        <f>+E106+D106</f>
        <v>0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ht="15.75">
      <c r="B107" s="49" t="s">
        <v>351</v>
      </c>
      <c r="C107" s="58" t="s">
        <v>352</v>
      </c>
      <c r="D107" s="23">
        <f>SUM(D102:D106)</f>
        <v>0</v>
      </c>
      <c r="E107" s="23">
        <f>SUM(E102:E106)</f>
        <v>0</v>
      </c>
      <c r="F107" s="23">
        <f>SUM(F102:F106)</f>
        <v>0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ht="15.75">
      <c r="B108" s="80" t="s">
        <v>353</v>
      </c>
      <c r="C108" s="60" t="s">
        <v>354</v>
      </c>
      <c r="D108" s="62">
        <f>+D107+D101+D100+D94+D82+D75+D74</f>
        <v>87748</v>
      </c>
      <c r="E108" s="62">
        <f>+E107+E101+E100+E94+E82+E75+E74</f>
        <v>0</v>
      </c>
      <c r="F108" s="62">
        <f>+F107+F101+F100+F94+F82+F75+F74</f>
        <v>87748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ht="15.75">
      <c r="B109" s="81" t="s">
        <v>355</v>
      </c>
      <c r="C109" s="82"/>
      <c r="D109" s="83">
        <f>+D101+D94+D82+D74-D33</f>
        <v>-363832</v>
      </c>
      <c r="E109" s="83">
        <f>+E101+E94+E82+E74-E33</f>
        <v>0</v>
      </c>
      <c r="F109" s="83">
        <f aca="true" t="shared" si="7" ref="F109:F116">+E109+D109</f>
        <v>-363832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ht="15.75">
      <c r="B110" s="81" t="s">
        <v>356</v>
      </c>
      <c r="C110" s="82"/>
      <c r="D110" s="83">
        <f>+D107+D100+D75-D57</f>
        <v>-5955</v>
      </c>
      <c r="E110" s="83">
        <f>+E107+E100+E75-E57</f>
        <v>0</v>
      </c>
      <c r="F110" s="83">
        <f t="shared" si="7"/>
        <v>-5955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6" ht="15.75">
      <c r="B111" s="50" t="s">
        <v>657</v>
      </c>
      <c r="C111" s="49" t="s">
        <v>364</v>
      </c>
      <c r="D111" s="22"/>
      <c r="E111" s="22"/>
      <c r="F111" s="23">
        <f t="shared" si="7"/>
        <v>0</v>
      </c>
    </row>
    <row r="112" spans="2:6" ht="15.75">
      <c r="B112" s="71" t="s">
        <v>658</v>
      </c>
      <c r="C112" s="49" t="s">
        <v>374</v>
      </c>
      <c r="D112" s="22"/>
      <c r="E112" s="22"/>
      <c r="F112" s="23">
        <f t="shared" si="7"/>
        <v>0</v>
      </c>
    </row>
    <row r="113" spans="2:6" ht="15.75">
      <c r="B113" s="46" t="s">
        <v>375</v>
      </c>
      <c r="C113" s="46" t="s">
        <v>376</v>
      </c>
      <c r="D113" s="22"/>
      <c r="E113" s="22"/>
      <c r="F113" s="23">
        <f t="shared" si="7"/>
        <v>0</v>
      </c>
    </row>
    <row r="114" spans="2:6" ht="15.75">
      <c r="B114" s="46" t="s">
        <v>377</v>
      </c>
      <c r="C114" s="46" t="s">
        <v>376</v>
      </c>
      <c r="D114" s="22"/>
      <c r="E114" s="22"/>
      <c r="F114" s="23">
        <f t="shared" si="7"/>
        <v>0</v>
      </c>
    </row>
    <row r="115" spans="2:6" ht="15.75">
      <c r="B115" s="46" t="s">
        <v>378</v>
      </c>
      <c r="C115" s="46" t="s">
        <v>379</v>
      </c>
      <c r="D115" s="22"/>
      <c r="E115" s="22"/>
      <c r="F115" s="23">
        <f t="shared" si="7"/>
        <v>0</v>
      </c>
    </row>
    <row r="116" spans="2:6" ht="15.75">
      <c r="B116" s="46" t="s">
        <v>380</v>
      </c>
      <c r="C116" s="46" t="s">
        <v>379</v>
      </c>
      <c r="D116" s="22"/>
      <c r="E116" s="22"/>
      <c r="F116" s="23">
        <f t="shared" si="7"/>
        <v>0</v>
      </c>
    </row>
    <row r="117" spans="1:6" ht="15.75">
      <c r="A117" s="88" t="s">
        <v>667</v>
      </c>
      <c r="B117" s="49" t="s">
        <v>381</v>
      </c>
      <c r="C117" s="49" t="s">
        <v>382</v>
      </c>
      <c r="D117" s="23">
        <f>SUM(D113:D116)</f>
        <v>0</v>
      </c>
      <c r="E117" s="23">
        <f>SUM(E113:E116)</f>
        <v>0</v>
      </c>
      <c r="F117" s="23">
        <f>SUM(F113:F116)</f>
        <v>0</v>
      </c>
    </row>
    <row r="118" spans="1:6" ht="15.75">
      <c r="A118" s="88" t="s">
        <v>668</v>
      </c>
      <c r="B118" s="67" t="s">
        <v>383</v>
      </c>
      <c r="C118" s="46" t="s">
        <v>384</v>
      </c>
      <c r="D118" s="22"/>
      <c r="E118" s="22"/>
      <c r="F118" s="23">
        <f aca="true" t="shared" si="8" ref="F118:F125">+E118+D118</f>
        <v>0</v>
      </c>
    </row>
    <row r="119" spans="2:6" ht="15.75">
      <c r="B119" s="67" t="s">
        <v>385</v>
      </c>
      <c r="C119" s="46" t="s">
        <v>386</v>
      </c>
      <c r="D119" s="22"/>
      <c r="E119" s="22"/>
      <c r="F119" s="23">
        <f t="shared" si="8"/>
        <v>0</v>
      </c>
    </row>
    <row r="120" spans="1:6" ht="15.75">
      <c r="A120" s="28" t="s">
        <v>679</v>
      </c>
      <c r="B120" s="67" t="s">
        <v>387</v>
      </c>
      <c r="C120" s="46" t="s">
        <v>388</v>
      </c>
      <c r="D120" s="22">
        <f>364072+5715</f>
        <v>369787</v>
      </c>
      <c r="E120" s="22"/>
      <c r="F120" s="23">
        <f t="shared" si="8"/>
        <v>369787</v>
      </c>
    </row>
    <row r="121" spans="2:6" s="245" customFormat="1" ht="15.75">
      <c r="B121" s="246" t="s">
        <v>670</v>
      </c>
      <c r="C121" s="147"/>
      <c r="D121" s="103">
        <v>306537</v>
      </c>
      <c r="E121" s="103"/>
      <c r="F121" s="133">
        <f t="shared" si="8"/>
        <v>306537</v>
      </c>
    </row>
    <row r="122" spans="2:6" s="245" customFormat="1" ht="15.75">
      <c r="B122" s="247" t="s">
        <v>662</v>
      </c>
      <c r="C122" s="147"/>
      <c r="D122" s="103">
        <f>+D120-D121</f>
        <v>63250</v>
      </c>
      <c r="E122" s="103">
        <f>+E120-E121</f>
        <v>0</v>
      </c>
      <c r="F122" s="133">
        <f t="shared" si="8"/>
        <v>63250</v>
      </c>
    </row>
    <row r="123" spans="2:6" ht="15.75">
      <c r="B123" s="67" t="s">
        <v>389</v>
      </c>
      <c r="C123" s="46" t="s">
        <v>390</v>
      </c>
      <c r="D123" s="22"/>
      <c r="E123" s="22"/>
      <c r="F123" s="23">
        <f t="shared" si="8"/>
        <v>0</v>
      </c>
    </row>
    <row r="124" spans="2:6" ht="15.75">
      <c r="B124" s="59" t="s">
        <v>391</v>
      </c>
      <c r="C124" s="46" t="s">
        <v>392</v>
      </c>
      <c r="D124" s="22"/>
      <c r="E124" s="22"/>
      <c r="F124" s="23">
        <f t="shared" si="8"/>
        <v>0</v>
      </c>
    </row>
    <row r="125" spans="2:6" ht="15.75">
      <c r="B125" s="59" t="s">
        <v>393</v>
      </c>
      <c r="C125" s="46" t="s">
        <v>394</v>
      </c>
      <c r="D125" s="22"/>
      <c r="E125" s="22"/>
      <c r="F125" s="23">
        <f t="shared" si="8"/>
        <v>0</v>
      </c>
    </row>
    <row r="126" spans="2:6" ht="15.75">
      <c r="B126" s="50" t="s">
        <v>395</v>
      </c>
      <c r="C126" s="49" t="s">
        <v>396</v>
      </c>
      <c r="D126" s="23">
        <f>SUM(D118:D125)+D117+D112+D111-D121-D122</f>
        <v>369787</v>
      </c>
      <c r="E126" s="23">
        <f>SUM(E118:E125)+E117+E112+E111-E121-E122</f>
        <v>0</v>
      </c>
      <c r="F126" s="23">
        <f>SUM(F118:F124)+F117+F112+F111-F121-F122</f>
        <v>369787</v>
      </c>
    </row>
    <row r="127" spans="2:6" ht="15.75" hidden="1">
      <c r="B127" s="67" t="s">
        <v>397</v>
      </c>
      <c r="C127" s="46" t="s">
        <v>398</v>
      </c>
      <c r="D127" s="22"/>
      <c r="E127" s="22"/>
      <c r="F127" s="23">
        <f>+E127+D127</f>
        <v>0</v>
      </c>
    </row>
    <row r="128" spans="2:6" ht="15.75" hidden="1">
      <c r="B128" s="59" t="s">
        <v>399</v>
      </c>
      <c r="C128" s="46" t="s">
        <v>400</v>
      </c>
      <c r="D128" s="22"/>
      <c r="E128" s="22"/>
      <c r="F128" s="23">
        <f>+E128+D128</f>
        <v>0</v>
      </c>
    </row>
    <row r="129" spans="2:6" ht="15.75" hidden="1">
      <c r="B129" s="59" t="s">
        <v>401</v>
      </c>
      <c r="C129" s="46" t="s">
        <v>402</v>
      </c>
      <c r="D129" s="22"/>
      <c r="E129" s="22"/>
      <c r="F129" s="23">
        <f>+E129+D129</f>
        <v>0</v>
      </c>
    </row>
    <row r="130" spans="2:6" ht="15.75">
      <c r="B130" s="72" t="s">
        <v>403</v>
      </c>
      <c r="C130" s="73" t="s">
        <v>404</v>
      </c>
      <c r="D130" s="62">
        <f>+D128+D127+D126+D129</f>
        <v>369787</v>
      </c>
      <c r="E130" s="62">
        <f>+E128+E127+E126+E129</f>
        <v>0</v>
      </c>
      <c r="F130" s="62">
        <f>+F129+F127+F126</f>
        <v>369787</v>
      </c>
    </row>
    <row r="131" spans="2:6" ht="15.75">
      <c r="B131" s="26" t="s">
        <v>405</v>
      </c>
      <c r="C131" s="26" t="s">
        <v>406</v>
      </c>
      <c r="D131" s="27">
        <f>+D108+D130</f>
        <v>457535</v>
      </c>
      <c r="E131" s="27">
        <f>+E108+E130</f>
        <v>0</v>
      </c>
      <c r="F131" s="27">
        <f>+F108+F130</f>
        <v>457535</v>
      </c>
    </row>
    <row r="132" spans="2:6" ht="15.75">
      <c r="B132" s="12"/>
      <c r="C132" s="12"/>
      <c r="D132" s="13"/>
      <c r="E132" s="13"/>
      <c r="F132" s="84"/>
    </row>
    <row r="133" spans="2:6" ht="15.75">
      <c r="B133" s="24" t="s">
        <v>407</v>
      </c>
      <c r="C133" s="24"/>
      <c r="D133" s="23">
        <f>+D108-D58</f>
        <v>-369787</v>
      </c>
      <c r="E133" s="23">
        <f>+E108-E58</f>
        <v>0</v>
      </c>
      <c r="F133" s="23">
        <f>+F108-F58</f>
        <v>-369787</v>
      </c>
    </row>
    <row r="134" spans="2:6" ht="15.75">
      <c r="B134" s="24" t="s">
        <v>408</v>
      </c>
      <c r="C134" s="24"/>
      <c r="D134" s="23">
        <f>+D130-D63</f>
        <v>369787</v>
      </c>
      <c r="E134" s="23">
        <f>+E130-E63</f>
        <v>0</v>
      </c>
      <c r="F134" s="23">
        <f>+F130-F63</f>
        <v>369787</v>
      </c>
    </row>
    <row r="135" spans="2:6" ht="15.75">
      <c r="B135" s="12"/>
      <c r="C135" s="12"/>
      <c r="D135" s="13"/>
      <c r="E135" s="13"/>
      <c r="F135" s="84"/>
    </row>
    <row r="136" spans="2:6" ht="15.75">
      <c r="B136" s="87" t="s">
        <v>411</v>
      </c>
      <c r="C136" s="12"/>
      <c r="D136" s="13">
        <f>+D131-D64</f>
        <v>0</v>
      </c>
      <c r="E136" s="13">
        <f>+E131-E64</f>
        <v>0</v>
      </c>
      <c r="F136" s="13">
        <f>+F131-F64</f>
        <v>0</v>
      </c>
    </row>
    <row r="137" spans="2:6" ht="15.75">
      <c r="B137" s="12"/>
      <c r="C137" s="12"/>
      <c r="D137" s="13"/>
      <c r="E137" s="13"/>
      <c r="F137" s="84"/>
    </row>
    <row r="138" spans="2:6" ht="15.75">
      <c r="B138" s="12"/>
      <c r="C138" s="12"/>
      <c r="D138" s="13"/>
      <c r="E138" s="13"/>
      <c r="F138" s="84"/>
    </row>
    <row r="139" spans="2:6" ht="15.75">
      <c r="B139" s="12"/>
      <c r="C139" s="12"/>
      <c r="D139" s="13"/>
      <c r="E139" s="13"/>
      <c r="F139" s="84"/>
    </row>
    <row r="140" spans="2:6" ht="15.75">
      <c r="B140" s="12"/>
      <c r="C140" s="12"/>
      <c r="D140" s="13"/>
      <c r="E140" s="13"/>
      <c r="F140" s="84"/>
    </row>
    <row r="141" spans="2:6" ht="15.75">
      <c r="B141" s="12"/>
      <c r="C141" s="12"/>
      <c r="D141" s="13"/>
      <c r="E141" s="13"/>
      <c r="F141" s="84"/>
    </row>
    <row r="142" spans="2:6" ht="15.75">
      <c r="B142" s="12"/>
      <c r="C142" s="12"/>
      <c r="D142" s="13"/>
      <c r="E142" s="13"/>
      <c r="F142" s="84"/>
    </row>
    <row r="143" spans="2:6" ht="15.75">
      <c r="B143" s="12"/>
      <c r="C143" s="12"/>
      <c r="D143" s="13"/>
      <c r="E143" s="13"/>
      <c r="F143" s="84"/>
    </row>
    <row r="144" spans="2:6" ht="15.75">
      <c r="B144" s="12"/>
      <c r="C144" s="12"/>
      <c r="D144" s="13"/>
      <c r="E144" s="13"/>
      <c r="F144" s="84"/>
    </row>
    <row r="145" spans="2:6" ht="15.75">
      <c r="B145" s="12"/>
      <c r="C145" s="12"/>
      <c r="D145" s="13"/>
      <c r="E145" s="13"/>
      <c r="F145" s="84"/>
    </row>
    <row r="146" spans="2:6" ht="15.75">
      <c r="B146" s="12"/>
      <c r="C146" s="12"/>
      <c r="D146" s="13"/>
      <c r="E146" s="13"/>
      <c r="F146" s="84"/>
    </row>
    <row r="147" spans="2:6" ht="15.75">
      <c r="B147" s="12"/>
      <c r="C147" s="12"/>
      <c r="D147" s="13"/>
      <c r="E147" s="13"/>
      <c r="F147" s="84"/>
    </row>
    <row r="148" spans="2:6" ht="15.75">
      <c r="B148" s="12"/>
      <c r="C148" s="12"/>
      <c r="D148" s="13"/>
      <c r="E148" s="13"/>
      <c r="F148" s="84"/>
    </row>
    <row r="149" spans="2:6" ht="15.75">
      <c r="B149" s="12"/>
      <c r="C149" s="12"/>
      <c r="D149" s="13"/>
      <c r="E149" s="13"/>
      <c r="F149" s="84"/>
    </row>
    <row r="150" spans="2:6" ht="15.75">
      <c r="B150" s="12"/>
      <c r="C150" s="12"/>
      <c r="D150" s="13"/>
      <c r="E150" s="13"/>
      <c r="F150" s="84"/>
    </row>
    <row r="151" spans="2:6" ht="15.75">
      <c r="B151" s="12"/>
      <c r="C151" s="12"/>
      <c r="D151" s="13"/>
      <c r="E151" s="13"/>
      <c r="F151" s="84"/>
    </row>
    <row r="152" spans="2:6" ht="15.75">
      <c r="B152" s="12"/>
      <c r="C152" s="12"/>
      <c r="D152" s="13"/>
      <c r="E152" s="13"/>
      <c r="F152" s="84"/>
    </row>
    <row r="153" spans="2:6" ht="15.75">
      <c r="B153" s="12"/>
      <c r="C153" s="12"/>
      <c r="D153" s="13"/>
      <c r="E153" s="13"/>
      <c r="F153" s="84"/>
    </row>
    <row r="154" spans="2:6" ht="15.75">
      <c r="B154" s="12"/>
      <c r="C154" s="12"/>
      <c r="D154" s="13"/>
      <c r="E154" s="13"/>
      <c r="F154" s="84"/>
    </row>
    <row r="155" spans="2:6" ht="15.75">
      <c r="B155" s="12"/>
      <c r="C155" s="12"/>
      <c r="D155" s="13"/>
      <c r="E155" s="13"/>
      <c r="F155" s="84"/>
    </row>
    <row r="156" spans="2:6" ht="15.75">
      <c r="B156" s="12"/>
      <c r="C156" s="12"/>
      <c r="D156" s="13"/>
      <c r="E156" s="13"/>
      <c r="F156" s="84"/>
    </row>
    <row r="157" spans="2:6" ht="15.75">
      <c r="B157" s="12"/>
      <c r="C157" s="12"/>
      <c r="D157" s="13"/>
      <c r="E157" s="13"/>
      <c r="F157" s="84"/>
    </row>
    <row r="158" spans="2:6" ht="15.75">
      <c r="B158" s="12"/>
      <c r="C158" s="12"/>
      <c r="D158" s="13"/>
      <c r="E158" s="13"/>
      <c r="F158" s="84"/>
    </row>
    <row r="159" spans="2:6" ht="15.75">
      <c r="B159" s="12"/>
      <c r="C159" s="12"/>
      <c r="D159" s="13"/>
      <c r="E159" s="13"/>
      <c r="F159" s="84"/>
    </row>
    <row r="160" spans="2:6" ht="15.75">
      <c r="B160" s="12"/>
      <c r="C160" s="12"/>
      <c r="D160" s="13"/>
      <c r="E160" s="13"/>
      <c r="F160" s="84"/>
    </row>
    <row r="161" spans="2:6" ht="15.75">
      <c r="B161" s="12"/>
      <c r="C161" s="12"/>
      <c r="D161" s="13"/>
      <c r="E161" s="13"/>
      <c r="F161" s="84"/>
    </row>
    <row r="162" spans="2:6" ht="15.75">
      <c r="B162" s="12"/>
      <c r="C162" s="12"/>
      <c r="D162" s="13"/>
      <c r="E162" s="13"/>
      <c r="F162" s="84"/>
    </row>
    <row r="163" spans="2:6" ht="15.75">
      <c r="B163" s="12"/>
      <c r="C163" s="12"/>
      <c r="D163" s="13"/>
      <c r="E163" s="13"/>
      <c r="F163" s="84"/>
    </row>
    <row r="164" spans="2:6" ht="15.75">
      <c r="B164" s="12"/>
      <c r="C164" s="12"/>
      <c r="D164" s="13"/>
      <c r="E164" s="13"/>
      <c r="F164" s="84"/>
    </row>
    <row r="165" spans="2:6" ht="15.75">
      <c r="B165" s="12"/>
      <c r="C165" s="12"/>
      <c r="D165" s="13"/>
      <c r="E165" s="13"/>
      <c r="F165" s="84"/>
    </row>
    <row r="166" spans="2:6" ht="15.75">
      <c r="B166" s="12"/>
      <c r="C166" s="12"/>
      <c r="D166" s="13"/>
      <c r="E166" s="13"/>
      <c r="F166" s="84"/>
    </row>
    <row r="167" spans="2:6" ht="15.75">
      <c r="B167" s="12"/>
      <c r="C167" s="12"/>
      <c r="D167" s="13"/>
      <c r="E167" s="13"/>
      <c r="F167" s="84"/>
    </row>
    <row r="168" spans="2:6" ht="15.75">
      <c r="B168" s="12"/>
      <c r="C168" s="12"/>
      <c r="D168" s="13"/>
      <c r="E168" s="13"/>
      <c r="F168" s="84"/>
    </row>
    <row r="169" spans="2:6" ht="15.75">
      <c r="B169" s="12"/>
      <c r="C169" s="12"/>
      <c r="D169" s="13"/>
      <c r="E169" s="13"/>
      <c r="F169" s="84"/>
    </row>
    <row r="170" spans="2:6" ht="15.75">
      <c r="B170" s="12"/>
      <c r="C170" s="12"/>
      <c r="D170" s="13"/>
      <c r="E170" s="13"/>
      <c r="F170" s="84"/>
    </row>
    <row r="171" spans="2:6" ht="15.75">
      <c r="B171" s="12"/>
      <c r="C171" s="12"/>
      <c r="D171" s="13"/>
      <c r="E171" s="13"/>
      <c r="F171" s="84"/>
    </row>
    <row r="172" spans="2:6" ht="15.75">
      <c r="B172" s="12"/>
      <c r="C172" s="12"/>
      <c r="D172" s="13"/>
      <c r="E172" s="13"/>
      <c r="F172" s="84"/>
    </row>
    <row r="173" spans="2:6" ht="15.75">
      <c r="B173" s="12"/>
      <c r="C173" s="12"/>
      <c r="D173" s="13"/>
      <c r="E173" s="13"/>
      <c r="F173" s="84"/>
    </row>
    <row r="174" spans="2:6" ht="15.75">
      <c r="B174" s="12"/>
      <c r="C174" s="12"/>
      <c r="D174" s="13"/>
      <c r="E174" s="13"/>
      <c r="F174" s="84"/>
    </row>
    <row r="175" spans="2:6" ht="15.75">
      <c r="B175" s="12"/>
      <c r="C175" s="12"/>
      <c r="D175" s="13"/>
      <c r="E175" s="13"/>
      <c r="F175" s="84"/>
    </row>
    <row r="176" spans="2:6" ht="15.75">
      <c r="B176" s="12"/>
      <c r="C176" s="12"/>
      <c r="D176" s="13"/>
      <c r="E176" s="13"/>
      <c r="F176" s="84"/>
    </row>
    <row r="177" spans="2:6" ht="15.75">
      <c r="B177" s="12"/>
      <c r="C177" s="12"/>
      <c r="D177" s="13"/>
      <c r="E177" s="13"/>
      <c r="F177" s="84"/>
    </row>
    <row r="178" spans="2:6" ht="15.75">
      <c r="B178" s="12"/>
      <c r="C178" s="12"/>
      <c r="D178" s="13"/>
      <c r="E178" s="13"/>
      <c r="F178" s="84"/>
    </row>
    <row r="179" spans="2:6" ht="15.75">
      <c r="B179" s="12"/>
      <c r="C179" s="12"/>
      <c r="D179" s="13"/>
      <c r="E179" s="13"/>
      <c r="F179" s="84"/>
    </row>
    <row r="180" spans="2:6" ht="15.75">
      <c r="B180" s="12"/>
      <c r="C180" s="12"/>
      <c r="D180" s="13"/>
      <c r="E180" s="13"/>
      <c r="F180" s="84"/>
    </row>
    <row r="181" spans="2:6" ht="15.75">
      <c r="B181" s="12"/>
      <c r="C181" s="12"/>
      <c r="D181" s="13"/>
      <c r="E181" s="13"/>
      <c r="F181" s="84"/>
    </row>
    <row r="182" spans="2:6" ht="15.75">
      <c r="B182" s="12"/>
      <c r="C182" s="12"/>
      <c r="D182" s="13"/>
      <c r="E182" s="13"/>
      <c r="F182" s="84"/>
    </row>
    <row r="183" spans="2:6" ht="15.75">
      <c r="B183" s="12"/>
      <c r="C183" s="12"/>
      <c r="D183" s="13"/>
      <c r="E183" s="13"/>
      <c r="F183" s="84"/>
    </row>
    <row r="184" spans="2:6" ht="15.75">
      <c r="B184" s="12"/>
      <c r="C184" s="12"/>
      <c r="D184" s="13"/>
      <c r="E184" s="13"/>
      <c r="F184" s="84"/>
    </row>
    <row r="185" spans="2:6" ht="15.75">
      <c r="B185" s="12"/>
      <c r="C185" s="12"/>
      <c r="D185" s="13"/>
      <c r="E185" s="13"/>
      <c r="F185" s="84"/>
    </row>
    <row r="186" spans="2:6" ht="15.75">
      <c r="B186" s="12"/>
      <c r="C186" s="12"/>
      <c r="D186" s="13"/>
      <c r="E186" s="13"/>
      <c r="F186" s="84"/>
    </row>
    <row r="187" spans="2:6" ht="15.75">
      <c r="B187" s="12"/>
      <c r="C187" s="12"/>
      <c r="D187" s="13"/>
      <c r="E187" s="13"/>
      <c r="F187" s="84"/>
    </row>
    <row r="188" spans="2:6" ht="15.75">
      <c r="B188" s="12"/>
      <c r="C188" s="12"/>
      <c r="D188" s="13"/>
      <c r="E188" s="13"/>
      <c r="F188" s="84"/>
    </row>
    <row r="189" spans="2:6" ht="15.75">
      <c r="B189" s="12"/>
      <c r="C189" s="12"/>
      <c r="D189" s="13"/>
      <c r="E189" s="13"/>
      <c r="F189" s="84"/>
    </row>
    <row r="190" spans="2:6" ht="15.75">
      <c r="B190" s="12"/>
      <c r="C190" s="12"/>
      <c r="D190" s="13"/>
      <c r="E190" s="13"/>
      <c r="F190" s="84"/>
    </row>
    <row r="191" spans="2:6" ht="15.75">
      <c r="B191" s="12"/>
      <c r="C191" s="12"/>
      <c r="D191" s="13"/>
      <c r="E191" s="13"/>
      <c r="F191" s="84"/>
    </row>
    <row r="192" spans="2:6" ht="15.75">
      <c r="B192" s="12"/>
      <c r="C192" s="12"/>
      <c r="D192" s="13"/>
      <c r="E192" s="13"/>
      <c r="F192" s="84"/>
    </row>
    <row r="193" spans="2:6" ht="15.75">
      <c r="B193" s="12"/>
      <c r="C193" s="12"/>
      <c r="D193" s="13"/>
      <c r="E193" s="13"/>
      <c r="F193" s="84"/>
    </row>
    <row r="194" spans="2:6" ht="15.75">
      <c r="B194" s="12"/>
      <c r="C194" s="12"/>
      <c r="D194" s="13"/>
      <c r="E194" s="13"/>
      <c r="F194" s="84"/>
    </row>
    <row r="195" spans="2:6" ht="15.75">
      <c r="B195" s="12"/>
      <c r="C195" s="12"/>
      <c r="D195" s="12"/>
      <c r="E195" s="12"/>
      <c r="F195" s="25"/>
    </row>
    <row r="196" spans="2:6" ht="15.75">
      <c r="B196" s="12"/>
      <c r="C196" s="12"/>
      <c r="D196" s="12"/>
      <c r="E196" s="12"/>
      <c r="F196" s="25"/>
    </row>
    <row r="197" spans="2:6" ht="15.75">
      <c r="B197" s="12"/>
      <c r="C197" s="12"/>
      <c r="D197" s="12"/>
      <c r="E197" s="12"/>
      <c r="F197" s="25"/>
    </row>
    <row r="198" spans="2:6" ht="15.75">
      <c r="B198" s="12"/>
      <c r="C198" s="12"/>
      <c r="D198" s="12"/>
      <c r="E198" s="12"/>
      <c r="F198" s="25"/>
    </row>
    <row r="199" spans="2:6" ht="15.75">
      <c r="B199" s="12"/>
      <c r="C199" s="12"/>
      <c r="D199" s="12"/>
      <c r="E199" s="12"/>
      <c r="F199" s="25"/>
    </row>
    <row r="200" spans="2:6" ht="15.75">
      <c r="B200" s="12"/>
      <c r="C200" s="12"/>
      <c r="D200" s="12"/>
      <c r="E200" s="12"/>
      <c r="F200" s="25"/>
    </row>
    <row r="201" spans="2:6" ht="15.75">
      <c r="B201" s="12"/>
      <c r="C201" s="12"/>
      <c r="D201" s="12"/>
      <c r="E201" s="12"/>
      <c r="F201" s="25"/>
    </row>
    <row r="202" spans="2:6" ht="15.75">
      <c r="B202" s="12"/>
      <c r="C202" s="12"/>
      <c r="D202" s="12"/>
      <c r="E202" s="12"/>
      <c r="F202" s="25"/>
    </row>
    <row r="203" spans="2:6" ht="15.75">
      <c r="B203" s="12"/>
      <c r="C203" s="12"/>
      <c r="D203" s="12"/>
      <c r="E203" s="12"/>
      <c r="F203" s="25"/>
    </row>
    <row r="204" spans="2:6" ht="15.75">
      <c r="B204" s="12"/>
      <c r="C204" s="12"/>
      <c r="D204" s="12"/>
      <c r="E204" s="12"/>
      <c r="F204" s="25"/>
    </row>
    <row r="205" spans="2:6" ht="15.75">
      <c r="B205" s="12"/>
      <c r="C205" s="12"/>
      <c r="D205" s="12"/>
      <c r="E205" s="12"/>
      <c r="F205" s="25"/>
    </row>
    <row r="206" spans="2:6" ht="15.75">
      <c r="B206" s="12"/>
      <c r="C206" s="12"/>
      <c r="D206" s="12"/>
      <c r="E206" s="12"/>
      <c r="F206" s="25"/>
    </row>
    <row r="207" spans="2:6" ht="15.75">
      <c r="B207" s="12"/>
      <c r="C207" s="12"/>
      <c r="D207" s="12"/>
      <c r="E207" s="12"/>
      <c r="F207" s="25"/>
    </row>
    <row r="208" spans="2:6" ht="15.75">
      <c r="B208" s="12"/>
      <c r="C208" s="12"/>
      <c r="D208" s="12"/>
      <c r="E208" s="12"/>
      <c r="F208" s="25"/>
    </row>
    <row r="209" spans="2:6" ht="15.75">
      <c r="B209" s="12"/>
      <c r="C209" s="12"/>
      <c r="D209" s="12"/>
      <c r="E209" s="12"/>
      <c r="F209" s="25"/>
    </row>
    <row r="210" spans="2:6" ht="15.75">
      <c r="B210" s="12"/>
      <c r="C210" s="12"/>
      <c r="D210" s="12"/>
      <c r="E210" s="12"/>
      <c r="F210" s="25"/>
    </row>
    <row r="211" spans="2:6" ht="15.75">
      <c r="B211" s="12"/>
      <c r="C211" s="12"/>
      <c r="D211" s="12"/>
      <c r="E211" s="12"/>
      <c r="F211" s="25"/>
    </row>
    <row r="212" spans="2:6" ht="15.75">
      <c r="B212" s="12"/>
      <c r="C212" s="12"/>
      <c r="D212" s="12"/>
      <c r="E212" s="12"/>
      <c r="F212" s="25"/>
    </row>
    <row r="213" spans="2:6" ht="15.75">
      <c r="B213" s="12"/>
      <c r="C213" s="12"/>
      <c r="D213" s="12"/>
      <c r="E213" s="12"/>
      <c r="F213" s="25"/>
    </row>
    <row r="214" spans="2:6" ht="15.75">
      <c r="B214" s="12"/>
      <c r="C214" s="12"/>
      <c r="D214" s="12"/>
      <c r="E214" s="12"/>
      <c r="F214" s="25"/>
    </row>
    <row r="215" spans="2:6" ht="15.75">
      <c r="B215" s="12"/>
      <c r="C215" s="12"/>
      <c r="D215" s="12"/>
      <c r="E215" s="12"/>
      <c r="F215" s="25"/>
    </row>
    <row r="216" spans="2:6" ht="15.75">
      <c r="B216" s="12"/>
      <c r="C216" s="12"/>
      <c r="D216" s="12"/>
      <c r="E216" s="12"/>
      <c r="F216" s="25"/>
    </row>
    <row r="217" spans="2:6" ht="15.75">
      <c r="B217" s="12"/>
      <c r="C217" s="12"/>
      <c r="D217" s="12"/>
      <c r="E217" s="12"/>
      <c r="F217" s="25"/>
    </row>
    <row r="218" spans="2:6" ht="15.75">
      <c r="B218" s="12"/>
      <c r="C218" s="12"/>
      <c r="D218" s="12"/>
      <c r="E218" s="12"/>
      <c r="F218" s="25"/>
    </row>
    <row r="219" spans="2:6" ht="15.75">
      <c r="B219" s="12"/>
      <c r="C219" s="12"/>
      <c r="D219" s="12"/>
      <c r="E219" s="12"/>
      <c r="F219" s="25"/>
    </row>
    <row r="220" spans="2:6" ht="15.75">
      <c r="B220" s="12"/>
      <c r="C220" s="12"/>
      <c r="D220" s="12"/>
      <c r="E220" s="12"/>
      <c r="F220" s="25"/>
    </row>
    <row r="221" spans="2:6" ht="15.75">
      <c r="B221" s="12"/>
      <c r="C221" s="12"/>
      <c r="D221" s="12"/>
      <c r="E221" s="12"/>
      <c r="F221" s="25"/>
    </row>
    <row r="222" spans="2:6" ht="15.75">
      <c r="B222" s="12"/>
      <c r="C222" s="12"/>
      <c r="D222" s="12"/>
      <c r="E222" s="12"/>
      <c r="F222" s="25"/>
    </row>
    <row r="223" spans="2:6" ht="15.75">
      <c r="B223" s="12"/>
      <c r="C223" s="12"/>
      <c r="D223" s="12"/>
      <c r="E223" s="12"/>
      <c r="F223" s="25"/>
    </row>
    <row r="224" spans="2:6" ht="15.75">
      <c r="B224" s="12"/>
      <c r="C224" s="12"/>
      <c r="D224" s="12"/>
      <c r="E224" s="12"/>
      <c r="F224" s="25"/>
    </row>
    <row r="225" spans="2:6" ht="15.75">
      <c r="B225" s="12"/>
      <c r="C225" s="12"/>
      <c r="D225" s="12"/>
      <c r="E225" s="12"/>
      <c r="F225" s="25"/>
    </row>
    <row r="226" spans="2:6" ht="15.75">
      <c r="B226" s="12"/>
      <c r="C226" s="12"/>
      <c r="D226" s="12"/>
      <c r="E226" s="12"/>
      <c r="F226" s="25"/>
    </row>
    <row r="227" spans="2:6" ht="15.75">
      <c r="B227" s="12"/>
      <c r="C227" s="12"/>
      <c r="D227" s="12"/>
      <c r="E227" s="12"/>
      <c r="F227" s="25"/>
    </row>
    <row r="228" spans="2:6" ht="15.75">
      <c r="B228" s="12"/>
      <c r="C228" s="12"/>
      <c r="D228" s="12"/>
      <c r="E228" s="12"/>
      <c r="F228" s="25"/>
    </row>
    <row r="229" spans="2:6" ht="15.75">
      <c r="B229" s="12"/>
      <c r="C229" s="12"/>
      <c r="D229" s="12"/>
      <c r="E229" s="12"/>
      <c r="F229" s="25"/>
    </row>
    <row r="230" spans="2:6" ht="15.75">
      <c r="B230" s="12"/>
      <c r="C230" s="12"/>
      <c r="D230" s="12"/>
      <c r="E230" s="12"/>
      <c r="F230" s="25"/>
    </row>
    <row r="231" spans="2:6" ht="15.75">
      <c r="B231" s="12"/>
      <c r="C231" s="12"/>
      <c r="D231" s="12"/>
      <c r="E231" s="12"/>
      <c r="F231" s="25"/>
    </row>
    <row r="232" spans="2:6" ht="15.75">
      <c r="B232" s="12"/>
      <c r="C232" s="12"/>
      <c r="D232" s="12"/>
      <c r="E232" s="12"/>
      <c r="F232" s="25"/>
    </row>
    <row r="233" spans="2:6" ht="15.75">
      <c r="B233" s="12"/>
      <c r="C233" s="12"/>
      <c r="D233" s="12"/>
      <c r="E233" s="12"/>
      <c r="F233" s="25"/>
    </row>
    <row r="234" spans="2:6" ht="15.75">
      <c r="B234" s="12"/>
      <c r="C234" s="12"/>
      <c r="D234" s="12"/>
      <c r="E234" s="12"/>
      <c r="F234" s="25"/>
    </row>
    <row r="235" spans="2:6" ht="15.75">
      <c r="B235" s="12"/>
      <c r="C235" s="12"/>
      <c r="D235" s="12"/>
      <c r="E235" s="12"/>
      <c r="F235" s="25"/>
    </row>
    <row r="236" spans="2:6" ht="15.75">
      <c r="B236" s="12"/>
      <c r="C236" s="12"/>
      <c r="D236" s="12"/>
      <c r="E236" s="12"/>
      <c r="F236" s="25"/>
    </row>
    <row r="237" spans="2:6" ht="15.75">
      <c r="B237" s="12"/>
      <c r="C237" s="12"/>
      <c r="D237" s="12"/>
      <c r="E237" s="12"/>
      <c r="F237" s="25"/>
    </row>
    <row r="238" spans="2:6" ht="15.75">
      <c r="B238" s="12"/>
      <c r="C238" s="12"/>
      <c r="D238" s="12"/>
      <c r="E238" s="12"/>
      <c r="F238" s="25"/>
    </row>
    <row r="239" spans="2:6" ht="15.75">
      <c r="B239" s="12"/>
      <c r="C239" s="12"/>
      <c r="D239" s="12"/>
      <c r="E239" s="12"/>
      <c r="F239" s="25"/>
    </row>
    <row r="240" spans="2:6" ht="15.75">
      <c r="B240" s="12"/>
      <c r="C240" s="12"/>
      <c r="D240" s="12"/>
      <c r="E240" s="12"/>
      <c r="F240" s="25"/>
    </row>
    <row r="241" spans="2:6" ht="15.75">
      <c r="B241" s="12"/>
      <c r="C241" s="12"/>
      <c r="D241" s="12"/>
      <c r="E241" s="12"/>
      <c r="F241" s="25"/>
    </row>
    <row r="242" spans="2:6" ht="15.75">
      <c r="B242" s="12"/>
      <c r="C242" s="12"/>
      <c r="D242" s="12"/>
      <c r="E242" s="12"/>
      <c r="F242" s="25"/>
    </row>
    <row r="243" spans="2:6" ht="15.75">
      <c r="B243" s="12"/>
      <c r="C243" s="12"/>
      <c r="D243" s="12"/>
      <c r="E243" s="12"/>
      <c r="F243" s="25"/>
    </row>
    <row r="244" spans="2:6" ht="15.75">
      <c r="B244" s="12"/>
      <c r="C244" s="12"/>
      <c r="D244" s="12"/>
      <c r="E244" s="12"/>
      <c r="F244" s="25"/>
    </row>
    <row r="245" spans="2:6" ht="15.75">
      <c r="B245" s="12"/>
      <c r="C245" s="12"/>
      <c r="D245" s="12"/>
      <c r="E245" s="12"/>
      <c r="F245" s="25"/>
    </row>
    <row r="246" spans="2:6" ht="15.75">
      <c r="B246" s="12"/>
      <c r="C246" s="12"/>
      <c r="D246" s="12"/>
      <c r="E246" s="12"/>
      <c r="F246" s="25"/>
    </row>
    <row r="247" spans="2:6" ht="15.75">
      <c r="B247" s="12"/>
      <c r="C247" s="12"/>
      <c r="D247" s="12"/>
      <c r="E247" s="12"/>
      <c r="F247" s="25"/>
    </row>
    <row r="248" spans="2:6" ht="15.75">
      <c r="B248" s="12"/>
      <c r="C248" s="12"/>
      <c r="D248" s="12"/>
      <c r="E248" s="12"/>
      <c r="F248" s="25"/>
    </row>
    <row r="249" spans="2:6" ht="15.75">
      <c r="B249" s="12"/>
      <c r="C249" s="12"/>
      <c r="D249" s="12"/>
      <c r="E249" s="12"/>
      <c r="F249" s="25"/>
    </row>
    <row r="250" spans="2:6" ht="15.75">
      <c r="B250" s="12"/>
      <c r="C250" s="12"/>
      <c r="D250" s="12"/>
      <c r="E250" s="12"/>
      <c r="F250" s="25"/>
    </row>
    <row r="251" spans="2:6" ht="15.75">
      <c r="B251" s="12"/>
      <c r="C251" s="12"/>
      <c r="D251" s="12"/>
      <c r="E251" s="12"/>
      <c r="F251" s="25"/>
    </row>
    <row r="252" spans="2:6" ht="15.75">
      <c r="B252" s="12"/>
      <c r="C252" s="12"/>
      <c r="D252" s="12"/>
      <c r="E252" s="12"/>
      <c r="F252" s="25"/>
    </row>
    <row r="253" spans="2:6" ht="15.75">
      <c r="B253" s="12"/>
      <c r="C253" s="12"/>
      <c r="D253" s="12"/>
      <c r="E253" s="12"/>
      <c r="F253" s="25"/>
    </row>
    <row r="254" spans="2:6" ht="15.75">
      <c r="B254" s="12"/>
      <c r="C254" s="12"/>
      <c r="D254" s="12"/>
      <c r="E254" s="12"/>
      <c r="F254" s="25"/>
    </row>
    <row r="255" spans="2:6" ht="15.75">
      <c r="B255" s="12"/>
      <c r="C255" s="12"/>
      <c r="D255" s="12"/>
      <c r="E255" s="12"/>
      <c r="F255" s="25"/>
    </row>
    <row r="256" spans="2:6" ht="15.75">
      <c r="B256" s="12"/>
      <c r="C256" s="12"/>
      <c r="D256" s="12"/>
      <c r="E256" s="12"/>
      <c r="F256" s="25"/>
    </row>
    <row r="257" spans="2:6" ht="15.75">
      <c r="B257" s="12"/>
      <c r="C257" s="12"/>
      <c r="D257" s="12"/>
      <c r="E257" s="12"/>
      <c r="F257" s="25"/>
    </row>
    <row r="258" spans="2:6" ht="15.75">
      <c r="B258" s="12"/>
      <c r="C258" s="12"/>
      <c r="D258" s="12"/>
      <c r="E258" s="12"/>
      <c r="F258" s="25"/>
    </row>
    <row r="259" spans="2:6" ht="15.75">
      <c r="B259" s="12"/>
      <c r="C259" s="12"/>
      <c r="D259" s="12"/>
      <c r="E259" s="12"/>
      <c r="F259" s="25"/>
    </row>
    <row r="260" spans="2:6" ht="15.75">
      <c r="B260" s="12"/>
      <c r="C260" s="12"/>
      <c r="D260" s="12"/>
      <c r="E260" s="12"/>
      <c r="F260" s="25"/>
    </row>
  </sheetData>
  <sheetProtection selectLockedCells="1" selectUnlockedCells="1"/>
  <mergeCells count="2">
    <mergeCell ref="D5:F5"/>
    <mergeCell ref="D66:F66"/>
  </mergeCells>
  <printOptions horizontalCentered="1"/>
  <pageMargins left="0.6298611111111111" right="0.39375" top="0.5902777777777778" bottom="0.5118055555555555" header="0.5118055555555555" footer="0.31527777777777777"/>
  <pageSetup horizontalDpi="300" verticalDpi="300" orientation="portrait" paperSize="9" scale="62" r:id="rId1"/>
  <headerFooter alignWithMargins="0">
    <oddFooter>&amp;R&amp;P</oddFooter>
  </headerFooter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SheetLayoutView="100" workbookViewId="0" topLeftCell="B1">
      <selection activeCell="G143" sqref="G143"/>
    </sheetView>
  </sheetViews>
  <sheetFormatPr defaultColWidth="9.140625" defaultRowHeight="15"/>
  <cols>
    <col min="1" max="1" width="10.7109375" style="28" customWidth="1"/>
    <col min="2" max="2" width="72.28125" style="28" customWidth="1"/>
    <col min="3" max="3" width="10.00390625" style="28" customWidth="1"/>
    <col min="4" max="4" width="10.8515625" style="28" customWidth="1"/>
    <col min="5" max="5" width="11.00390625" style="28" customWidth="1"/>
    <col min="6" max="6" width="10.57421875" style="29" customWidth="1"/>
    <col min="7" max="16384" width="9.140625" style="28" customWidth="1"/>
  </cols>
  <sheetData>
    <row r="1" s="12" customFormat="1" ht="15.75">
      <c r="F1" s="30" t="s">
        <v>680</v>
      </c>
    </row>
    <row r="2" spans="2:6" s="12" customFormat="1" ht="40.5">
      <c r="B2" s="243" t="s">
        <v>85</v>
      </c>
      <c r="F2" s="14" t="s">
        <v>88</v>
      </c>
    </row>
    <row r="3" spans="2:6" s="12" customFormat="1" ht="15.75">
      <c r="B3" s="38" t="s">
        <v>664</v>
      </c>
      <c r="C3" s="34"/>
      <c r="D3" s="34"/>
      <c r="E3" s="34"/>
      <c r="F3" s="35"/>
    </row>
    <row r="4" spans="2:6" s="12" customFormat="1" ht="15.75">
      <c r="B4" s="36" t="s">
        <v>118</v>
      </c>
      <c r="C4" s="37"/>
      <c r="D4" s="37"/>
      <c r="E4" s="37"/>
      <c r="F4" s="38"/>
    </row>
    <row r="5" spans="2:6" ht="15.75" customHeight="1">
      <c r="B5" s="39"/>
      <c r="D5" s="404" t="s">
        <v>91</v>
      </c>
      <c r="E5" s="404"/>
      <c r="F5" s="404"/>
    </row>
    <row r="6" spans="2:6" ht="47.25">
      <c r="B6" s="17" t="s">
        <v>92</v>
      </c>
      <c r="C6" s="40" t="s">
        <v>119</v>
      </c>
      <c r="D6" s="41" t="s">
        <v>93</v>
      </c>
      <c r="E6" s="41" t="s">
        <v>94</v>
      </c>
      <c r="F6" s="169" t="s">
        <v>601</v>
      </c>
    </row>
    <row r="7" spans="2:6" ht="15.75">
      <c r="B7" s="43" t="s">
        <v>120</v>
      </c>
      <c r="C7" s="44" t="s">
        <v>121</v>
      </c>
      <c r="D7" s="22">
        <v>18270</v>
      </c>
      <c r="E7" s="22"/>
      <c r="F7" s="23">
        <f>+D7+E7</f>
        <v>18270</v>
      </c>
    </row>
    <row r="8" spans="2:6" ht="15.75">
      <c r="B8" s="46" t="s">
        <v>122</v>
      </c>
      <c r="C8" s="44" t="s">
        <v>123</v>
      </c>
      <c r="D8" s="22">
        <v>1503</v>
      </c>
      <c r="E8" s="22"/>
      <c r="F8" s="23">
        <f>+D8+E8</f>
        <v>1503</v>
      </c>
    </row>
    <row r="9" spans="2:6" ht="15.75">
      <c r="B9" s="47" t="s">
        <v>124</v>
      </c>
      <c r="C9" s="48" t="s">
        <v>125</v>
      </c>
      <c r="D9" s="23">
        <f>SUM(D7:D8)</f>
        <v>19773</v>
      </c>
      <c r="E9" s="23">
        <f>SUM(E7:E8)</f>
        <v>0</v>
      </c>
      <c r="F9" s="23">
        <f>SUM(F7:F8)</f>
        <v>19773</v>
      </c>
    </row>
    <row r="10" spans="2:6" ht="15.75">
      <c r="B10" s="49" t="s">
        <v>126</v>
      </c>
      <c r="C10" s="48" t="s">
        <v>127</v>
      </c>
      <c r="D10" s="22">
        <v>5222</v>
      </c>
      <c r="E10" s="22"/>
      <c r="F10" s="23">
        <f aca="true" t="shared" si="0" ref="F10:F15">+D10+E10</f>
        <v>5222</v>
      </c>
    </row>
    <row r="11" spans="2:6" ht="15.75">
      <c r="B11" s="46" t="s">
        <v>128</v>
      </c>
      <c r="C11" s="44" t="s">
        <v>129</v>
      </c>
      <c r="D11" s="22">
        <v>922</v>
      </c>
      <c r="E11" s="22"/>
      <c r="F11" s="23">
        <f t="shared" si="0"/>
        <v>922</v>
      </c>
    </row>
    <row r="12" spans="2:6" ht="15.75">
      <c r="B12" s="46" t="s">
        <v>130</v>
      </c>
      <c r="C12" s="44" t="s">
        <v>131</v>
      </c>
      <c r="D12" s="22">
        <v>670</v>
      </c>
      <c r="E12" s="22"/>
      <c r="F12" s="23">
        <f t="shared" si="0"/>
        <v>670</v>
      </c>
    </row>
    <row r="13" spans="2:6" ht="15.75">
      <c r="B13" s="46" t="s">
        <v>132</v>
      </c>
      <c r="C13" s="44" t="s">
        <v>133</v>
      </c>
      <c r="D13" s="22">
        <v>13490</v>
      </c>
      <c r="E13" s="22"/>
      <c r="F13" s="23">
        <f t="shared" si="0"/>
        <v>13490</v>
      </c>
    </row>
    <row r="14" spans="2:6" ht="15.75">
      <c r="B14" s="46" t="s">
        <v>134</v>
      </c>
      <c r="C14" s="44" t="s">
        <v>135</v>
      </c>
      <c r="D14" s="22">
        <v>230</v>
      </c>
      <c r="E14" s="22"/>
      <c r="F14" s="23">
        <f t="shared" si="0"/>
        <v>230</v>
      </c>
    </row>
    <row r="15" spans="2:6" ht="15.75">
      <c r="B15" s="46" t="s">
        <v>136</v>
      </c>
      <c r="C15" s="44" t="s">
        <v>137</v>
      </c>
      <c r="D15" s="22">
        <v>7597</v>
      </c>
      <c r="E15" s="22"/>
      <c r="F15" s="23">
        <f t="shared" si="0"/>
        <v>7597</v>
      </c>
    </row>
    <row r="16" spans="2:6" ht="15.75">
      <c r="B16" s="49" t="s">
        <v>138</v>
      </c>
      <c r="C16" s="48" t="s">
        <v>139</v>
      </c>
      <c r="D16" s="23">
        <f>SUM(D11:D15)</f>
        <v>22909</v>
      </c>
      <c r="E16" s="23">
        <f>SUM(E11:E15)</f>
        <v>0</v>
      </c>
      <c r="F16" s="23">
        <f>SUM(F11:F15)</f>
        <v>22909</v>
      </c>
    </row>
    <row r="17" spans="2:6" ht="15.75">
      <c r="B17" s="50" t="s">
        <v>140</v>
      </c>
      <c r="C17" s="48" t="s">
        <v>141</v>
      </c>
      <c r="D17" s="22"/>
      <c r="E17" s="22"/>
      <c r="F17" s="23">
        <f aca="true" t="shared" si="1" ref="F17:F31">+D17+E17</f>
        <v>0</v>
      </c>
    </row>
    <row r="18" spans="2:6" ht="15.75">
      <c r="B18" s="51" t="s">
        <v>142</v>
      </c>
      <c r="C18" s="44" t="s">
        <v>143</v>
      </c>
      <c r="D18" s="22"/>
      <c r="E18" s="22"/>
      <c r="F18" s="23">
        <f t="shared" si="1"/>
        <v>0</v>
      </c>
    </row>
    <row r="19" spans="2:6" ht="15.75">
      <c r="B19" s="51" t="s">
        <v>144</v>
      </c>
      <c r="C19" s="44" t="s">
        <v>145</v>
      </c>
      <c r="D19" s="22"/>
      <c r="E19" s="22"/>
      <c r="F19" s="23">
        <f t="shared" si="1"/>
        <v>0</v>
      </c>
    </row>
    <row r="20" spans="2:6" ht="15.75">
      <c r="B20" s="51" t="s">
        <v>146</v>
      </c>
      <c r="C20" s="44" t="s">
        <v>147</v>
      </c>
      <c r="D20" s="22"/>
      <c r="E20" s="22"/>
      <c r="F20" s="23">
        <f t="shared" si="1"/>
        <v>0</v>
      </c>
    </row>
    <row r="21" spans="2:6" ht="15.75">
      <c r="B21" s="51" t="s">
        <v>148</v>
      </c>
      <c r="C21" s="44" t="s">
        <v>149</v>
      </c>
      <c r="D21" s="22"/>
      <c r="E21" s="22"/>
      <c r="F21" s="23">
        <f t="shared" si="1"/>
        <v>0</v>
      </c>
    </row>
    <row r="22" spans="2:6" ht="15.75">
      <c r="B22" s="51" t="s">
        <v>150</v>
      </c>
      <c r="C22" s="44" t="s">
        <v>151</v>
      </c>
      <c r="D22" s="22"/>
      <c r="E22" s="22"/>
      <c r="F22" s="23">
        <f t="shared" si="1"/>
        <v>0</v>
      </c>
    </row>
    <row r="23" spans="2:6" ht="15.75">
      <c r="B23" s="51" t="s">
        <v>152</v>
      </c>
      <c r="C23" s="44" t="s">
        <v>153</v>
      </c>
      <c r="D23" s="22"/>
      <c r="E23" s="22"/>
      <c r="F23" s="23">
        <f t="shared" si="1"/>
        <v>0</v>
      </c>
    </row>
    <row r="24" spans="2:6" ht="15.75">
      <c r="B24" s="51" t="s">
        <v>154</v>
      </c>
      <c r="C24" s="44" t="s">
        <v>155</v>
      </c>
      <c r="D24" s="22"/>
      <c r="E24" s="22"/>
      <c r="F24" s="23">
        <f t="shared" si="1"/>
        <v>0</v>
      </c>
    </row>
    <row r="25" spans="2:6" ht="15.75">
      <c r="B25" s="51" t="s">
        <v>156</v>
      </c>
      <c r="C25" s="44" t="s">
        <v>157</v>
      </c>
      <c r="D25" s="22"/>
      <c r="E25" s="22"/>
      <c r="F25" s="23">
        <f t="shared" si="1"/>
        <v>0</v>
      </c>
    </row>
    <row r="26" spans="2:6" ht="15.75">
      <c r="B26" s="51" t="s">
        <v>158</v>
      </c>
      <c r="C26" s="44" t="s">
        <v>159</v>
      </c>
      <c r="D26" s="22"/>
      <c r="E26" s="22"/>
      <c r="F26" s="23">
        <f t="shared" si="1"/>
        <v>0</v>
      </c>
    </row>
    <row r="27" spans="2:6" ht="15.75">
      <c r="B27" s="52" t="s">
        <v>160</v>
      </c>
      <c r="C27" s="44" t="s">
        <v>161</v>
      </c>
      <c r="D27" s="22"/>
      <c r="E27" s="22"/>
      <c r="F27" s="23">
        <f t="shared" si="1"/>
        <v>0</v>
      </c>
    </row>
    <row r="28" spans="2:6" ht="15.75">
      <c r="B28" s="52" t="s">
        <v>665</v>
      </c>
      <c r="C28" s="44" t="s">
        <v>163</v>
      </c>
      <c r="D28" s="22"/>
      <c r="E28" s="22"/>
      <c r="F28" s="23">
        <f t="shared" si="1"/>
        <v>0</v>
      </c>
    </row>
    <row r="29" spans="2:6" ht="15.75">
      <c r="B29" s="51" t="s">
        <v>164</v>
      </c>
      <c r="C29" s="44" t="s">
        <v>165</v>
      </c>
      <c r="D29" s="22"/>
      <c r="E29" s="22"/>
      <c r="F29" s="23">
        <f t="shared" si="1"/>
        <v>0</v>
      </c>
    </row>
    <row r="30" spans="2:6" ht="15.75">
      <c r="B30" s="52" t="s">
        <v>166</v>
      </c>
      <c r="C30" s="44" t="s">
        <v>167</v>
      </c>
      <c r="D30" s="22"/>
      <c r="E30" s="22"/>
      <c r="F30" s="23">
        <f t="shared" si="1"/>
        <v>0</v>
      </c>
    </row>
    <row r="31" spans="2:6" ht="15.75">
      <c r="B31" s="52" t="s">
        <v>168</v>
      </c>
      <c r="C31" s="44" t="s">
        <v>167</v>
      </c>
      <c r="D31" s="22"/>
      <c r="E31" s="22"/>
      <c r="F31" s="23">
        <f t="shared" si="1"/>
        <v>0</v>
      </c>
    </row>
    <row r="32" spans="2:6" s="29" customFormat="1" ht="15.75">
      <c r="B32" s="50" t="s">
        <v>169</v>
      </c>
      <c r="C32" s="48" t="s">
        <v>170</v>
      </c>
      <c r="D32" s="23">
        <f>SUM(D18:D31)</f>
        <v>0</v>
      </c>
      <c r="E32" s="23">
        <f>SUM(E18:E31)</f>
        <v>0</v>
      </c>
      <c r="F32" s="23">
        <f>SUM(F18:F31)</f>
        <v>0</v>
      </c>
    </row>
    <row r="33" spans="2:6" ht="15.75">
      <c r="B33" s="53" t="s">
        <v>171</v>
      </c>
      <c r="C33" s="54" t="s">
        <v>172</v>
      </c>
      <c r="D33" s="55">
        <f>+D32+D17+D16+D10+D9</f>
        <v>47904</v>
      </c>
      <c r="E33" s="55">
        <f>+E32+E17+E16+E10+E9</f>
        <v>0</v>
      </c>
      <c r="F33" s="55">
        <f>+F32+F17+F16+F10+F9</f>
        <v>47904</v>
      </c>
    </row>
    <row r="34" spans="2:6" ht="15.75">
      <c r="B34" s="56" t="s">
        <v>173</v>
      </c>
      <c r="C34" s="44" t="s">
        <v>174</v>
      </c>
      <c r="D34" s="22">
        <v>40</v>
      </c>
      <c r="E34" s="22"/>
      <c r="F34" s="23">
        <f aca="true" t="shared" si="2" ref="F34:F40">+D34+E34</f>
        <v>40</v>
      </c>
    </row>
    <row r="35" spans="2:6" ht="15.75">
      <c r="B35" s="56" t="s">
        <v>175</v>
      </c>
      <c r="C35" s="44" t="s">
        <v>176</v>
      </c>
      <c r="D35" s="22"/>
      <c r="E35" s="22"/>
      <c r="F35" s="23">
        <f t="shared" si="2"/>
        <v>0</v>
      </c>
    </row>
    <row r="36" spans="2:6" ht="15.75">
      <c r="B36" s="56" t="s">
        <v>177</v>
      </c>
      <c r="C36" s="44" t="s">
        <v>178</v>
      </c>
      <c r="D36" s="22">
        <v>100</v>
      </c>
      <c r="E36" s="22"/>
      <c r="F36" s="23">
        <f t="shared" si="2"/>
        <v>100</v>
      </c>
    </row>
    <row r="37" spans="2:6" ht="15.75">
      <c r="B37" s="56" t="s">
        <v>179</v>
      </c>
      <c r="C37" s="44" t="s">
        <v>180</v>
      </c>
      <c r="D37" s="22">
        <v>195</v>
      </c>
      <c r="E37" s="22"/>
      <c r="F37" s="23">
        <f t="shared" si="2"/>
        <v>195</v>
      </c>
    </row>
    <row r="38" spans="2:6" ht="15.75">
      <c r="B38" s="57" t="s">
        <v>181</v>
      </c>
      <c r="C38" s="44" t="s">
        <v>182</v>
      </c>
      <c r="D38" s="22"/>
      <c r="E38" s="22"/>
      <c r="F38" s="23">
        <f t="shared" si="2"/>
        <v>0</v>
      </c>
    </row>
    <row r="39" spans="2:6" ht="15.75">
      <c r="B39" s="57" t="s">
        <v>183</v>
      </c>
      <c r="C39" s="44" t="s">
        <v>184</v>
      </c>
      <c r="D39" s="22"/>
      <c r="E39" s="22"/>
      <c r="F39" s="23">
        <f t="shared" si="2"/>
        <v>0</v>
      </c>
    </row>
    <row r="40" spans="2:6" ht="15.75">
      <c r="B40" s="57" t="s">
        <v>185</v>
      </c>
      <c r="C40" s="44" t="s">
        <v>186</v>
      </c>
      <c r="D40" s="22">
        <v>91</v>
      </c>
      <c r="E40" s="22"/>
      <c r="F40" s="23">
        <f t="shared" si="2"/>
        <v>91</v>
      </c>
    </row>
    <row r="41" spans="2:6" s="29" customFormat="1" ht="15.75">
      <c r="B41" s="58" t="s">
        <v>187</v>
      </c>
      <c r="C41" s="48" t="s">
        <v>188</v>
      </c>
      <c r="D41" s="23">
        <f>SUM(D34:D40)</f>
        <v>426</v>
      </c>
      <c r="E41" s="23">
        <f>SUM(E34:E40)</f>
        <v>0</v>
      </c>
      <c r="F41" s="23">
        <f>SUM(F34:F40)</f>
        <v>426</v>
      </c>
    </row>
    <row r="42" spans="2:6" ht="15.75">
      <c r="B42" s="59" t="s">
        <v>189</v>
      </c>
      <c r="C42" s="44" t="s">
        <v>190</v>
      </c>
      <c r="D42" s="22"/>
      <c r="E42" s="22"/>
      <c r="F42" s="23">
        <f>+D42+E42</f>
        <v>0</v>
      </c>
    </row>
    <row r="43" spans="2:6" ht="15.75">
      <c r="B43" s="59" t="s">
        <v>191</v>
      </c>
      <c r="C43" s="44" t="s">
        <v>192</v>
      </c>
      <c r="D43" s="22"/>
      <c r="E43" s="22"/>
      <c r="F43" s="23">
        <f>+D43+E43</f>
        <v>0</v>
      </c>
    </row>
    <row r="44" spans="2:6" ht="15.75">
      <c r="B44" s="59" t="s">
        <v>193</v>
      </c>
      <c r="C44" s="44" t="s">
        <v>194</v>
      </c>
      <c r="D44" s="22"/>
      <c r="E44" s="22"/>
      <c r="F44" s="23">
        <f>+D44+E44</f>
        <v>0</v>
      </c>
    </row>
    <row r="45" spans="2:6" ht="15.75">
      <c r="B45" s="59" t="s">
        <v>195</v>
      </c>
      <c r="C45" s="44" t="s">
        <v>196</v>
      </c>
      <c r="D45" s="22"/>
      <c r="E45" s="22"/>
      <c r="F45" s="23">
        <f>+D45+E45</f>
        <v>0</v>
      </c>
    </row>
    <row r="46" spans="2:6" s="29" customFormat="1" ht="15.75">
      <c r="B46" s="49" t="s">
        <v>197</v>
      </c>
      <c r="C46" s="48" t="s">
        <v>198</v>
      </c>
      <c r="D46" s="23">
        <f>SUM(D42:D45)</f>
        <v>0</v>
      </c>
      <c r="E46" s="23">
        <f>SUM(E42:E45)</f>
        <v>0</v>
      </c>
      <c r="F46" s="23">
        <f>SUM(F42:F45)</f>
        <v>0</v>
      </c>
    </row>
    <row r="47" spans="2:6" ht="31.5">
      <c r="B47" s="59" t="s">
        <v>199</v>
      </c>
      <c r="C47" s="44" t="s">
        <v>200</v>
      </c>
      <c r="D47" s="22"/>
      <c r="E47" s="22"/>
      <c r="F47" s="23">
        <f aca="true" t="shared" si="3" ref="F47:F55">+D47+E47</f>
        <v>0</v>
      </c>
    </row>
    <row r="48" spans="2:6" ht="15.75">
      <c r="B48" s="59" t="s">
        <v>201</v>
      </c>
      <c r="C48" s="44" t="s">
        <v>202</v>
      </c>
      <c r="D48" s="22"/>
      <c r="E48" s="22"/>
      <c r="F48" s="23">
        <f t="shared" si="3"/>
        <v>0</v>
      </c>
    </row>
    <row r="49" spans="2:6" ht="31.5">
      <c r="B49" s="59" t="s">
        <v>203</v>
      </c>
      <c r="C49" s="44" t="s">
        <v>204</v>
      </c>
      <c r="D49" s="22"/>
      <c r="E49" s="22"/>
      <c r="F49" s="23">
        <f t="shared" si="3"/>
        <v>0</v>
      </c>
    </row>
    <row r="50" spans="2:6" ht="15.75">
      <c r="B50" s="59" t="s">
        <v>205</v>
      </c>
      <c r="C50" s="44" t="s">
        <v>206</v>
      </c>
      <c r="D50" s="22"/>
      <c r="E50" s="22"/>
      <c r="F50" s="23">
        <f t="shared" si="3"/>
        <v>0</v>
      </c>
    </row>
    <row r="51" spans="2:6" ht="31.5">
      <c r="B51" s="59" t="s">
        <v>207</v>
      </c>
      <c r="C51" s="44" t="s">
        <v>208</v>
      </c>
      <c r="D51" s="22"/>
      <c r="E51" s="22"/>
      <c r="F51" s="23">
        <f t="shared" si="3"/>
        <v>0</v>
      </c>
    </row>
    <row r="52" spans="2:6" ht="15.75">
      <c r="B52" s="59" t="s">
        <v>209</v>
      </c>
      <c r="C52" s="44" t="s">
        <v>210</v>
      </c>
      <c r="D52" s="22"/>
      <c r="E52" s="22"/>
      <c r="F52" s="23">
        <f t="shared" si="3"/>
        <v>0</v>
      </c>
    </row>
    <row r="53" spans="2:6" ht="15.75">
      <c r="B53" s="59" t="s">
        <v>211</v>
      </c>
      <c r="C53" s="44" t="s">
        <v>212</v>
      </c>
      <c r="D53" s="22"/>
      <c r="E53" s="22"/>
      <c r="F53" s="23">
        <f t="shared" si="3"/>
        <v>0</v>
      </c>
    </row>
    <row r="54" spans="2:6" ht="15.75">
      <c r="B54" s="52" t="s">
        <v>666</v>
      </c>
      <c r="C54" s="44" t="s">
        <v>214</v>
      </c>
      <c r="D54" s="22"/>
      <c r="E54" s="22"/>
      <c r="F54" s="23">
        <f t="shared" si="3"/>
        <v>0</v>
      </c>
    </row>
    <row r="55" spans="2:6" ht="15.75">
      <c r="B55" s="59" t="s">
        <v>215</v>
      </c>
      <c r="C55" s="44" t="s">
        <v>216</v>
      </c>
      <c r="D55" s="22"/>
      <c r="E55" s="22"/>
      <c r="F55" s="23">
        <f t="shared" si="3"/>
        <v>0</v>
      </c>
    </row>
    <row r="56" spans="2:6" s="29" customFormat="1" ht="15.75">
      <c r="B56" s="50" t="s">
        <v>217</v>
      </c>
      <c r="C56" s="48" t="s">
        <v>218</v>
      </c>
      <c r="D56" s="23">
        <f>SUM(D47:D55)</f>
        <v>0</v>
      </c>
      <c r="E56" s="23">
        <f>SUM(E47:E55)</f>
        <v>0</v>
      </c>
      <c r="F56" s="23">
        <f>SUM(F47:F55)</f>
        <v>0</v>
      </c>
    </row>
    <row r="57" spans="2:6" ht="15.75">
      <c r="B57" s="53" t="s">
        <v>219</v>
      </c>
      <c r="C57" s="54" t="s">
        <v>220</v>
      </c>
      <c r="D57" s="55">
        <f>+D56+D46+D41</f>
        <v>426</v>
      </c>
      <c r="E57" s="55">
        <f>+E56+E46+E41</f>
        <v>0</v>
      </c>
      <c r="F57" s="55">
        <f>+F56+F46+F41</f>
        <v>426</v>
      </c>
    </row>
    <row r="58" spans="2:6" ht="15.75">
      <c r="B58" s="60" t="s">
        <v>221</v>
      </c>
      <c r="C58" s="61" t="s">
        <v>222</v>
      </c>
      <c r="D58" s="62">
        <f>+D56+D46+D41+D32+D17+D16+D10+D9</f>
        <v>48330</v>
      </c>
      <c r="E58" s="62">
        <f>+E56+E46+E41+E32+E17+E16+E10+E9</f>
        <v>0</v>
      </c>
      <c r="F58" s="62">
        <f>+F56+F46+F41+F32+F17+F16+F10+F9</f>
        <v>48330</v>
      </c>
    </row>
    <row r="59" spans="2:22" ht="15.75">
      <c r="B59" s="67" t="s">
        <v>654</v>
      </c>
      <c r="C59" s="46" t="s">
        <v>248</v>
      </c>
      <c r="D59" s="244"/>
      <c r="E59" s="244"/>
      <c r="F59" s="22">
        <f>+D59+E59</f>
        <v>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/>
      <c r="V59" s="64"/>
    </row>
    <row r="60" spans="2:22" ht="15.75">
      <c r="B60" s="67" t="s">
        <v>249</v>
      </c>
      <c r="C60" s="46" t="s">
        <v>250</v>
      </c>
      <c r="D60" s="244"/>
      <c r="E60" s="244"/>
      <c r="F60" s="22">
        <f>+D60+E60</f>
        <v>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/>
      <c r="V60" s="64"/>
    </row>
    <row r="61" spans="2:22" ht="15.75">
      <c r="B61" s="59" t="s">
        <v>251</v>
      </c>
      <c r="C61" s="46" t="s">
        <v>252</v>
      </c>
      <c r="D61" s="244"/>
      <c r="E61" s="244"/>
      <c r="F61" s="22">
        <f>+D61+E61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4"/>
    </row>
    <row r="62" spans="2:22" ht="15.75">
      <c r="B62" s="59" t="s">
        <v>253</v>
      </c>
      <c r="C62" s="46" t="s">
        <v>254</v>
      </c>
      <c r="D62" s="244"/>
      <c r="E62" s="244"/>
      <c r="F62" s="22">
        <f>+D62+E62</f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4"/>
    </row>
    <row r="63" spans="2:22" ht="15.75">
      <c r="B63" s="72" t="s">
        <v>255</v>
      </c>
      <c r="C63" s="73" t="s">
        <v>256</v>
      </c>
      <c r="D63" s="74">
        <f>+D61+D60+D59+D62</f>
        <v>0</v>
      </c>
      <c r="E63" s="74">
        <f>+E61+E60+E59+E62</f>
        <v>0</v>
      </c>
      <c r="F63" s="74">
        <f>+F61+F60+F59+F62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4"/>
      <c r="V63" s="64"/>
    </row>
    <row r="64" spans="2:22" ht="15.75">
      <c r="B64" s="26" t="s">
        <v>257</v>
      </c>
      <c r="C64" s="26" t="s">
        <v>258</v>
      </c>
      <c r="D64" s="27">
        <f>+D58+D63</f>
        <v>48330</v>
      </c>
      <c r="E64" s="27">
        <f>+E58+E63</f>
        <v>0</v>
      </c>
      <c r="F64" s="27">
        <f>+F58+F63</f>
        <v>48330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.75">
      <c r="B65" s="12"/>
      <c r="C65" s="75"/>
      <c r="D65" s="76"/>
      <c r="E65" s="76"/>
      <c r="F65" s="7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.75" customHeight="1" hidden="1">
      <c r="B66" s="12"/>
      <c r="C66" s="75"/>
      <c r="D66" s="404" t="s">
        <v>259</v>
      </c>
      <c r="E66" s="404"/>
      <c r="F66" s="40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47.25">
      <c r="B67" s="17" t="s">
        <v>92</v>
      </c>
      <c r="C67" s="40" t="s">
        <v>260</v>
      </c>
      <c r="D67" s="41" t="s">
        <v>93</v>
      </c>
      <c r="E67" s="41" t="s">
        <v>94</v>
      </c>
      <c r="F67" s="169" t="s">
        <v>601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.75">
      <c r="B68" s="49" t="s">
        <v>655</v>
      </c>
      <c r="C68" s="58" t="s">
        <v>274</v>
      </c>
      <c r="D68" s="23"/>
      <c r="E68" s="23"/>
      <c r="F68" s="23">
        <f aca="true" t="shared" si="4" ref="F68:F73">+E68+D68</f>
        <v>0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.75">
      <c r="B69" s="46" t="s">
        <v>275</v>
      </c>
      <c r="C69" s="57" t="s">
        <v>276</v>
      </c>
      <c r="D69" s="23"/>
      <c r="E69" s="23"/>
      <c r="F69" s="23">
        <f t="shared" si="4"/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31.5">
      <c r="B70" s="46" t="s">
        <v>277</v>
      </c>
      <c r="C70" s="57" t="s">
        <v>278</v>
      </c>
      <c r="D70" s="23"/>
      <c r="E70" s="23"/>
      <c r="F70" s="23">
        <f t="shared" si="4"/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31.5">
      <c r="B71" s="46" t="s">
        <v>279</v>
      </c>
      <c r="C71" s="57" t="s">
        <v>280</v>
      </c>
      <c r="D71" s="23"/>
      <c r="E71" s="23"/>
      <c r="F71" s="23">
        <f t="shared" si="4"/>
        <v>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31.5">
      <c r="B72" s="46" t="s">
        <v>281</v>
      </c>
      <c r="C72" s="57" t="s">
        <v>282</v>
      </c>
      <c r="D72" s="23"/>
      <c r="E72" s="23"/>
      <c r="F72" s="23">
        <f t="shared" si="4"/>
        <v>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.75">
      <c r="B73" s="46" t="s">
        <v>283</v>
      </c>
      <c r="C73" s="57" t="s">
        <v>284</v>
      </c>
      <c r="D73" s="22">
        <v>1280</v>
      </c>
      <c r="E73" s="22"/>
      <c r="F73" s="23">
        <f t="shared" si="4"/>
        <v>1280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.75">
      <c r="B74" s="49" t="s">
        <v>285</v>
      </c>
      <c r="C74" s="58" t="s">
        <v>286</v>
      </c>
      <c r="D74" s="23">
        <f>+D73+D72+D71+D70+D69+D68</f>
        <v>1280</v>
      </c>
      <c r="E74" s="23">
        <f>+E73+E72+E71+E70+E69+E68</f>
        <v>0</v>
      </c>
      <c r="F74" s="23">
        <f>+F73+F72+F71+F70+F69+F68</f>
        <v>1280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.75">
      <c r="B75" s="49" t="s">
        <v>287</v>
      </c>
      <c r="C75" s="58" t="s">
        <v>288</v>
      </c>
      <c r="D75" s="22"/>
      <c r="E75" s="22"/>
      <c r="F75" s="23">
        <f aca="true" t="shared" si="5" ref="F75:F81">+E75+D75</f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.75" hidden="1">
      <c r="B76" s="46" t="s">
        <v>289</v>
      </c>
      <c r="C76" s="57" t="s">
        <v>290</v>
      </c>
      <c r="D76" s="22"/>
      <c r="E76" s="22"/>
      <c r="F76" s="23">
        <f t="shared" si="5"/>
        <v>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.75" hidden="1">
      <c r="B77" s="46" t="s">
        <v>291</v>
      </c>
      <c r="C77" s="57" t="s">
        <v>292</v>
      </c>
      <c r="D77" s="22"/>
      <c r="E77" s="22"/>
      <c r="F77" s="23">
        <f t="shared" si="5"/>
        <v>0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.75" hidden="1">
      <c r="B78" s="46" t="s">
        <v>293</v>
      </c>
      <c r="C78" s="57" t="s">
        <v>294</v>
      </c>
      <c r="D78" s="22"/>
      <c r="E78" s="22"/>
      <c r="F78" s="23">
        <f t="shared" si="5"/>
        <v>0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.75" hidden="1">
      <c r="B79" s="46" t="s">
        <v>295</v>
      </c>
      <c r="C79" s="57" t="s">
        <v>296</v>
      </c>
      <c r="D79" s="22"/>
      <c r="E79" s="22"/>
      <c r="F79" s="23">
        <f t="shared" si="5"/>
        <v>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.75" hidden="1">
      <c r="B80" s="46" t="s">
        <v>297</v>
      </c>
      <c r="C80" s="57" t="s">
        <v>298</v>
      </c>
      <c r="D80" s="22"/>
      <c r="E80" s="22"/>
      <c r="F80" s="23">
        <f t="shared" si="5"/>
        <v>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.75" hidden="1">
      <c r="B81" s="46" t="s">
        <v>299</v>
      </c>
      <c r="C81" s="57" t="s">
        <v>300</v>
      </c>
      <c r="D81" s="22"/>
      <c r="E81" s="22"/>
      <c r="F81" s="23">
        <f t="shared" si="5"/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.75">
      <c r="B82" s="49" t="s">
        <v>301</v>
      </c>
      <c r="C82" s="58" t="s">
        <v>302</v>
      </c>
      <c r="D82" s="23">
        <f>SUM(D76:D81)</f>
        <v>0</v>
      </c>
      <c r="E82" s="23">
        <f>SUM(E76:E81)</f>
        <v>0</v>
      </c>
      <c r="F82" s="23">
        <f>SUM(F76:F81)</f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.75">
      <c r="B83" s="59" t="s">
        <v>656</v>
      </c>
      <c r="C83" s="57" t="s">
        <v>304</v>
      </c>
      <c r="D83" s="22"/>
      <c r="E83" s="22"/>
      <c r="F83" s="23">
        <f aca="true" t="shared" si="6" ref="F83:F93">+E83+D83</f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.75">
      <c r="B84" s="59" t="s">
        <v>305</v>
      </c>
      <c r="C84" s="57" t="s">
        <v>306</v>
      </c>
      <c r="D84" s="22">
        <v>8470</v>
      </c>
      <c r="E84" s="22"/>
      <c r="F84" s="23">
        <f t="shared" si="6"/>
        <v>8470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.75">
      <c r="B85" s="59" t="s">
        <v>307</v>
      </c>
      <c r="C85" s="57" t="s">
        <v>308</v>
      </c>
      <c r="D85" s="22"/>
      <c r="E85" s="22"/>
      <c r="F85" s="23">
        <f t="shared" si="6"/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.75">
      <c r="B86" s="59" t="s">
        <v>309</v>
      </c>
      <c r="C86" s="57" t="s">
        <v>310</v>
      </c>
      <c r="D86" s="22"/>
      <c r="E86" s="22"/>
      <c r="F86" s="23">
        <f t="shared" si="6"/>
        <v>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.75">
      <c r="B87" s="59" t="s">
        <v>311</v>
      </c>
      <c r="C87" s="57" t="s">
        <v>312</v>
      </c>
      <c r="D87" s="22"/>
      <c r="E87" s="22"/>
      <c r="F87" s="23">
        <f t="shared" si="6"/>
        <v>0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.75">
      <c r="B88" s="59" t="s">
        <v>313</v>
      </c>
      <c r="C88" s="57" t="s">
        <v>314</v>
      </c>
      <c r="D88" s="22">
        <v>667</v>
      </c>
      <c r="E88" s="22"/>
      <c r="F88" s="23">
        <f t="shared" si="6"/>
        <v>667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.75">
      <c r="B89" s="59" t="s">
        <v>315</v>
      </c>
      <c r="C89" s="57" t="s">
        <v>316</v>
      </c>
      <c r="D89" s="22"/>
      <c r="E89" s="22"/>
      <c r="F89" s="23">
        <f t="shared" si="6"/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.75">
      <c r="B90" s="59" t="s">
        <v>317</v>
      </c>
      <c r="C90" s="57" t="s">
        <v>318</v>
      </c>
      <c r="D90" s="22"/>
      <c r="E90" s="22"/>
      <c r="F90" s="23">
        <f t="shared" si="6"/>
        <v>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.75">
      <c r="B91" s="59" t="s">
        <v>319</v>
      </c>
      <c r="C91" s="57" t="s">
        <v>320</v>
      </c>
      <c r="D91" s="22"/>
      <c r="E91" s="22"/>
      <c r="F91" s="23">
        <f t="shared" si="6"/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.75">
      <c r="B92" s="59" t="s">
        <v>321</v>
      </c>
      <c r="C92" s="57" t="s">
        <v>322</v>
      </c>
      <c r="D92" s="22"/>
      <c r="E92" s="22"/>
      <c r="F92" s="23">
        <f t="shared" si="6"/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.75">
      <c r="B93" s="59" t="s">
        <v>323</v>
      </c>
      <c r="C93" s="57" t="s">
        <v>324</v>
      </c>
      <c r="D93" s="22"/>
      <c r="E93" s="22"/>
      <c r="F93" s="23">
        <f t="shared" si="6"/>
        <v>0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.75">
      <c r="B94" s="50" t="s">
        <v>325</v>
      </c>
      <c r="C94" s="58" t="s">
        <v>326</v>
      </c>
      <c r="D94" s="23">
        <f>SUM(D83:D93)</f>
        <v>9137</v>
      </c>
      <c r="E94" s="23">
        <f>SUM(E83:E93)</f>
        <v>0</v>
      </c>
      <c r="F94" s="23">
        <f>SUM(F83:F93)</f>
        <v>9137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.75">
      <c r="B95" s="59" t="s">
        <v>327</v>
      </c>
      <c r="C95" s="57" t="s">
        <v>328</v>
      </c>
      <c r="D95" s="22"/>
      <c r="E95" s="22"/>
      <c r="F95" s="23">
        <f>+E95+D95</f>
        <v>0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.75">
      <c r="B96" s="59" t="s">
        <v>329</v>
      </c>
      <c r="C96" s="57" t="s">
        <v>330</v>
      </c>
      <c r="D96" s="22"/>
      <c r="E96" s="22"/>
      <c r="F96" s="23">
        <f>+E96+D96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.75">
      <c r="B97" s="59" t="s">
        <v>331</v>
      </c>
      <c r="C97" s="57" t="s">
        <v>332</v>
      </c>
      <c r="D97" s="22"/>
      <c r="E97" s="22"/>
      <c r="F97" s="23">
        <f>+E97+D97</f>
        <v>0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ht="15.75">
      <c r="B98" s="59" t="s">
        <v>333</v>
      </c>
      <c r="C98" s="57" t="s">
        <v>334</v>
      </c>
      <c r="D98" s="22"/>
      <c r="E98" s="22"/>
      <c r="F98" s="23">
        <f>+E98+D98</f>
        <v>0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ht="15.75">
      <c r="B99" s="59" t="s">
        <v>335</v>
      </c>
      <c r="C99" s="57" t="s">
        <v>336</v>
      </c>
      <c r="D99" s="22"/>
      <c r="E99" s="22"/>
      <c r="F99" s="23">
        <f>+E99+D99</f>
        <v>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ht="15.75">
      <c r="B100" s="49" t="s">
        <v>337</v>
      </c>
      <c r="C100" s="58" t="s">
        <v>338</v>
      </c>
      <c r="D100" s="23">
        <f>SUM(D95:D99)</f>
        <v>0</v>
      </c>
      <c r="E100" s="23">
        <f>SUM(E95:E99)</f>
        <v>0</v>
      </c>
      <c r="F100" s="23">
        <f>SUM(F95:F99)</f>
        <v>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ht="15.75">
      <c r="B101" s="49" t="s">
        <v>339</v>
      </c>
      <c r="C101" s="58" t="s">
        <v>340</v>
      </c>
      <c r="D101" s="22"/>
      <c r="E101" s="22"/>
      <c r="F101" s="23">
        <f>+E101+D101</f>
        <v>0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ht="31.5">
      <c r="B102" s="59" t="s">
        <v>341</v>
      </c>
      <c r="C102" s="57" t="s">
        <v>342</v>
      </c>
      <c r="D102" s="22"/>
      <c r="E102" s="22"/>
      <c r="F102" s="23">
        <f>+E102+D102</f>
        <v>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ht="15.75">
      <c r="B103" s="46" t="s">
        <v>343</v>
      </c>
      <c r="C103" s="57" t="s">
        <v>344</v>
      </c>
      <c r="D103" s="22"/>
      <c r="E103" s="22"/>
      <c r="F103" s="2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ht="31.5">
      <c r="B104" s="59" t="s">
        <v>345</v>
      </c>
      <c r="C104" s="57" t="s">
        <v>346</v>
      </c>
      <c r="D104" s="22"/>
      <c r="E104" s="22"/>
      <c r="F104" s="2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ht="31.5">
      <c r="B105" s="59" t="s">
        <v>347</v>
      </c>
      <c r="C105" s="57" t="s">
        <v>348</v>
      </c>
      <c r="D105" s="22"/>
      <c r="E105" s="22"/>
      <c r="F105" s="23">
        <f>+E105+D105</f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ht="15.75">
      <c r="B106" s="59" t="s">
        <v>349</v>
      </c>
      <c r="C106" s="57" t="s">
        <v>350</v>
      </c>
      <c r="D106" s="22"/>
      <c r="E106" s="22"/>
      <c r="F106" s="23">
        <f>+E106+D106</f>
        <v>0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ht="15.75">
      <c r="B107" s="49" t="s">
        <v>351</v>
      </c>
      <c r="C107" s="58" t="s">
        <v>352</v>
      </c>
      <c r="D107" s="23">
        <f>SUM(D102:D106)</f>
        <v>0</v>
      </c>
      <c r="E107" s="23">
        <f>SUM(E102:E106)</f>
        <v>0</v>
      </c>
      <c r="F107" s="23">
        <f>SUM(F102:F106)</f>
        <v>0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ht="15.75">
      <c r="B108" s="80" t="s">
        <v>353</v>
      </c>
      <c r="C108" s="60" t="s">
        <v>354</v>
      </c>
      <c r="D108" s="62">
        <f>+D107+D101+D100+D94+D82+D75+D74</f>
        <v>10417</v>
      </c>
      <c r="E108" s="62">
        <f>+E107+E101+E100+E94+E82+E75+E74</f>
        <v>0</v>
      </c>
      <c r="F108" s="62">
        <f>+F107+F101+F100+F94+F82+F75+F74</f>
        <v>10417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ht="15.75">
      <c r="B109" s="81" t="s">
        <v>355</v>
      </c>
      <c r="C109" s="82"/>
      <c r="D109" s="83">
        <f>+D101+D94+D82+D74-D33</f>
        <v>-37487</v>
      </c>
      <c r="E109" s="83">
        <f>+E101+E94+E82+E74-E33</f>
        <v>0</v>
      </c>
      <c r="F109" s="83">
        <f aca="true" t="shared" si="7" ref="F109:F116">+E109+D109</f>
        <v>-37487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ht="15.75">
      <c r="B110" s="81" t="s">
        <v>356</v>
      </c>
      <c r="C110" s="82"/>
      <c r="D110" s="83">
        <f>+D107+D100+D75-D57</f>
        <v>-426</v>
      </c>
      <c r="E110" s="83">
        <f>+E107+E100+E75-E57</f>
        <v>0</v>
      </c>
      <c r="F110" s="83">
        <f t="shared" si="7"/>
        <v>-426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6" ht="15.75">
      <c r="B111" s="50" t="s">
        <v>657</v>
      </c>
      <c r="C111" s="49" t="s">
        <v>364</v>
      </c>
      <c r="D111" s="22"/>
      <c r="E111" s="22"/>
      <c r="F111" s="23">
        <f t="shared" si="7"/>
        <v>0</v>
      </c>
    </row>
    <row r="112" spans="2:6" ht="15.75">
      <c r="B112" s="71" t="s">
        <v>658</v>
      </c>
      <c r="C112" s="49" t="s">
        <v>374</v>
      </c>
      <c r="D112" s="22"/>
      <c r="E112" s="22"/>
      <c r="F112" s="23">
        <f t="shared" si="7"/>
        <v>0</v>
      </c>
    </row>
    <row r="113" spans="2:6" ht="15.75">
      <c r="B113" s="46" t="s">
        <v>375</v>
      </c>
      <c r="C113" s="46" t="s">
        <v>376</v>
      </c>
      <c r="D113" s="22"/>
      <c r="E113" s="22"/>
      <c r="F113" s="23">
        <f t="shared" si="7"/>
        <v>0</v>
      </c>
    </row>
    <row r="114" spans="2:6" ht="15.75">
      <c r="B114" s="46" t="s">
        <v>377</v>
      </c>
      <c r="C114" s="46" t="s">
        <v>376</v>
      </c>
      <c r="D114" s="22"/>
      <c r="E114" s="22"/>
      <c r="F114" s="23">
        <f t="shared" si="7"/>
        <v>0</v>
      </c>
    </row>
    <row r="115" spans="2:6" ht="15.75">
      <c r="B115" s="46" t="s">
        <v>378</v>
      </c>
      <c r="C115" s="46" t="s">
        <v>379</v>
      </c>
      <c r="D115" s="22"/>
      <c r="E115" s="22"/>
      <c r="F115" s="23">
        <f t="shared" si="7"/>
        <v>0</v>
      </c>
    </row>
    <row r="116" spans="2:6" ht="15.75">
      <c r="B116" s="46" t="s">
        <v>380</v>
      </c>
      <c r="C116" s="46" t="s">
        <v>379</v>
      </c>
      <c r="D116" s="22"/>
      <c r="E116" s="22"/>
      <c r="F116" s="23">
        <f t="shared" si="7"/>
        <v>0</v>
      </c>
    </row>
    <row r="117" spans="1:6" ht="15.75">
      <c r="A117" s="88" t="s">
        <v>667</v>
      </c>
      <c r="B117" s="49" t="s">
        <v>381</v>
      </c>
      <c r="C117" s="49" t="s">
        <v>382</v>
      </c>
      <c r="D117" s="23">
        <f>SUM(D113:D116)</f>
        <v>0</v>
      </c>
      <c r="E117" s="23">
        <f>SUM(E113:E116)</f>
        <v>0</v>
      </c>
      <c r="F117" s="23">
        <f>SUM(F113:F116)</f>
        <v>0</v>
      </c>
    </row>
    <row r="118" spans="1:6" ht="15.75">
      <c r="A118" s="88" t="s">
        <v>668</v>
      </c>
      <c r="B118" s="67" t="s">
        <v>383</v>
      </c>
      <c r="C118" s="46" t="s">
        <v>384</v>
      </c>
      <c r="D118" s="22"/>
      <c r="E118" s="22"/>
      <c r="F118" s="23">
        <f aca="true" t="shared" si="8" ref="F118:F125">+E118+D118</f>
        <v>0</v>
      </c>
    </row>
    <row r="119" spans="2:6" ht="15.75">
      <c r="B119" s="67" t="s">
        <v>385</v>
      </c>
      <c r="C119" s="46" t="s">
        <v>386</v>
      </c>
      <c r="D119" s="22"/>
      <c r="E119" s="22"/>
      <c r="F119" s="23">
        <f t="shared" si="8"/>
        <v>0</v>
      </c>
    </row>
    <row r="120" spans="1:6" ht="15.75">
      <c r="A120" s="28" t="s">
        <v>681</v>
      </c>
      <c r="B120" s="67" t="s">
        <v>387</v>
      </c>
      <c r="C120" s="46" t="s">
        <v>388</v>
      </c>
      <c r="D120" s="22">
        <f>32058+5855</f>
        <v>37913</v>
      </c>
      <c r="E120" s="22"/>
      <c r="F120" s="23">
        <f t="shared" si="8"/>
        <v>37913</v>
      </c>
    </row>
    <row r="121" spans="2:6" s="245" customFormat="1" ht="15.75">
      <c r="B121" s="246" t="s">
        <v>670</v>
      </c>
      <c r="C121" s="147"/>
      <c r="D121" s="103">
        <v>5855</v>
      </c>
      <c r="E121" s="103"/>
      <c r="F121" s="133">
        <f t="shared" si="8"/>
        <v>5855</v>
      </c>
    </row>
    <row r="122" spans="2:6" s="245" customFormat="1" ht="15.75">
      <c r="B122" s="247" t="s">
        <v>662</v>
      </c>
      <c r="C122" s="147"/>
      <c r="D122" s="103">
        <f>+D120-D121</f>
        <v>32058</v>
      </c>
      <c r="E122" s="103">
        <f>+E120-E121</f>
        <v>0</v>
      </c>
      <c r="F122" s="133">
        <f t="shared" si="8"/>
        <v>32058</v>
      </c>
    </row>
    <row r="123" spans="2:6" ht="15.75">
      <c r="B123" s="67" t="s">
        <v>389</v>
      </c>
      <c r="C123" s="46" t="s">
        <v>390</v>
      </c>
      <c r="D123" s="22"/>
      <c r="E123" s="22"/>
      <c r="F123" s="23">
        <f t="shared" si="8"/>
        <v>0</v>
      </c>
    </row>
    <row r="124" spans="2:6" ht="15.75">
      <c r="B124" s="59" t="s">
        <v>391</v>
      </c>
      <c r="C124" s="46" t="s">
        <v>392</v>
      </c>
      <c r="D124" s="22"/>
      <c r="E124" s="22"/>
      <c r="F124" s="23">
        <f t="shared" si="8"/>
        <v>0</v>
      </c>
    </row>
    <row r="125" spans="2:6" ht="15.75">
      <c r="B125" s="59" t="s">
        <v>393</v>
      </c>
      <c r="C125" s="46" t="s">
        <v>394</v>
      </c>
      <c r="D125" s="22"/>
      <c r="E125" s="22"/>
      <c r="F125" s="23">
        <f t="shared" si="8"/>
        <v>0</v>
      </c>
    </row>
    <row r="126" spans="2:6" ht="15.75">
      <c r="B126" s="50" t="s">
        <v>395</v>
      </c>
      <c r="C126" s="49" t="s">
        <v>396</v>
      </c>
      <c r="D126" s="23">
        <f>SUM(D118:D125)+D117+D112+D111-D121-D122</f>
        <v>37913</v>
      </c>
      <c r="E126" s="23">
        <f>SUM(E118:E125)+E117+E112+E111-E121-E122</f>
        <v>0</v>
      </c>
      <c r="F126" s="23">
        <f>SUM(F118:F124)+F117+F112+F111-F121-F122</f>
        <v>37913</v>
      </c>
    </row>
    <row r="127" spans="2:6" ht="15.75" hidden="1">
      <c r="B127" s="67" t="s">
        <v>397</v>
      </c>
      <c r="C127" s="46" t="s">
        <v>398</v>
      </c>
      <c r="D127" s="22"/>
      <c r="E127" s="22"/>
      <c r="F127" s="23">
        <f>+E127+D127</f>
        <v>0</v>
      </c>
    </row>
    <row r="128" spans="2:6" ht="15.75" hidden="1">
      <c r="B128" s="59" t="s">
        <v>399</v>
      </c>
      <c r="C128" s="46" t="s">
        <v>400</v>
      </c>
      <c r="D128" s="22"/>
      <c r="E128" s="22"/>
      <c r="F128" s="23">
        <f>+E128+D128</f>
        <v>0</v>
      </c>
    </row>
    <row r="129" spans="2:6" ht="15.75" hidden="1">
      <c r="B129" s="59" t="s">
        <v>401</v>
      </c>
      <c r="C129" s="46" t="s">
        <v>402</v>
      </c>
      <c r="D129" s="22"/>
      <c r="E129" s="22"/>
      <c r="F129" s="23">
        <f>+E129+D129</f>
        <v>0</v>
      </c>
    </row>
    <row r="130" spans="2:6" ht="15.75">
      <c r="B130" s="72" t="s">
        <v>403</v>
      </c>
      <c r="C130" s="73" t="s">
        <v>404</v>
      </c>
      <c r="D130" s="62">
        <f>+D128+D127+D126+D129</f>
        <v>37913</v>
      </c>
      <c r="E130" s="62">
        <f>+E128+E127+E126+E129</f>
        <v>0</v>
      </c>
      <c r="F130" s="62">
        <f>+F129+F127+F126</f>
        <v>37913</v>
      </c>
    </row>
    <row r="131" spans="2:6" ht="15.75">
      <c r="B131" s="26" t="s">
        <v>405</v>
      </c>
      <c r="C131" s="26" t="s">
        <v>406</v>
      </c>
      <c r="D131" s="27">
        <f>+D108+D130</f>
        <v>48330</v>
      </c>
      <c r="E131" s="27">
        <f>+E108+E130</f>
        <v>0</v>
      </c>
      <c r="F131" s="27">
        <f>+F108+F130</f>
        <v>48330</v>
      </c>
    </row>
    <row r="132" spans="2:6" ht="15.75">
      <c r="B132" s="12"/>
      <c r="C132" s="12"/>
      <c r="D132" s="13"/>
      <c r="E132" s="13"/>
      <c r="F132" s="84"/>
    </row>
    <row r="133" spans="2:6" ht="15.75">
      <c r="B133" s="24" t="s">
        <v>407</v>
      </c>
      <c r="C133" s="24"/>
      <c r="D133" s="23">
        <f>+D108-D58</f>
        <v>-37913</v>
      </c>
      <c r="E133" s="23">
        <f>+E108-E58</f>
        <v>0</v>
      </c>
      <c r="F133" s="23">
        <f>+F108-F58</f>
        <v>-37913</v>
      </c>
    </row>
    <row r="134" spans="2:6" ht="15.75">
      <c r="B134" s="24" t="s">
        <v>408</v>
      </c>
      <c r="C134" s="24"/>
      <c r="D134" s="23">
        <f>+D130-D63</f>
        <v>37913</v>
      </c>
      <c r="E134" s="23">
        <f>+E130-E63</f>
        <v>0</v>
      </c>
      <c r="F134" s="23">
        <f>+F130-F63</f>
        <v>37913</v>
      </c>
    </row>
    <row r="135" spans="2:6" ht="15.75">
      <c r="B135" s="12"/>
      <c r="C135" s="12"/>
      <c r="D135" s="13"/>
      <c r="E135" s="13"/>
      <c r="F135" s="84"/>
    </row>
    <row r="136" spans="2:6" ht="15.75">
      <c r="B136" s="87" t="s">
        <v>411</v>
      </c>
      <c r="C136" s="12"/>
      <c r="D136" s="13">
        <f>+D131-D64</f>
        <v>0</v>
      </c>
      <c r="E136" s="13">
        <f>+E131-E64</f>
        <v>0</v>
      </c>
      <c r="F136" s="13">
        <f>+F131-F64</f>
        <v>0</v>
      </c>
    </row>
    <row r="137" spans="2:6" ht="15.75">
      <c r="B137" s="12"/>
      <c r="C137" s="12"/>
      <c r="D137" s="13"/>
      <c r="E137" s="13"/>
      <c r="F137" s="84"/>
    </row>
    <row r="138" spans="2:6" ht="15.75">
      <c r="B138" s="12"/>
      <c r="C138" s="12"/>
      <c r="D138" s="13"/>
      <c r="E138" s="13"/>
      <c r="F138" s="84"/>
    </row>
    <row r="139" spans="2:6" ht="15.75">
      <c r="B139" s="12"/>
      <c r="C139" s="12"/>
      <c r="D139" s="13"/>
      <c r="E139" s="13"/>
      <c r="F139" s="84"/>
    </row>
    <row r="140" spans="2:6" ht="15.75">
      <c r="B140" s="12"/>
      <c r="C140" s="12"/>
      <c r="D140" s="13"/>
      <c r="E140" s="13"/>
      <c r="F140" s="84"/>
    </row>
    <row r="141" spans="2:6" ht="15.75">
      <c r="B141" s="12"/>
      <c r="C141" s="12"/>
      <c r="D141" s="13"/>
      <c r="E141" s="13"/>
      <c r="F141" s="84"/>
    </row>
    <row r="142" spans="2:6" ht="15.75">
      <c r="B142" s="12"/>
      <c r="C142" s="12"/>
      <c r="D142" s="13"/>
      <c r="E142" s="13"/>
      <c r="F142" s="84"/>
    </row>
    <row r="143" spans="2:6" ht="15.75">
      <c r="B143" s="12"/>
      <c r="C143" s="12"/>
      <c r="D143" s="13"/>
      <c r="E143" s="13"/>
      <c r="F143" s="84"/>
    </row>
    <row r="144" spans="2:6" ht="15.75">
      <c r="B144" s="12"/>
      <c r="C144" s="12"/>
      <c r="D144" s="13"/>
      <c r="E144" s="13"/>
      <c r="F144" s="84"/>
    </row>
    <row r="145" spans="2:6" ht="15.75">
      <c r="B145" s="12"/>
      <c r="C145" s="12"/>
      <c r="D145" s="13"/>
      <c r="E145" s="13"/>
      <c r="F145" s="84"/>
    </row>
    <row r="146" spans="2:6" ht="15.75">
      <c r="B146" s="12"/>
      <c r="C146" s="12"/>
      <c r="D146" s="13"/>
      <c r="E146" s="13"/>
      <c r="F146" s="84"/>
    </row>
    <row r="147" spans="2:6" ht="15.75">
      <c r="B147" s="12"/>
      <c r="C147" s="12"/>
      <c r="D147" s="13"/>
      <c r="E147" s="13"/>
      <c r="F147" s="84"/>
    </row>
    <row r="148" spans="2:6" ht="15.75">
      <c r="B148" s="12"/>
      <c r="C148" s="12"/>
      <c r="D148" s="13"/>
      <c r="E148" s="13"/>
      <c r="F148" s="84"/>
    </row>
    <row r="149" spans="2:6" ht="15.75">
      <c r="B149" s="12"/>
      <c r="C149" s="12"/>
      <c r="D149" s="13"/>
      <c r="E149" s="13"/>
      <c r="F149" s="84"/>
    </row>
    <row r="150" spans="2:6" ht="15.75">
      <c r="B150" s="12"/>
      <c r="C150" s="12"/>
      <c r="D150" s="13"/>
      <c r="E150" s="13"/>
      <c r="F150" s="84"/>
    </row>
    <row r="151" spans="2:6" ht="15.75">
      <c r="B151" s="12"/>
      <c r="C151" s="12"/>
      <c r="D151" s="13"/>
      <c r="E151" s="13"/>
      <c r="F151" s="84"/>
    </row>
    <row r="152" spans="2:6" ht="15.75">
      <c r="B152" s="12"/>
      <c r="C152" s="12"/>
      <c r="D152" s="13"/>
      <c r="E152" s="13"/>
      <c r="F152" s="84"/>
    </row>
    <row r="153" spans="2:6" ht="15.75">
      <c r="B153" s="12"/>
      <c r="C153" s="12"/>
      <c r="D153" s="13"/>
      <c r="E153" s="13"/>
      <c r="F153" s="84"/>
    </row>
    <row r="154" spans="2:6" ht="15.75">
      <c r="B154" s="12"/>
      <c r="C154" s="12"/>
      <c r="D154" s="13"/>
      <c r="E154" s="13"/>
      <c r="F154" s="84"/>
    </row>
    <row r="155" spans="2:6" ht="15.75">
      <c r="B155" s="12"/>
      <c r="C155" s="12"/>
      <c r="D155" s="13"/>
      <c r="E155" s="13"/>
      <c r="F155" s="84"/>
    </row>
    <row r="156" spans="2:6" ht="15.75">
      <c r="B156" s="12"/>
      <c r="C156" s="12"/>
      <c r="D156" s="13"/>
      <c r="E156" s="13"/>
      <c r="F156" s="84"/>
    </row>
    <row r="157" spans="2:6" ht="15.75">
      <c r="B157" s="12"/>
      <c r="C157" s="12"/>
      <c r="D157" s="13"/>
      <c r="E157" s="13"/>
      <c r="F157" s="84"/>
    </row>
    <row r="158" spans="2:6" ht="15.75">
      <c r="B158" s="12"/>
      <c r="C158" s="12"/>
      <c r="D158" s="13"/>
      <c r="E158" s="13"/>
      <c r="F158" s="84"/>
    </row>
    <row r="159" spans="2:6" ht="15.75">
      <c r="B159" s="12"/>
      <c r="C159" s="12"/>
      <c r="D159" s="13"/>
      <c r="E159" s="13"/>
      <c r="F159" s="84"/>
    </row>
    <row r="160" spans="2:6" ht="15.75">
      <c r="B160" s="12"/>
      <c r="C160" s="12"/>
      <c r="D160" s="13"/>
      <c r="E160" s="13"/>
      <c r="F160" s="84"/>
    </row>
    <row r="161" spans="2:6" ht="15.75">
      <c r="B161" s="12"/>
      <c r="C161" s="12"/>
      <c r="D161" s="13"/>
      <c r="E161" s="13"/>
      <c r="F161" s="84"/>
    </row>
    <row r="162" spans="2:6" ht="15.75">
      <c r="B162" s="12"/>
      <c r="C162" s="12"/>
      <c r="D162" s="13"/>
      <c r="E162" s="13"/>
      <c r="F162" s="84"/>
    </row>
    <row r="163" spans="2:6" ht="15.75">
      <c r="B163" s="12"/>
      <c r="C163" s="12"/>
      <c r="D163" s="13"/>
      <c r="E163" s="13"/>
      <c r="F163" s="84"/>
    </row>
    <row r="164" spans="2:6" ht="15.75">
      <c r="B164" s="12"/>
      <c r="C164" s="12"/>
      <c r="D164" s="13"/>
      <c r="E164" s="13"/>
      <c r="F164" s="84"/>
    </row>
    <row r="165" spans="2:6" ht="15.75">
      <c r="B165" s="12"/>
      <c r="C165" s="12"/>
      <c r="D165" s="13"/>
      <c r="E165" s="13"/>
      <c r="F165" s="84"/>
    </row>
    <row r="166" spans="2:6" ht="15.75">
      <c r="B166" s="12"/>
      <c r="C166" s="12"/>
      <c r="D166" s="13"/>
      <c r="E166" s="13"/>
      <c r="F166" s="84"/>
    </row>
    <row r="167" spans="2:6" ht="15.75">
      <c r="B167" s="12"/>
      <c r="C167" s="12"/>
      <c r="D167" s="13"/>
      <c r="E167" s="13"/>
      <c r="F167" s="84"/>
    </row>
    <row r="168" spans="2:6" ht="15.75">
      <c r="B168" s="12"/>
      <c r="C168" s="12"/>
      <c r="D168" s="13"/>
      <c r="E168" s="13"/>
      <c r="F168" s="84"/>
    </row>
    <row r="169" spans="2:6" ht="15.75">
      <c r="B169" s="12"/>
      <c r="C169" s="12"/>
      <c r="D169" s="13"/>
      <c r="E169" s="13"/>
      <c r="F169" s="84"/>
    </row>
    <row r="170" spans="2:6" ht="15.75">
      <c r="B170" s="12"/>
      <c r="C170" s="12"/>
      <c r="D170" s="13"/>
      <c r="E170" s="13"/>
      <c r="F170" s="84"/>
    </row>
    <row r="171" spans="2:6" ht="15.75">
      <c r="B171" s="12"/>
      <c r="C171" s="12"/>
      <c r="D171" s="13"/>
      <c r="E171" s="13"/>
      <c r="F171" s="84"/>
    </row>
    <row r="172" spans="2:6" ht="15.75">
      <c r="B172" s="12"/>
      <c r="C172" s="12"/>
      <c r="D172" s="13"/>
      <c r="E172" s="13"/>
      <c r="F172" s="84"/>
    </row>
    <row r="173" spans="2:6" ht="15.75">
      <c r="B173" s="12"/>
      <c r="C173" s="12"/>
      <c r="D173" s="13"/>
      <c r="E173" s="13"/>
      <c r="F173" s="84"/>
    </row>
    <row r="174" spans="2:6" ht="15.75">
      <c r="B174" s="12"/>
      <c r="C174" s="12"/>
      <c r="D174" s="13"/>
      <c r="E174" s="13"/>
      <c r="F174" s="84"/>
    </row>
    <row r="175" spans="2:6" ht="15.75">
      <c r="B175" s="12"/>
      <c r="C175" s="12"/>
      <c r="D175" s="13"/>
      <c r="E175" s="13"/>
      <c r="F175" s="84"/>
    </row>
    <row r="176" spans="2:6" ht="15.75">
      <c r="B176" s="12"/>
      <c r="C176" s="12"/>
      <c r="D176" s="13"/>
      <c r="E176" s="13"/>
      <c r="F176" s="84"/>
    </row>
    <row r="177" spans="2:6" ht="15.75">
      <c r="B177" s="12"/>
      <c r="C177" s="12"/>
      <c r="D177" s="13"/>
      <c r="E177" s="13"/>
      <c r="F177" s="84"/>
    </row>
    <row r="178" spans="2:6" ht="15.75">
      <c r="B178" s="12"/>
      <c r="C178" s="12"/>
      <c r="D178" s="13"/>
      <c r="E178" s="13"/>
      <c r="F178" s="84"/>
    </row>
    <row r="179" spans="2:6" ht="15.75">
      <c r="B179" s="12"/>
      <c r="C179" s="12"/>
      <c r="D179" s="13"/>
      <c r="E179" s="13"/>
      <c r="F179" s="84"/>
    </row>
    <row r="180" spans="2:6" ht="15.75">
      <c r="B180" s="12"/>
      <c r="C180" s="12"/>
      <c r="D180" s="13"/>
      <c r="E180" s="13"/>
      <c r="F180" s="84"/>
    </row>
    <row r="181" spans="2:6" ht="15.75">
      <c r="B181" s="12"/>
      <c r="C181" s="12"/>
      <c r="D181" s="13"/>
      <c r="E181" s="13"/>
      <c r="F181" s="84"/>
    </row>
    <row r="182" spans="2:6" ht="15.75">
      <c r="B182" s="12"/>
      <c r="C182" s="12"/>
      <c r="D182" s="13"/>
      <c r="E182" s="13"/>
      <c r="F182" s="84"/>
    </row>
    <row r="183" spans="2:6" ht="15.75">
      <c r="B183" s="12"/>
      <c r="C183" s="12"/>
      <c r="D183" s="13"/>
      <c r="E183" s="13"/>
      <c r="F183" s="84"/>
    </row>
    <row r="184" spans="2:6" ht="15.75">
      <c r="B184" s="12"/>
      <c r="C184" s="12"/>
      <c r="D184" s="13"/>
      <c r="E184" s="13"/>
      <c r="F184" s="84"/>
    </row>
    <row r="185" spans="2:6" ht="15.75">
      <c r="B185" s="12"/>
      <c r="C185" s="12"/>
      <c r="D185" s="13"/>
      <c r="E185" s="13"/>
      <c r="F185" s="84"/>
    </row>
    <row r="186" spans="2:6" ht="15.75">
      <c r="B186" s="12"/>
      <c r="C186" s="12"/>
      <c r="D186" s="13"/>
      <c r="E186" s="13"/>
      <c r="F186" s="84"/>
    </row>
    <row r="187" spans="2:6" ht="15.75">
      <c r="B187" s="12"/>
      <c r="C187" s="12"/>
      <c r="D187" s="13"/>
      <c r="E187" s="13"/>
      <c r="F187" s="84"/>
    </row>
    <row r="188" spans="2:6" ht="15.75">
      <c r="B188" s="12"/>
      <c r="C188" s="12"/>
      <c r="D188" s="13"/>
      <c r="E188" s="13"/>
      <c r="F188" s="84"/>
    </row>
    <row r="189" spans="2:6" ht="15.75">
      <c r="B189" s="12"/>
      <c r="C189" s="12"/>
      <c r="D189" s="13"/>
      <c r="E189" s="13"/>
      <c r="F189" s="84"/>
    </row>
    <row r="190" spans="2:6" ht="15.75">
      <c r="B190" s="12"/>
      <c r="C190" s="12"/>
      <c r="D190" s="13"/>
      <c r="E190" s="13"/>
      <c r="F190" s="84"/>
    </row>
    <row r="191" spans="2:6" ht="15.75">
      <c r="B191" s="12"/>
      <c r="C191" s="12"/>
      <c r="D191" s="13"/>
      <c r="E191" s="13"/>
      <c r="F191" s="84"/>
    </row>
    <row r="192" spans="2:6" ht="15.75">
      <c r="B192" s="12"/>
      <c r="C192" s="12"/>
      <c r="D192" s="13"/>
      <c r="E192" s="13"/>
      <c r="F192" s="84"/>
    </row>
    <row r="193" spans="2:6" ht="15.75">
      <c r="B193" s="12"/>
      <c r="C193" s="12"/>
      <c r="D193" s="13"/>
      <c r="E193" s="13"/>
      <c r="F193" s="84"/>
    </row>
    <row r="194" spans="2:6" ht="15.75">
      <c r="B194" s="12"/>
      <c r="C194" s="12"/>
      <c r="D194" s="13"/>
      <c r="E194" s="13"/>
      <c r="F194" s="84"/>
    </row>
    <row r="195" spans="2:6" ht="15.75">
      <c r="B195" s="12"/>
      <c r="C195" s="12"/>
      <c r="D195" s="12"/>
      <c r="E195" s="12"/>
      <c r="F195" s="25"/>
    </row>
    <row r="196" spans="2:6" ht="15.75">
      <c r="B196" s="12"/>
      <c r="C196" s="12"/>
      <c r="D196" s="12"/>
      <c r="E196" s="12"/>
      <c r="F196" s="25"/>
    </row>
    <row r="197" spans="2:6" ht="15.75">
      <c r="B197" s="12"/>
      <c r="C197" s="12"/>
      <c r="D197" s="12"/>
      <c r="E197" s="12"/>
      <c r="F197" s="25"/>
    </row>
    <row r="198" spans="2:6" ht="15.75">
      <c r="B198" s="12"/>
      <c r="C198" s="12"/>
      <c r="D198" s="12"/>
      <c r="E198" s="12"/>
      <c r="F198" s="25"/>
    </row>
    <row r="199" spans="2:6" ht="15.75">
      <c r="B199" s="12"/>
      <c r="C199" s="12"/>
      <c r="D199" s="12"/>
      <c r="E199" s="12"/>
      <c r="F199" s="25"/>
    </row>
    <row r="200" spans="2:6" ht="15.75">
      <c r="B200" s="12"/>
      <c r="C200" s="12"/>
      <c r="D200" s="12"/>
      <c r="E200" s="12"/>
      <c r="F200" s="25"/>
    </row>
    <row r="201" spans="2:6" ht="15.75">
      <c r="B201" s="12"/>
      <c r="C201" s="12"/>
      <c r="D201" s="12"/>
      <c r="E201" s="12"/>
      <c r="F201" s="25"/>
    </row>
    <row r="202" spans="2:6" ht="15.75">
      <c r="B202" s="12"/>
      <c r="C202" s="12"/>
      <c r="D202" s="12"/>
      <c r="E202" s="12"/>
      <c r="F202" s="25"/>
    </row>
    <row r="203" spans="2:6" ht="15.75">
      <c r="B203" s="12"/>
      <c r="C203" s="12"/>
      <c r="D203" s="12"/>
      <c r="E203" s="12"/>
      <c r="F203" s="25"/>
    </row>
    <row r="204" spans="2:6" ht="15.75">
      <c r="B204" s="12"/>
      <c r="C204" s="12"/>
      <c r="D204" s="12"/>
      <c r="E204" s="12"/>
      <c r="F204" s="25"/>
    </row>
    <row r="205" spans="2:6" ht="15.75">
      <c r="B205" s="12"/>
      <c r="C205" s="12"/>
      <c r="D205" s="12"/>
      <c r="E205" s="12"/>
      <c r="F205" s="25"/>
    </row>
    <row r="206" spans="2:6" ht="15.75">
      <c r="B206" s="12"/>
      <c r="C206" s="12"/>
      <c r="D206" s="12"/>
      <c r="E206" s="12"/>
      <c r="F206" s="25"/>
    </row>
    <row r="207" spans="2:6" ht="15.75">
      <c r="B207" s="12"/>
      <c r="C207" s="12"/>
      <c r="D207" s="12"/>
      <c r="E207" s="12"/>
      <c r="F207" s="25"/>
    </row>
    <row r="208" spans="2:6" ht="15.75">
      <c r="B208" s="12"/>
      <c r="C208" s="12"/>
      <c r="D208" s="12"/>
      <c r="E208" s="12"/>
      <c r="F208" s="25"/>
    </row>
    <row r="209" spans="2:6" ht="15.75">
      <c r="B209" s="12"/>
      <c r="C209" s="12"/>
      <c r="D209" s="12"/>
      <c r="E209" s="12"/>
      <c r="F209" s="25"/>
    </row>
    <row r="210" spans="2:6" ht="15.75">
      <c r="B210" s="12"/>
      <c r="C210" s="12"/>
      <c r="D210" s="12"/>
      <c r="E210" s="12"/>
      <c r="F210" s="25"/>
    </row>
    <row r="211" spans="2:6" ht="15.75">
      <c r="B211" s="12"/>
      <c r="C211" s="12"/>
      <c r="D211" s="12"/>
      <c r="E211" s="12"/>
      <c r="F211" s="25"/>
    </row>
    <row r="212" spans="2:6" ht="15.75">
      <c r="B212" s="12"/>
      <c r="C212" s="12"/>
      <c r="D212" s="12"/>
      <c r="E212" s="12"/>
      <c r="F212" s="25"/>
    </row>
    <row r="213" spans="2:6" ht="15.75">
      <c r="B213" s="12"/>
      <c r="C213" s="12"/>
      <c r="D213" s="12"/>
      <c r="E213" s="12"/>
      <c r="F213" s="25"/>
    </row>
    <row r="214" spans="2:6" ht="15.75">
      <c r="B214" s="12"/>
      <c r="C214" s="12"/>
      <c r="D214" s="12"/>
      <c r="E214" s="12"/>
      <c r="F214" s="25"/>
    </row>
    <row r="215" spans="2:6" ht="15.75">
      <c r="B215" s="12"/>
      <c r="C215" s="12"/>
      <c r="D215" s="12"/>
      <c r="E215" s="12"/>
      <c r="F215" s="25"/>
    </row>
    <row r="216" spans="2:6" ht="15.75">
      <c r="B216" s="12"/>
      <c r="C216" s="12"/>
      <c r="D216" s="12"/>
      <c r="E216" s="12"/>
      <c r="F216" s="25"/>
    </row>
    <row r="217" spans="2:6" ht="15.75">
      <c r="B217" s="12"/>
      <c r="C217" s="12"/>
      <c r="D217" s="12"/>
      <c r="E217" s="12"/>
      <c r="F217" s="25"/>
    </row>
    <row r="218" spans="2:6" ht="15.75">
      <c r="B218" s="12"/>
      <c r="C218" s="12"/>
      <c r="D218" s="12"/>
      <c r="E218" s="12"/>
      <c r="F218" s="25"/>
    </row>
    <row r="219" spans="2:6" ht="15.75">
      <c r="B219" s="12"/>
      <c r="C219" s="12"/>
      <c r="D219" s="12"/>
      <c r="E219" s="12"/>
      <c r="F219" s="25"/>
    </row>
    <row r="220" spans="2:6" ht="15.75">
      <c r="B220" s="12"/>
      <c r="C220" s="12"/>
      <c r="D220" s="12"/>
      <c r="E220" s="12"/>
      <c r="F220" s="25"/>
    </row>
    <row r="221" spans="2:6" ht="15.75">
      <c r="B221" s="12"/>
      <c r="C221" s="12"/>
      <c r="D221" s="12"/>
      <c r="E221" s="12"/>
      <c r="F221" s="25"/>
    </row>
    <row r="222" spans="2:6" ht="15.75">
      <c r="B222" s="12"/>
      <c r="C222" s="12"/>
      <c r="D222" s="12"/>
      <c r="E222" s="12"/>
      <c r="F222" s="25"/>
    </row>
    <row r="223" spans="2:6" ht="15.75">
      <c r="B223" s="12"/>
      <c r="C223" s="12"/>
      <c r="D223" s="12"/>
      <c r="E223" s="12"/>
      <c r="F223" s="25"/>
    </row>
    <row r="224" spans="2:6" ht="15.75">
      <c r="B224" s="12"/>
      <c r="C224" s="12"/>
      <c r="D224" s="12"/>
      <c r="E224" s="12"/>
      <c r="F224" s="25"/>
    </row>
    <row r="225" spans="2:6" ht="15.75">
      <c r="B225" s="12"/>
      <c r="C225" s="12"/>
      <c r="D225" s="12"/>
      <c r="E225" s="12"/>
      <c r="F225" s="25"/>
    </row>
    <row r="226" spans="2:6" ht="15.75">
      <c r="B226" s="12"/>
      <c r="C226" s="12"/>
      <c r="D226" s="12"/>
      <c r="E226" s="12"/>
      <c r="F226" s="25"/>
    </row>
    <row r="227" spans="2:6" ht="15.75">
      <c r="B227" s="12"/>
      <c r="C227" s="12"/>
      <c r="D227" s="12"/>
      <c r="E227" s="12"/>
      <c r="F227" s="25"/>
    </row>
    <row r="228" spans="2:6" ht="15.75">
      <c r="B228" s="12"/>
      <c r="C228" s="12"/>
      <c r="D228" s="12"/>
      <c r="E228" s="12"/>
      <c r="F228" s="25"/>
    </row>
    <row r="229" spans="2:6" ht="15.75">
      <c r="B229" s="12"/>
      <c r="C229" s="12"/>
      <c r="D229" s="12"/>
      <c r="E229" s="12"/>
      <c r="F229" s="25"/>
    </row>
    <row r="230" spans="2:6" ht="15.75">
      <c r="B230" s="12"/>
      <c r="C230" s="12"/>
      <c r="D230" s="12"/>
      <c r="E230" s="12"/>
      <c r="F230" s="25"/>
    </row>
    <row r="231" spans="2:6" ht="15.75">
      <c r="B231" s="12"/>
      <c r="C231" s="12"/>
      <c r="D231" s="12"/>
      <c r="E231" s="12"/>
      <c r="F231" s="25"/>
    </row>
    <row r="232" spans="2:6" ht="15.75">
      <c r="B232" s="12"/>
      <c r="C232" s="12"/>
      <c r="D232" s="12"/>
      <c r="E232" s="12"/>
      <c r="F232" s="25"/>
    </row>
    <row r="233" spans="2:6" ht="15.75">
      <c r="B233" s="12"/>
      <c r="C233" s="12"/>
      <c r="D233" s="12"/>
      <c r="E233" s="12"/>
      <c r="F233" s="25"/>
    </row>
    <row r="234" spans="2:6" ht="15.75">
      <c r="B234" s="12"/>
      <c r="C234" s="12"/>
      <c r="D234" s="12"/>
      <c r="E234" s="12"/>
      <c r="F234" s="25"/>
    </row>
    <row r="235" spans="2:6" ht="15.75">
      <c r="B235" s="12"/>
      <c r="C235" s="12"/>
      <c r="D235" s="12"/>
      <c r="E235" s="12"/>
      <c r="F235" s="25"/>
    </row>
    <row r="236" spans="2:6" ht="15.75">
      <c r="B236" s="12"/>
      <c r="C236" s="12"/>
      <c r="D236" s="12"/>
      <c r="E236" s="12"/>
      <c r="F236" s="25"/>
    </row>
    <row r="237" spans="2:6" ht="15.75">
      <c r="B237" s="12"/>
      <c r="C237" s="12"/>
      <c r="D237" s="12"/>
      <c r="E237" s="12"/>
      <c r="F237" s="25"/>
    </row>
    <row r="238" spans="2:6" ht="15.75">
      <c r="B238" s="12"/>
      <c r="C238" s="12"/>
      <c r="D238" s="12"/>
      <c r="E238" s="12"/>
      <c r="F238" s="25"/>
    </row>
    <row r="239" spans="2:6" ht="15.75">
      <c r="B239" s="12"/>
      <c r="C239" s="12"/>
      <c r="D239" s="12"/>
      <c r="E239" s="12"/>
      <c r="F239" s="25"/>
    </row>
    <row r="240" spans="2:6" ht="15.75">
      <c r="B240" s="12"/>
      <c r="C240" s="12"/>
      <c r="D240" s="12"/>
      <c r="E240" s="12"/>
      <c r="F240" s="25"/>
    </row>
    <row r="241" spans="2:6" ht="15.75">
      <c r="B241" s="12"/>
      <c r="C241" s="12"/>
      <c r="D241" s="12"/>
      <c r="E241" s="12"/>
      <c r="F241" s="25"/>
    </row>
    <row r="242" spans="2:6" ht="15.75">
      <c r="B242" s="12"/>
      <c r="C242" s="12"/>
      <c r="D242" s="12"/>
      <c r="E242" s="12"/>
      <c r="F242" s="25"/>
    </row>
    <row r="243" spans="2:6" ht="15.75">
      <c r="B243" s="12"/>
      <c r="C243" s="12"/>
      <c r="D243" s="12"/>
      <c r="E243" s="12"/>
      <c r="F243" s="25"/>
    </row>
    <row r="244" spans="2:6" ht="15.75">
      <c r="B244" s="12"/>
      <c r="C244" s="12"/>
      <c r="D244" s="12"/>
      <c r="E244" s="12"/>
      <c r="F244" s="25"/>
    </row>
    <row r="245" spans="2:6" ht="15.75">
      <c r="B245" s="12"/>
      <c r="C245" s="12"/>
      <c r="D245" s="12"/>
      <c r="E245" s="12"/>
      <c r="F245" s="25"/>
    </row>
    <row r="246" spans="2:6" ht="15.75">
      <c r="B246" s="12"/>
      <c r="C246" s="12"/>
      <c r="D246" s="12"/>
      <c r="E246" s="12"/>
      <c r="F246" s="25"/>
    </row>
    <row r="247" spans="2:6" ht="15.75">
      <c r="B247" s="12"/>
      <c r="C247" s="12"/>
      <c r="D247" s="12"/>
      <c r="E247" s="12"/>
      <c r="F247" s="25"/>
    </row>
    <row r="248" spans="2:6" ht="15.75">
      <c r="B248" s="12"/>
      <c r="C248" s="12"/>
      <c r="D248" s="12"/>
      <c r="E248" s="12"/>
      <c r="F248" s="25"/>
    </row>
    <row r="249" spans="2:6" ht="15.75">
      <c r="B249" s="12"/>
      <c r="C249" s="12"/>
      <c r="D249" s="12"/>
      <c r="E249" s="12"/>
      <c r="F249" s="25"/>
    </row>
    <row r="250" spans="2:6" ht="15.75">
      <c r="B250" s="12"/>
      <c r="C250" s="12"/>
      <c r="D250" s="12"/>
      <c r="E250" s="12"/>
      <c r="F250" s="25"/>
    </row>
    <row r="251" spans="2:6" ht="15.75">
      <c r="B251" s="12"/>
      <c r="C251" s="12"/>
      <c r="D251" s="12"/>
      <c r="E251" s="12"/>
      <c r="F251" s="25"/>
    </row>
    <row r="252" spans="2:6" ht="15.75">
      <c r="B252" s="12"/>
      <c r="C252" s="12"/>
      <c r="D252" s="12"/>
      <c r="E252" s="12"/>
      <c r="F252" s="25"/>
    </row>
    <row r="253" spans="2:6" ht="15.75">
      <c r="B253" s="12"/>
      <c r="C253" s="12"/>
      <c r="D253" s="12"/>
      <c r="E253" s="12"/>
      <c r="F253" s="25"/>
    </row>
    <row r="254" spans="2:6" ht="15.75">
      <c r="B254" s="12"/>
      <c r="C254" s="12"/>
      <c r="D254" s="12"/>
      <c r="E254" s="12"/>
      <c r="F254" s="25"/>
    </row>
    <row r="255" spans="2:6" ht="15.75">
      <c r="B255" s="12"/>
      <c r="C255" s="12"/>
      <c r="D255" s="12"/>
      <c r="E255" s="12"/>
      <c r="F255" s="25"/>
    </row>
    <row r="256" spans="2:6" ht="15.75">
      <c r="B256" s="12"/>
      <c r="C256" s="12"/>
      <c r="D256" s="12"/>
      <c r="E256" s="12"/>
      <c r="F256" s="25"/>
    </row>
    <row r="257" spans="2:6" ht="15.75">
      <c r="B257" s="12"/>
      <c r="C257" s="12"/>
      <c r="D257" s="12"/>
      <c r="E257" s="12"/>
      <c r="F257" s="25"/>
    </row>
    <row r="258" spans="2:6" ht="15.75">
      <c r="B258" s="12"/>
      <c r="C258" s="12"/>
      <c r="D258" s="12"/>
      <c r="E258" s="12"/>
      <c r="F258" s="25"/>
    </row>
    <row r="259" spans="2:6" ht="15.75">
      <c r="B259" s="12"/>
      <c r="C259" s="12"/>
      <c r="D259" s="12"/>
      <c r="E259" s="12"/>
      <c r="F259" s="25"/>
    </row>
    <row r="260" spans="2:6" ht="15.75">
      <c r="B260" s="12"/>
      <c r="C260" s="12"/>
      <c r="D260" s="12"/>
      <c r="E260" s="12"/>
      <c r="F260" s="25"/>
    </row>
  </sheetData>
  <sheetProtection selectLockedCells="1" selectUnlockedCells="1"/>
  <mergeCells count="2">
    <mergeCell ref="D5:F5"/>
    <mergeCell ref="D66:F66"/>
  </mergeCells>
  <printOptions horizontalCentered="1"/>
  <pageMargins left="0.6" right="0.39375" top="0.5902777777777778" bottom="0.5118055555555555" header="0.5118055555555555" footer="0.31527777777777777"/>
  <pageSetup horizontalDpi="300" verticalDpi="300" orientation="portrait" paperSize="9" scale="64" r:id="rId1"/>
  <headerFooter alignWithMargins="0">
    <oddFooter>&amp;R&amp;P</oddFooter>
  </headerFooter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="75" zoomScaleSheetLayoutView="75" workbookViewId="0" topLeftCell="A1">
      <selection activeCell="G143" sqref="G143"/>
    </sheetView>
  </sheetViews>
  <sheetFormatPr defaultColWidth="9.140625" defaultRowHeight="15"/>
  <cols>
    <col min="1" max="1" width="10.7109375" style="28" customWidth="1"/>
    <col min="2" max="2" width="73.00390625" style="28" customWidth="1"/>
    <col min="3" max="3" width="9.8515625" style="28" customWidth="1"/>
    <col min="4" max="5" width="10.8515625" style="28" customWidth="1"/>
    <col min="6" max="6" width="11.28125" style="29" customWidth="1"/>
    <col min="7" max="16384" width="9.140625" style="28" customWidth="1"/>
  </cols>
  <sheetData>
    <row r="1" s="12" customFormat="1" ht="15.75">
      <c r="F1" s="30" t="s">
        <v>682</v>
      </c>
    </row>
    <row r="2" spans="2:6" s="12" customFormat="1" ht="20.25">
      <c r="B2" s="243" t="s">
        <v>86</v>
      </c>
      <c r="F2" s="14" t="s">
        <v>88</v>
      </c>
    </row>
    <row r="3" spans="2:6" s="12" customFormat="1" ht="15.75">
      <c r="B3" s="38" t="s">
        <v>664</v>
      </c>
      <c r="C3" s="34"/>
      <c r="D3" s="34"/>
      <c r="E3" s="34"/>
      <c r="F3" s="35"/>
    </row>
    <row r="4" spans="2:6" s="12" customFormat="1" ht="15.75">
      <c r="B4" s="36" t="s">
        <v>118</v>
      </c>
      <c r="C4" s="37"/>
      <c r="D4" s="37"/>
      <c r="E4" s="37"/>
      <c r="F4" s="38"/>
    </row>
    <row r="5" spans="2:6" ht="15.75" customHeight="1">
      <c r="B5" s="39"/>
      <c r="D5" s="404" t="s">
        <v>91</v>
      </c>
      <c r="E5" s="404"/>
      <c r="F5" s="404"/>
    </row>
    <row r="6" spans="2:6" ht="47.25">
      <c r="B6" s="17" t="s">
        <v>92</v>
      </c>
      <c r="C6" s="40" t="s">
        <v>119</v>
      </c>
      <c r="D6" s="41" t="s">
        <v>93</v>
      </c>
      <c r="E6" s="41" t="s">
        <v>94</v>
      </c>
      <c r="F6" s="169" t="s">
        <v>601</v>
      </c>
    </row>
    <row r="7" spans="2:6" ht="15.75">
      <c r="B7" s="43" t="s">
        <v>120</v>
      </c>
      <c r="C7" s="44" t="s">
        <v>121</v>
      </c>
      <c r="D7" s="22">
        <v>16768</v>
      </c>
      <c r="E7" s="22"/>
      <c r="F7" s="23">
        <f>+D7+E7</f>
        <v>16768</v>
      </c>
    </row>
    <row r="8" spans="2:6" ht="15.75">
      <c r="B8" s="46" t="s">
        <v>122</v>
      </c>
      <c r="C8" s="44" t="s">
        <v>123</v>
      </c>
      <c r="D8" s="22"/>
      <c r="E8" s="22"/>
      <c r="F8" s="23">
        <f>+D8+E8</f>
        <v>0</v>
      </c>
    </row>
    <row r="9" spans="2:6" ht="15.75">
      <c r="B9" s="47" t="s">
        <v>124</v>
      </c>
      <c r="C9" s="48" t="s">
        <v>125</v>
      </c>
      <c r="D9" s="23">
        <f>SUM(D7:D8)</f>
        <v>16768</v>
      </c>
      <c r="E9" s="23">
        <f>SUM(E7:E8)</f>
        <v>0</v>
      </c>
      <c r="F9" s="23">
        <f>SUM(F7:F8)</f>
        <v>16768</v>
      </c>
    </row>
    <row r="10" spans="2:6" ht="15.75">
      <c r="B10" s="49" t="s">
        <v>126</v>
      </c>
      <c r="C10" s="48" t="s">
        <v>127</v>
      </c>
      <c r="D10" s="22">
        <v>4030</v>
      </c>
      <c r="E10" s="22"/>
      <c r="F10" s="23">
        <f aca="true" t="shared" si="0" ref="F10:F15">+D10+E10</f>
        <v>4030</v>
      </c>
    </row>
    <row r="11" spans="2:6" ht="15.75">
      <c r="B11" s="46" t="s">
        <v>128</v>
      </c>
      <c r="C11" s="44" t="s">
        <v>129</v>
      </c>
      <c r="D11" s="22">
        <v>2060</v>
      </c>
      <c r="E11" s="22"/>
      <c r="F11" s="23">
        <f t="shared" si="0"/>
        <v>2060</v>
      </c>
    </row>
    <row r="12" spans="2:6" ht="15.75">
      <c r="B12" s="46" t="s">
        <v>130</v>
      </c>
      <c r="C12" s="44" t="s">
        <v>131</v>
      </c>
      <c r="D12" s="22">
        <v>360</v>
      </c>
      <c r="E12" s="22"/>
      <c r="F12" s="23">
        <f t="shared" si="0"/>
        <v>360</v>
      </c>
    </row>
    <row r="13" spans="2:6" ht="15.75">
      <c r="B13" s="46" t="s">
        <v>132</v>
      </c>
      <c r="C13" s="44" t="s">
        <v>133</v>
      </c>
      <c r="D13" s="22">
        <v>4040</v>
      </c>
      <c r="E13" s="22"/>
      <c r="F13" s="23">
        <f t="shared" si="0"/>
        <v>4040</v>
      </c>
    </row>
    <row r="14" spans="2:6" ht="15.75">
      <c r="B14" s="46" t="s">
        <v>134</v>
      </c>
      <c r="C14" s="44" t="s">
        <v>135</v>
      </c>
      <c r="D14" s="22">
        <v>290</v>
      </c>
      <c r="E14" s="22"/>
      <c r="F14" s="23">
        <f t="shared" si="0"/>
        <v>290</v>
      </c>
    </row>
    <row r="15" spans="2:6" ht="15.75">
      <c r="B15" s="46" t="s">
        <v>136</v>
      </c>
      <c r="C15" s="44" t="s">
        <v>137</v>
      </c>
      <c r="D15" s="22">
        <v>4226</v>
      </c>
      <c r="E15" s="22"/>
      <c r="F15" s="23">
        <f t="shared" si="0"/>
        <v>4226</v>
      </c>
    </row>
    <row r="16" spans="2:6" ht="15.75">
      <c r="B16" s="49" t="s">
        <v>138</v>
      </c>
      <c r="C16" s="48" t="s">
        <v>139</v>
      </c>
      <c r="D16" s="23">
        <f>SUM(D11:D15)</f>
        <v>10976</v>
      </c>
      <c r="E16" s="23">
        <f>SUM(E11:E15)</f>
        <v>0</v>
      </c>
      <c r="F16" s="23">
        <f>SUM(F11:F15)</f>
        <v>10976</v>
      </c>
    </row>
    <row r="17" spans="2:6" ht="15.75">
      <c r="B17" s="50" t="s">
        <v>140</v>
      </c>
      <c r="C17" s="48" t="s">
        <v>141</v>
      </c>
      <c r="D17" s="22"/>
      <c r="E17" s="22"/>
      <c r="F17" s="23">
        <f aca="true" t="shared" si="1" ref="F17:F31">+D17+E17</f>
        <v>0</v>
      </c>
    </row>
    <row r="18" spans="2:6" ht="15.75">
      <c r="B18" s="51" t="s">
        <v>142</v>
      </c>
      <c r="C18" s="44" t="s">
        <v>143</v>
      </c>
      <c r="D18" s="22"/>
      <c r="E18" s="22"/>
      <c r="F18" s="23">
        <f t="shared" si="1"/>
        <v>0</v>
      </c>
    </row>
    <row r="19" spans="2:6" ht="15.75">
      <c r="B19" s="51" t="s">
        <v>144</v>
      </c>
      <c r="C19" s="44" t="s">
        <v>145</v>
      </c>
      <c r="D19" s="22"/>
      <c r="E19" s="22"/>
      <c r="F19" s="23">
        <f t="shared" si="1"/>
        <v>0</v>
      </c>
    </row>
    <row r="20" spans="2:6" ht="15.75">
      <c r="B20" s="51" t="s">
        <v>146</v>
      </c>
      <c r="C20" s="44" t="s">
        <v>147</v>
      </c>
      <c r="D20" s="22"/>
      <c r="E20" s="22"/>
      <c r="F20" s="23">
        <f t="shared" si="1"/>
        <v>0</v>
      </c>
    </row>
    <row r="21" spans="2:6" ht="15.75">
      <c r="B21" s="51" t="s">
        <v>148</v>
      </c>
      <c r="C21" s="44" t="s">
        <v>149</v>
      </c>
      <c r="D21" s="22"/>
      <c r="E21" s="22"/>
      <c r="F21" s="23">
        <f t="shared" si="1"/>
        <v>0</v>
      </c>
    </row>
    <row r="22" spans="2:6" ht="15.75">
      <c r="B22" s="51" t="s">
        <v>150</v>
      </c>
      <c r="C22" s="44" t="s">
        <v>151</v>
      </c>
      <c r="D22" s="22"/>
      <c r="E22" s="22"/>
      <c r="F22" s="23">
        <f t="shared" si="1"/>
        <v>0</v>
      </c>
    </row>
    <row r="23" spans="2:6" ht="15.75">
      <c r="B23" s="51" t="s">
        <v>152</v>
      </c>
      <c r="C23" s="44" t="s">
        <v>153</v>
      </c>
      <c r="D23" s="22"/>
      <c r="E23" s="22"/>
      <c r="F23" s="23">
        <f t="shared" si="1"/>
        <v>0</v>
      </c>
    </row>
    <row r="24" spans="2:6" ht="15.75">
      <c r="B24" s="51" t="s">
        <v>154</v>
      </c>
      <c r="C24" s="44" t="s">
        <v>155</v>
      </c>
      <c r="D24" s="22"/>
      <c r="E24" s="22"/>
      <c r="F24" s="23">
        <f t="shared" si="1"/>
        <v>0</v>
      </c>
    </row>
    <row r="25" spans="2:6" ht="15.75">
      <c r="B25" s="51" t="s">
        <v>156</v>
      </c>
      <c r="C25" s="44" t="s">
        <v>157</v>
      </c>
      <c r="D25" s="22"/>
      <c r="E25" s="22"/>
      <c r="F25" s="23">
        <f t="shared" si="1"/>
        <v>0</v>
      </c>
    </row>
    <row r="26" spans="2:6" ht="15.75">
      <c r="B26" s="51" t="s">
        <v>158</v>
      </c>
      <c r="C26" s="44" t="s">
        <v>159</v>
      </c>
      <c r="D26" s="22"/>
      <c r="E26" s="22"/>
      <c r="F26" s="23">
        <f t="shared" si="1"/>
        <v>0</v>
      </c>
    </row>
    <row r="27" spans="2:6" ht="15.75">
      <c r="B27" s="52" t="s">
        <v>160</v>
      </c>
      <c r="C27" s="44" t="s">
        <v>161</v>
      </c>
      <c r="D27" s="22"/>
      <c r="E27" s="22"/>
      <c r="F27" s="23">
        <f t="shared" si="1"/>
        <v>0</v>
      </c>
    </row>
    <row r="28" spans="2:6" ht="15.75">
      <c r="B28" s="52" t="s">
        <v>665</v>
      </c>
      <c r="C28" s="44" t="s">
        <v>163</v>
      </c>
      <c r="D28" s="22"/>
      <c r="E28" s="22"/>
      <c r="F28" s="23">
        <f t="shared" si="1"/>
        <v>0</v>
      </c>
    </row>
    <row r="29" spans="2:6" ht="15.75">
      <c r="B29" s="51" t="s">
        <v>164</v>
      </c>
      <c r="C29" s="44" t="s">
        <v>165</v>
      </c>
      <c r="D29" s="22"/>
      <c r="E29" s="22"/>
      <c r="F29" s="23">
        <f t="shared" si="1"/>
        <v>0</v>
      </c>
    </row>
    <row r="30" spans="2:6" ht="15.75">
      <c r="B30" s="52" t="s">
        <v>166</v>
      </c>
      <c r="C30" s="44" t="s">
        <v>167</v>
      </c>
      <c r="D30" s="22"/>
      <c r="E30" s="22"/>
      <c r="F30" s="23">
        <f t="shared" si="1"/>
        <v>0</v>
      </c>
    </row>
    <row r="31" spans="2:6" ht="15.75">
      <c r="B31" s="52" t="s">
        <v>168</v>
      </c>
      <c r="C31" s="44" t="s">
        <v>167</v>
      </c>
      <c r="D31" s="22"/>
      <c r="E31" s="22"/>
      <c r="F31" s="23">
        <f t="shared" si="1"/>
        <v>0</v>
      </c>
    </row>
    <row r="32" spans="2:6" s="29" customFormat="1" ht="15.75">
      <c r="B32" s="50" t="s">
        <v>169</v>
      </c>
      <c r="C32" s="48" t="s">
        <v>170</v>
      </c>
      <c r="D32" s="23">
        <f>SUM(D18:D31)</f>
        <v>0</v>
      </c>
      <c r="E32" s="23">
        <f>SUM(E18:E31)</f>
        <v>0</v>
      </c>
      <c r="F32" s="23">
        <f>SUM(F18:F31)</f>
        <v>0</v>
      </c>
    </row>
    <row r="33" spans="2:6" ht="15.75">
      <c r="B33" s="53" t="s">
        <v>171</v>
      </c>
      <c r="C33" s="54" t="s">
        <v>172</v>
      </c>
      <c r="D33" s="55">
        <f>+D32+D17+D16+D10+D9</f>
        <v>31774</v>
      </c>
      <c r="E33" s="55">
        <f>+E32+E17+E16+E10+E9</f>
        <v>0</v>
      </c>
      <c r="F33" s="55">
        <f>+F32+F17+F16+F10+F9</f>
        <v>31774</v>
      </c>
    </row>
    <row r="34" spans="2:6" ht="15.75">
      <c r="B34" s="56" t="s">
        <v>173</v>
      </c>
      <c r="C34" s="44" t="s">
        <v>174</v>
      </c>
      <c r="D34" s="22"/>
      <c r="E34" s="22"/>
      <c r="F34" s="23">
        <f aca="true" t="shared" si="2" ref="F34:F40">+D34+E34</f>
        <v>0</v>
      </c>
    </row>
    <row r="35" spans="2:6" ht="15.75">
      <c r="B35" s="56" t="s">
        <v>175</v>
      </c>
      <c r="C35" s="44" t="s">
        <v>176</v>
      </c>
      <c r="D35" s="22"/>
      <c r="E35" s="22"/>
      <c r="F35" s="23">
        <f t="shared" si="2"/>
        <v>0</v>
      </c>
    </row>
    <row r="36" spans="2:6" ht="15.75">
      <c r="B36" s="56" t="s">
        <v>177</v>
      </c>
      <c r="C36" s="44" t="s">
        <v>178</v>
      </c>
      <c r="D36" s="22"/>
      <c r="E36" s="22"/>
      <c r="F36" s="23">
        <f t="shared" si="2"/>
        <v>0</v>
      </c>
    </row>
    <row r="37" spans="2:6" ht="15.75">
      <c r="B37" s="56" t="s">
        <v>179</v>
      </c>
      <c r="C37" s="44" t="s">
        <v>180</v>
      </c>
      <c r="D37" s="22"/>
      <c r="E37" s="22"/>
      <c r="F37" s="23">
        <f t="shared" si="2"/>
        <v>0</v>
      </c>
    </row>
    <row r="38" spans="2:6" ht="15.75">
      <c r="B38" s="57" t="s">
        <v>181</v>
      </c>
      <c r="C38" s="44" t="s">
        <v>182</v>
      </c>
      <c r="D38" s="22"/>
      <c r="E38" s="22"/>
      <c r="F38" s="23">
        <f t="shared" si="2"/>
        <v>0</v>
      </c>
    </row>
    <row r="39" spans="2:6" ht="15.75">
      <c r="B39" s="57" t="s">
        <v>183</v>
      </c>
      <c r="C39" s="44" t="s">
        <v>184</v>
      </c>
      <c r="D39" s="22"/>
      <c r="E39" s="22"/>
      <c r="F39" s="23">
        <f t="shared" si="2"/>
        <v>0</v>
      </c>
    </row>
    <row r="40" spans="2:6" ht="15.75">
      <c r="B40" s="57" t="s">
        <v>185</v>
      </c>
      <c r="C40" s="44" t="s">
        <v>186</v>
      </c>
      <c r="D40" s="22"/>
      <c r="E40" s="22"/>
      <c r="F40" s="23">
        <f t="shared" si="2"/>
        <v>0</v>
      </c>
    </row>
    <row r="41" spans="2:6" s="29" customFormat="1" ht="15.75">
      <c r="B41" s="58" t="s">
        <v>187</v>
      </c>
      <c r="C41" s="48" t="s">
        <v>188</v>
      </c>
      <c r="D41" s="23">
        <f>SUM(D34:D40)</f>
        <v>0</v>
      </c>
      <c r="E41" s="23">
        <f>SUM(E34:E40)</f>
        <v>0</v>
      </c>
      <c r="F41" s="23">
        <f>SUM(F34:F40)</f>
        <v>0</v>
      </c>
    </row>
    <row r="42" spans="2:6" ht="15.75">
      <c r="B42" s="59" t="s">
        <v>189</v>
      </c>
      <c r="C42" s="44" t="s">
        <v>190</v>
      </c>
      <c r="D42" s="22"/>
      <c r="E42" s="22"/>
      <c r="F42" s="23">
        <f>+D42+E42</f>
        <v>0</v>
      </c>
    </row>
    <row r="43" spans="2:6" ht="15.75">
      <c r="B43" s="59" t="s">
        <v>191</v>
      </c>
      <c r="C43" s="44" t="s">
        <v>192</v>
      </c>
      <c r="D43" s="22"/>
      <c r="E43" s="22"/>
      <c r="F43" s="23">
        <f>+D43+E43</f>
        <v>0</v>
      </c>
    </row>
    <row r="44" spans="2:6" ht="15.75">
      <c r="B44" s="59" t="s">
        <v>193</v>
      </c>
      <c r="C44" s="44" t="s">
        <v>194</v>
      </c>
      <c r="D44" s="22"/>
      <c r="E44" s="22"/>
      <c r="F44" s="23">
        <f>+D44+E44</f>
        <v>0</v>
      </c>
    </row>
    <row r="45" spans="2:6" ht="15.75">
      <c r="B45" s="59" t="s">
        <v>195</v>
      </c>
      <c r="C45" s="44" t="s">
        <v>196</v>
      </c>
      <c r="D45" s="22"/>
      <c r="E45" s="22"/>
      <c r="F45" s="23">
        <f>+D45+E45</f>
        <v>0</v>
      </c>
    </row>
    <row r="46" spans="2:6" s="29" customFormat="1" ht="15.75">
      <c r="B46" s="49" t="s">
        <v>197</v>
      </c>
      <c r="C46" s="48" t="s">
        <v>198</v>
      </c>
      <c r="D46" s="23">
        <f>SUM(D42:D45)</f>
        <v>0</v>
      </c>
      <c r="E46" s="23">
        <f>SUM(E42:E45)</f>
        <v>0</v>
      </c>
      <c r="F46" s="23">
        <f>SUM(F42:F45)</f>
        <v>0</v>
      </c>
    </row>
    <row r="47" spans="2:6" ht="15" customHeight="1">
      <c r="B47" s="59" t="s">
        <v>199</v>
      </c>
      <c r="C47" s="44" t="s">
        <v>200</v>
      </c>
      <c r="D47" s="22"/>
      <c r="E47" s="22"/>
      <c r="F47" s="23">
        <f aca="true" t="shared" si="3" ref="F47:F55">+D47+E47</f>
        <v>0</v>
      </c>
    </row>
    <row r="48" spans="2:6" ht="15" customHeight="1">
      <c r="B48" s="59" t="s">
        <v>201</v>
      </c>
      <c r="C48" s="44" t="s">
        <v>202</v>
      </c>
      <c r="D48" s="22"/>
      <c r="E48" s="22"/>
      <c r="F48" s="23">
        <f t="shared" si="3"/>
        <v>0</v>
      </c>
    </row>
    <row r="49" spans="2:6" ht="15" customHeight="1">
      <c r="B49" s="59" t="s">
        <v>203</v>
      </c>
      <c r="C49" s="44" t="s">
        <v>204</v>
      </c>
      <c r="D49" s="22"/>
      <c r="E49" s="22"/>
      <c r="F49" s="23">
        <f t="shared" si="3"/>
        <v>0</v>
      </c>
    </row>
    <row r="50" spans="2:6" ht="15" customHeight="1">
      <c r="B50" s="59" t="s">
        <v>205</v>
      </c>
      <c r="C50" s="44" t="s">
        <v>206</v>
      </c>
      <c r="D50" s="22"/>
      <c r="E50" s="22"/>
      <c r="F50" s="23">
        <f t="shared" si="3"/>
        <v>0</v>
      </c>
    </row>
    <row r="51" spans="2:6" ht="15" customHeight="1">
      <c r="B51" s="59" t="s">
        <v>207</v>
      </c>
      <c r="C51" s="44" t="s">
        <v>208</v>
      </c>
      <c r="D51" s="22"/>
      <c r="E51" s="22"/>
      <c r="F51" s="23">
        <f t="shared" si="3"/>
        <v>0</v>
      </c>
    </row>
    <row r="52" spans="2:6" ht="15" customHeight="1">
      <c r="B52" s="59" t="s">
        <v>209</v>
      </c>
      <c r="C52" s="44" t="s">
        <v>210</v>
      </c>
      <c r="D52" s="22"/>
      <c r="E52" s="22"/>
      <c r="F52" s="23">
        <f t="shared" si="3"/>
        <v>0</v>
      </c>
    </row>
    <row r="53" spans="2:6" ht="15" customHeight="1">
      <c r="B53" s="59" t="s">
        <v>211</v>
      </c>
      <c r="C53" s="44" t="s">
        <v>212</v>
      </c>
      <c r="D53" s="22"/>
      <c r="E53" s="22"/>
      <c r="F53" s="23">
        <f t="shared" si="3"/>
        <v>0</v>
      </c>
    </row>
    <row r="54" spans="2:6" ht="15" customHeight="1">
      <c r="B54" s="52" t="s">
        <v>666</v>
      </c>
      <c r="C54" s="44" t="s">
        <v>214</v>
      </c>
      <c r="D54" s="22"/>
      <c r="E54" s="22"/>
      <c r="F54" s="23">
        <f t="shared" si="3"/>
        <v>0</v>
      </c>
    </row>
    <row r="55" spans="2:6" ht="15.75">
      <c r="B55" s="59" t="s">
        <v>215</v>
      </c>
      <c r="C55" s="44" t="s">
        <v>216</v>
      </c>
      <c r="D55" s="22"/>
      <c r="E55" s="22"/>
      <c r="F55" s="23">
        <f t="shared" si="3"/>
        <v>0</v>
      </c>
    </row>
    <row r="56" spans="2:6" s="29" customFormat="1" ht="15.75">
      <c r="B56" s="50" t="s">
        <v>217</v>
      </c>
      <c r="C56" s="48" t="s">
        <v>218</v>
      </c>
      <c r="D56" s="23">
        <f>SUM(D47:D55)</f>
        <v>0</v>
      </c>
      <c r="E56" s="23">
        <f>SUM(E47:E55)</f>
        <v>0</v>
      </c>
      <c r="F56" s="23">
        <f>SUM(F47:F55)</f>
        <v>0</v>
      </c>
    </row>
    <row r="57" spans="2:6" ht="15.75">
      <c r="B57" s="53" t="s">
        <v>219</v>
      </c>
      <c r="C57" s="54" t="s">
        <v>220</v>
      </c>
      <c r="D57" s="55">
        <f>+D56+D46+D41</f>
        <v>0</v>
      </c>
      <c r="E57" s="55">
        <f>+E56+E46+E41</f>
        <v>0</v>
      </c>
      <c r="F57" s="55">
        <f>+F56+F46+F41</f>
        <v>0</v>
      </c>
    </row>
    <row r="58" spans="2:6" ht="15.75">
      <c r="B58" s="60" t="s">
        <v>221</v>
      </c>
      <c r="C58" s="61" t="s">
        <v>222</v>
      </c>
      <c r="D58" s="62">
        <f>+D56+D46+D41+D32+D17+D16+D10+D9</f>
        <v>31774</v>
      </c>
      <c r="E58" s="62">
        <f>+E56+E46+E41+E32+E17+E16+E10+E9</f>
        <v>0</v>
      </c>
      <c r="F58" s="62">
        <f>+F56+F46+F41+F32+F17+F16+F10+F9</f>
        <v>31774</v>
      </c>
    </row>
    <row r="59" spans="2:22" ht="15.75">
      <c r="B59" s="67" t="s">
        <v>654</v>
      </c>
      <c r="C59" s="46" t="s">
        <v>248</v>
      </c>
      <c r="D59" s="244"/>
      <c r="E59" s="244"/>
      <c r="F59" s="22">
        <f>+D59+E59</f>
        <v>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/>
      <c r="V59" s="64"/>
    </row>
    <row r="60" spans="2:22" ht="15.75">
      <c r="B60" s="67" t="s">
        <v>249</v>
      </c>
      <c r="C60" s="46" t="s">
        <v>250</v>
      </c>
      <c r="D60" s="244"/>
      <c r="E60" s="244"/>
      <c r="F60" s="22">
        <f>+D60+E60</f>
        <v>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/>
      <c r="V60" s="64"/>
    </row>
    <row r="61" spans="2:22" ht="15.75">
      <c r="B61" s="59" t="s">
        <v>251</v>
      </c>
      <c r="C61" s="46" t="s">
        <v>252</v>
      </c>
      <c r="D61" s="244"/>
      <c r="E61" s="244"/>
      <c r="F61" s="22">
        <f>+D61+E61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4"/>
    </row>
    <row r="62" spans="2:22" ht="15.75">
      <c r="B62" s="59" t="s">
        <v>253</v>
      </c>
      <c r="C62" s="46" t="s">
        <v>254</v>
      </c>
      <c r="D62" s="244"/>
      <c r="E62" s="244"/>
      <c r="F62" s="22">
        <f>+D62+E62</f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4"/>
    </row>
    <row r="63" spans="2:22" ht="15.75">
      <c r="B63" s="72" t="s">
        <v>255</v>
      </c>
      <c r="C63" s="73" t="s">
        <v>256</v>
      </c>
      <c r="D63" s="74">
        <f>+D61+D60+D59+D62</f>
        <v>0</v>
      </c>
      <c r="E63" s="74">
        <f>+E61+E60+E59+E62</f>
        <v>0</v>
      </c>
      <c r="F63" s="74">
        <f>+F61+F60+F59+F62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4"/>
      <c r="V63" s="64"/>
    </row>
    <row r="64" spans="2:22" ht="15.75">
      <c r="B64" s="26" t="s">
        <v>257</v>
      </c>
      <c r="C64" s="26" t="s">
        <v>258</v>
      </c>
      <c r="D64" s="27">
        <f>+D58+D63</f>
        <v>31774</v>
      </c>
      <c r="E64" s="27">
        <f>+E58+E63</f>
        <v>0</v>
      </c>
      <c r="F64" s="27">
        <f>+F58+F63</f>
        <v>31774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.75">
      <c r="B65" s="12"/>
      <c r="C65" s="75"/>
      <c r="D65" s="76"/>
      <c r="E65" s="76"/>
      <c r="F65" s="7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.75" customHeight="1" hidden="1">
      <c r="B66" s="12"/>
      <c r="C66" s="75"/>
      <c r="D66" s="404" t="s">
        <v>259</v>
      </c>
      <c r="E66" s="404"/>
      <c r="F66" s="40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47.25">
      <c r="B67" s="17" t="s">
        <v>92</v>
      </c>
      <c r="C67" s="40" t="s">
        <v>260</v>
      </c>
      <c r="D67" s="41" t="s">
        <v>93</v>
      </c>
      <c r="E67" s="41" t="s">
        <v>94</v>
      </c>
      <c r="F67" s="169" t="s">
        <v>601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.75">
      <c r="B68" s="49" t="s">
        <v>655</v>
      </c>
      <c r="C68" s="58" t="s">
        <v>274</v>
      </c>
      <c r="D68" s="23"/>
      <c r="E68" s="23"/>
      <c r="F68" s="23">
        <f aca="true" t="shared" si="4" ref="F68:F73">+E68+D68</f>
        <v>0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.75">
      <c r="B69" s="46" t="s">
        <v>275</v>
      </c>
      <c r="C69" s="57" t="s">
        <v>276</v>
      </c>
      <c r="D69" s="23"/>
      <c r="E69" s="23"/>
      <c r="F69" s="23">
        <f t="shared" si="4"/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5.75">
      <c r="B70" s="46" t="s">
        <v>277</v>
      </c>
      <c r="C70" s="57" t="s">
        <v>278</v>
      </c>
      <c r="D70" s="23"/>
      <c r="E70" s="23"/>
      <c r="F70" s="23">
        <f t="shared" si="4"/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31.5">
      <c r="B71" s="46" t="s">
        <v>279</v>
      </c>
      <c r="C71" s="57" t="s">
        <v>280</v>
      </c>
      <c r="D71" s="23"/>
      <c r="E71" s="23"/>
      <c r="F71" s="23">
        <f t="shared" si="4"/>
        <v>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31.5">
      <c r="B72" s="46" t="s">
        <v>281</v>
      </c>
      <c r="C72" s="57" t="s">
        <v>282</v>
      </c>
      <c r="D72" s="23"/>
      <c r="E72" s="23"/>
      <c r="F72" s="23">
        <f t="shared" si="4"/>
        <v>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.75">
      <c r="B73" s="46" t="s">
        <v>283</v>
      </c>
      <c r="C73" s="57" t="s">
        <v>284</v>
      </c>
      <c r="D73" s="22">
        <v>3100</v>
      </c>
      <c r="E73" s="22"/>
      <c r="F73" s="23">
        <f t="shared" si="4"/>
        <v>3100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.75">
      <c r="B74" s="49" t="s">
        <v>285</v>
      </c>
      <c r="C74" s="58" t="s">
        <v>286</v>
      </c>
      <c r="D74" s="23">
        <f>+D73+D72+D71+D70+D69+D68</f>
        <v>3100</v>
      </c>
      <c r="E74" s="23">
        <f>+E73+E72+E71+E70+E69+E68</f>
        <v>0</v>
      </c>
      <c r="F74" s="23">
        <f>+F73+F72+F71+F70+F69+F68</f>
        <v>3100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.75">
      <c r="B75" s="49" t="s">
        <v>287</v>
      </c>
      <c r="C75" s="58" t="s">
        <v>288</v>
      </c>
      <c r="D75" s="22"/>
      <c r="E75" s="22"/>
      <c r="F75" s="23">
        <f aca="true" t="shared" si="5" ref="F75:F81">+E75+D75</f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.75" hidden="1">
      <c r="B76" s="46" t="s">
        <v>289</v>
      </c>
      <c r="C76" s="57" t="s">
        <v>290</v>
      </c>
      <c r="D76" s="22"/>
      <c r="E76" s="22"/>
      <c r="F76" s="23">
        <f t="shared" si="5"/>
        <v>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.75" hidden="1">
      <c r="B77" s="46" t="s">
        <v>291</v>
      </c>
      <c r="C77" s="57" t="s">
        <v>292</v>
      </c>
      <c r="D77" s="22"/>
      <c r="E77" s="22"/>
      <c r="F77" s="23">
        <f t="shared" si="5"/>
        <v>0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.75" hidden="1">
      <c r="B78" s="46" t="s">
        <v>293</v>
      </c>
      <c r="C78" s="57" t="s">
        <v>294</v>
      </c>
      <c r="D78" s="22"/>
      <c r="E78" s="22"/>
      <c r="F78" s="23">
        <f t="shared" si="5"/>
        <v>0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.75" hidden="1">
      <c r="B79" s="46" t="s">
        <v>295</v>
      </c>
      <c r="C79" s="57" t="s">
        <v>296</v>
      </c>
      <c r="D79" s="22"/>
      <c r="E79" s="22"/>
      <c r="F79" s="23">
        <f t="shared" si="5"/>
        <v>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.75" hidden="1">
      <c r="B80" s="46" t="s">
        <v>297</v>
      </c>
      <c r="C80" s="57" t="s">
        <v>298</v>
      </c>
      <c r="D80" s="22"/>
      <c r="E80" s="22"/>
      <c r="F80" s="23">
        <f t="shared" si="5"/>
        <v>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.75" hidden="1">
      <c r="B81" s="46" t="s">
        <v>299</v>
      </c>
      <c r="C81" s="57" t="s">
        <v>300</v>
      </c>
      <c r="D81" s="22"/>
      <c r="E81" s="22"/>
      <c r="F81" s="23">
        <f t="shared" si="5"/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.75">
      <c r="B82" s="49" t="s">
        <v>301</v>
      </c>
      <c r="C82" s="58" t="s">
        <v>302</v>
      </c>
      <c r="D82" s="23">
        <f>SUM(D76:D81)</f>
        <v>0</v>
      </c>
      <c r="E82" s="23">
        <f>SUM(E76:E81)</f>
        <v>0</v>
      </c>
      <c r="F82" s="23">
        <f>SUM(F76:F81)</f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.75">
      <c r="B83" s="59" t="s">
        <v>656</v>
      </c>
      <c r="C83" s="57" t="s">
        <v>304</v>
      </c>
      <c r="D83" s="22"/>
      <c r="E83" s="22"/>
      <c r="F83" s="23">
        <f aca="true" t="shared" si="6" ref="F83:F93">+E83+D83</f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.75">
      <c r="B84" s="59" t="s">
        <v>305</v>
      </c>
      <c r="C84" s="57" t="s">
        <v>306</v>
      </c>
      <c r="D84" s="22">
        <f>590+6293+100</f>
        <v>6983</v>
      </c>
      <c r="E84" s="22"/>
      <c r="F84" s="23">
        <f t="shared" si="6"/>
        <v>6983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.75">
      <c r="B85" s="59" t="s">
        <v>307</v>
      </c>
      <c r="C85" s="57" t="s">
        <v>308</v>
      </c>
      <c r="D85" s="22"/>
      <c r="E85" s="22"/>
      <c r="F85" s="23">
        <f t="shared" si="6"/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.75">
      <c r="B86" s="59" t="s">
        <v>309</v>
      </c>
      <c r="C86" s="57" t="s">
        <v>310</v>
      </c>
      <c r="D86" s="22"/>
      <c r="E86" s="22"/>
      <c r="F86" s="23">
        <f t="shared" si="6"/>
        <v>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.75">
      <c r="B87" s="59" t="s">
        <v>311</v>
      </c>
      <c r="C87" s="57" t="s">
        <v>312</v>
      </c>
      <c r="D87" s="22"/>
      <c r="E87" s="22"/>
      <c r="F87" s="23">
        <f t="shared" si="6"/>
        <v>0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.75">
      <c r="B88" s="59" t="s">
        <v>313</v>
      </c>
      <c r="C88" s="57" t="s">
        <v>314</v>
      </c>
      <c r="D88" s="22">
        <v>1860</v>
      </c>
      <c r="E88" s="22"/>
      <c r="F88" s="23">
        <f t="shared" si="6"/>
        <v>1860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.75">
      <c r="B89" s="59" t="s">
        <v>315</v>
      </c>
      <c r="C89" s="57" t="s">
        <v>316</v>
      </c>
      <c r="D89" s="22"/>
      <c r="E89" s="22"/>
      <c r="F89" s="23">
        <f t="shared" si="6"/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.75">
      <c r="B90" s="59" t="s">
        <v>317</v>
      </c>
      <c r="C90" s="57" t="s">
        <v>318</v>
      </c>
      <c r="D90" s="22"/>
      <c r="E90" s="22"/>
      <c r="F90" s="23">
        <f t="shared" si="6"/>
        <v>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.75">
      <c r="B91" s="59" t="s">
        <v>319</v>
      </c>
      <c r="C91" s="57" t="s">
        <v>320</v>
      </c>
      <c r="D91" s="22"/>
      <c r="E91" s="22"/>
      <c r="F91" s="23">
        <f t="shared" si="6"/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.75">
      <c r="B92" s="59" t="s">
        <v>321</v>
      </c>
      <c r="C92" s="57" t="s">
        <v>322</v>
      </c>
      <c r="D92" s="22"/>
      <c r="E92" s="22"/>
      <c r="F92" s="23">
        <f t="shared" si="6"/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.75">
      <c r="B93" s="59" t="s">
        <v>323</v>
      </c>
      <c r="C93" s="57" t="s">
        <v>324</v>
      </c>
      <c r="D93" s="22"/>
      <c r="E93" s="22"/>
      <c r="F93" s="23">
        <f t="shared" si="6"/>
        <v>0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.75">
      <c r="B94" s="50" t="s">
        <v>325</v>
      </c>
      <c r="C94" s="58" t="s">
        <v>326</v>
      </c>
      <c r="D94" s="23">
        <f>SUM(D83:D93)</f>
        <v>8843</v>
      </c>
      <c r="E94" s="23">
        <f>SUM(E83:E93)</f>
        <v>0</v>
      </c>
      <c r="F94" s="23">
        <f>SUM(F83:F93)</f>
        <v>8843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.75">
      <c r="B95" s="59" t="s">
        <v>327</v>
      </c>
      <c r="C95" s="57" t="s">
        <v>328</v>
      </c>
      <c r="D95" s="22"/>
      <c r="E95" s="22"/>
      <c r="F95" s="23">
        <f>+E95+D95</f>
        <v>0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.75">
      <c r="B96" s="59" t="s">
        <v>329</v>
      </c>
      <c r="C96" s="57" t="s">
        <v>330</v>
      </c>
      <c r="D96" s="22"/>
      <c r="E96" s="22"/>
      <c r="F96" s="23">
        <f>+E96+D96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.75">
      <c r="B97" s="59" t="s">
        <v>331</v>
      </c>
      <c r="C97" s="57" t="s">
        <v>332</v>
      </c>
      <c r="D97" s="22"/>
      <c r="E97" s="22"/>
      <c r="F97" s="23">
        <f>+E97+D97</f>
        <v>0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ht="15.75">
      <c r="B98" s="59" t="s">
        <v>333</v>
      </c>
      <c r="C98" s="57" t="s">
        <v>334</v>
      </c>
      <c r="D98" s="22"/>
      <c r="E98" s="22"/>
      <c r="F98" s="23">
        <f>+E98+D98</f>
        <v>0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ht="15.75">
      <c r="B99" s="59" t="s">
        <v>335</v>
      </c>
      <c r="C99" s="57" t="s">
        <v>336</v>
      </c>
      <c r="D99" s="22"/>
      <c r="E99" s="22"/>
      <c r="F99" s="23">
        <f>+E99+D99</f>
        <v>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ht="15.75">
      <c r="B100" s="49" t="s">
        <v>337</v>
      </c>
      <c r="C100" s="58" t="s">
        <v>338</v>
      </c>
      <c r="D100" s="23">
        <f>SUM(D95:D99)</f>
        <v>0</v>
      </c>
      <c r="E100" s="23">
        <f>SUM(E95:E99)</f>
        <v>0</v>
      </c>
      <c r="F100" s="23">
        <f>SUM(F95:F99)</f>
        <v>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ht="15.75">
      <c r="B101" s="49" t="s">
        <v>339</v>
      </c>
      <c r="C101" s="58" t="s">
        <v>340</v>
      </c>
      <c r="D101" s="22"/>
      <c r="E101" s="22"/>
      <c r="F101" s="23">
        <f>+E101+D101</f>
        <v>0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ht="31.5">
      <c r="B102" s="59" t="s">
        <v>341</v>
      </c>
      <c r="C102" s="57" t="s">
        <v>342</v>
      </c>
      <c r="D102" s="22"/>
      <c r="E102" s="22"/>
      <c r="F102" s="23">
        <f>+E102+D102</f>
        <v>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ht="15.75">
      <c r="B103" s="46" t="s">
        <v>343</v>
      </c>
      <c r="C103" s="57" t="s">
        <v>344</v>
      </c>
      <c r="D103" s="22"/>
      <c r="E103" s="22"/>
      <c r="F103" s="2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ht="31.5">
      <c r="B104" s="59" t="s">
        <v>345</v>
      </c>
      <c r="C104" s="57" t="s">
        <v>346</v>
      </c>
      <c r="D104" s="22"/>
      <c r="E104" s="22"/>
      <c r="F104" s="2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ht="15" customHeight="1">
      <c r="B105" s="59" t="s">
        <v>347</v>
      </c>
      <c r="C105" s="57" t="s">
        <v>348</v>
      </c>
      <c r="D105" s="22"/>
      <c r="E105" s="22"/>
      <c r="F105" s="23">
        <f>+E105+D105</f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ht="15.75">
      <c r="B106" s="59" t="s">
        <v>349</v>
      </c>
      <c r="C106" s="57" t="s">
        <v>350</v>
      </c>
      <c r="D106" s="22"/>
      <c r="E106" s="22"/>
      <c r="F106" s="23">
        <f>+E106+D106</f>
        <v>0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ht="15.75">
      <c r="B107" s="49" t="s">
        <v>351</v>
      </c>
      <c r="C107" s="58" t="s">
        <v>352</v>
      </c>
      <c r="D107" s="23">
        <f>SUM(D102:D106)</f>
        <v>0</v>
      </c>
      <c r="E107" s="23">
        <f>SUM(E102:E106)</f>
        <v>0</v>
      </c>
      <c r="F107" s="23">
        <f>SUM(F102:F106)</f>
        <v>0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ht="15.75">
      <c r="B108" s="80" t="s">
        <v>353</v>
      </c>
      <c r="C108" s="60" t="s">
        <v>354</v>
      </c>
      <c r="D108" s="62">
        <f>+D107+D101+D100+D94+D82+D75+D74</f>
        <v>11943</v>
      </c>
      <c r="E108" s="62">
        <f>+E107+E101+E100+E94+E82+E75+E74</f>
        <v>0</v>
      </c>
      <c r="F108" s="62">
        <f>+F107+F101+F100+F94+F82+F75+F74</f>
        <v>11943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ht="15.75">
      <c r="B109" s="81" t="s">
        <v>355</v>
      </c>
      <c r="C109" s="82"/>
      <c r="D109" s="83">
        <f>+D101+D94+D82+D74-D33</f>
        <v>-19831</v>
      </c>
      <c r="E109" s="83">
        <f>+E101+E94+E82+E74-E33</f>
        <v>0</v>
      </c>
      <c r="F109" s="83">
        <f aca="true" t="shared" si="7" ref="F109:F116">+E109+D109</f>
        <v>-19831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ht="15.75">
      <c r="B110" s="81" t="s">
        <v>356</v>
      </c>
      <c r="C110" s="82"/>
      <c r="D110" s="83">
        <f>+D107+D100+D75-D57</f>
        <v>0</v>
      </c>
      <c r="E110" s="83">
        <f>+E107+E100+E75-E57</f>
        <v>0</v>
      </c>
      <c r="F110" s="83">
        <f t="shared" si="7"/>
        <v>0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6" ht="15.75">
      <c r="B111" s="50" t="s">
        <v>657</v>
      </c>
      <c r="C111" s="49" t="s">
        <v>364</v>
      </c>
      <c r="D111" s="22"/>
      <c r="E111" s="22"/>
      <c r="F111" s="23">
        <f t="shared" si="7"/>
        <v>0</v>
      </c>
    </row>
    <row r="112" spans="2:6" ht="15.75">
      <c r="B112" s="71" t="s">
        <v>658</v>
      </c>
      <c r="C112" s="49" t="s">
        <v>374</v>
      </c>
      <c r="D112" s="22"/>
      <c r="E112" s="22"/>
      <c r="F112" s="23">
        <f t="shared" si="7"/>
        <v>0</v>
      </c>
    </row>
    <row r="113" spans="2:6" ht="15.75">
      <c r="B113" s="46" t="s">
        <v>375</v>
      </c>
      <c r="C113" s="46" t="s">
        <v>376</v>
      </c>
      <c r="D113" s="22"/>
      <c r="E113" s="22"/>
      <c r="F113" s="23">
        <f t="shared" si="7"/>
        <v>0</v>
      </c>
    </row>
    <row r="114" spans="2:6" ht="15.75">
      <c r="B114" s="46" t="s">
        <v>377</v>
      </c>
      <c r="C114" s="46" t="s">
        <v>376</v>
      </c>
      <c r="D114" s="22"/>
      <c r="E114" s="22"/>
      <c r="F114" s="23">
        <f t="shared" si="7"/>
        <v>0</v>
      </c>
    </row>
    <row r="115" spans="2:6" ht="15.75">
      <c r="B115" s="46" t="s">
        <v>378</v>
      </c>
      <c r="C115" s="46" t="s">
        <v>379</v>
      </c>
      <c r="D115" s="22"/>
      <c r="E115" s="22"/>
      <c r="F115" s="23">
        <f t="shared" si="7"/>
        <v>0</v>
      </c>
    </row>
    <row r="116" spans="2:6" ht="15.75">
      <c r="B116" s="46" t="s">
        <v>380</v>
      </c>
      <c r="C116" s="46" t="s">
        <v>379</v>
      </c>
      <c r="D116" s="22"/>
      <c r="E116" s="22"/>
      <c r="F116" s="23">
        <f t="shared" si="7"/>
        <v>0</v>
      </c>
    </row>
    <row r="117" spans="1:6" ht="15.75">
      <c r="A117" s="88" t="s">
        <v>667</v>
      </c>
      <c r="B117" s="49" t="s">
        <v>381</v>
      </c>
      <c r="C117" s="49" t="s">
        <v>382</v>
      </c>
      <c r="D117" s="23">
        <f>SUM(D113:D116)</f>
        <v>0</v>
      </c>
      <c r="E117" s="23">
        <f>SUM(E113:E116)</f>
        <v>0</v>
      </c>
      <c r="F117" s="23">
        <f>SUM(F113:F116)</f>
        <v>0</v>
      </c>
    </row>
    <row r="118" spans="1:6" ht="15.75">
      <c r="A118" s="88" t="s">
        <v>668</v>
      </c>
      <c r="B118" s="67" t="s">
        <v>383</v>
      </c>
      <c r="C118" s="46" t="s">
        <v>384</v>
      </c>
      <c r="D118" s="22"/>
      <c r="E118" s="22"/>
      <c r="F118" s="23">
        <f aca="true" t="shared" si="8" ref="F118:F125">+E118+D118</f>
        <v>0</v>
      </c>
    </row>
    <row r="119" spans="2:6" ht="15.75">
      <c r="B119" s="67" t="s">
        <v>385</v>
      </c>
      <c r="C119" s="46" t="s">
        <v>386</v>
      </c>
      <c r="D119" s="22"/>
      <c r="E119" s="22"/>
      <c r="F119" s="23">
        <f t="shared" si="8"/>
        <v>0</v>
      </c>
    </row>
    <row r="120" spans="1:6" ht="15.75">
      <c r="A120" s="28" t="s">
        <v>683</v>
      </c>
      <c r="B120" s="67" t="s">
        <v>387</v>
      </c>
      <c r="C120" s="46" t="s">
        <v>388</v>
      </c>
      <c r="D120" s="22">
        <v>19831</v>
      </c>
      <c r="E120" s="22"/>
      <c r="F120" s="23">
        <f t="shared" si="8"/>
        <v>19831</v>
      </c>
    </row>
    <row r="121" spans="2:6" s="245" customFormat="1" ht="15.75">
      <c r="B121" s="246" t="s">
        <v>670</v>
      </c>
      <c r="C121" s="147"/>
      <c r="D121" s="103">
        <v>7157</v>
      </c>
      <c r="E121" s="103"/>
      <c r="F121" s="133">
        <f t="shared" si="8"/>
        <v>7157</v>
      </c>
    </row>
    <row r="122" spans="2:6" s="245" customFormat="1" ht="15.75">
      <c r="B122" s="247" t="s">
        <v>662</v>
      </c>
      <c r="C122" s="147"/>
      <c r="D122" s="103">
        <f>+D120-D121</f>
        <v>12674</v>
      </c>
      <c r="E122" s="103">
        <f>+E120-E121</f>
        <v>0</v>
      </c>
      <c r="F122" s="133">
        <f t="shared" si="8"/>
        <v>12674</v>
      </c>
    </row>
    <row r="123" spans="2:6" ht="15.75">
      <c r="B123" s="67" t="s">
        <v>389</v>
      </c>
      <c r="C123" s="46" t="s">
        <v>390</v>
      </c>
      <c r="D123" s="22"/>
      <c r="E123" s="22"/>
      <c r="F123" s="23">
        <f t="shared" si="8"/>
        <v>0</v>
      </c>
    </row>
    <row r="124" spans="2:6" ht="15.75">
      <c r="B124" s="59" t="s">
        <v>391</v>
      </c>
      <c r="C124" s="46" t="s">
        <v>392</v>
      </c>
      <c r="D124" s="22"/>
      <c r="E124" s="22"/>
      <c r="F124" s="23">
        <f t="shared" si="8"/>
        <v>0</v>
      </c>
    </row>
    <row r="125" spans="2:6" ht="15.75">
      <c r="B125" s="59" t="s">
        <v>393</v>
      </c>
      <c r="C125" s="46" t="s">
        <v>394</v>
      </c>
      <c r="D125" s="22"/>
      <c r="E125" s="22"/>
      <c r="F125" s="23">
        <f t="shared" si="8"/>
        <v>0</v>
      </c>
    </row>
    <row r="126" spans="2:6" ht="15.75">
      <c r="B126" s="50" t="s">
        <v>395</v>
      </c>
      <c r="C126" s="49" t="s">
        <v>396</v>
      </c>
      <c r="D126" s="23">
        <f>SUM(D118:D125)+D117+D112+D111-D121-D122</f>
        <v>19831</v>
      </c>
      <c r="E126" s="23">
        <f>SUM(E118:E125)+E117+E112+E111-E121-E122</f>
        <v>0</v>
      </c>
      <c r="F126" s="23">
        <f>SUM(F118:F124)+F117+F112+F111-F121-F122</f>
        <v>19831</v>
      </c>
    </row>
    <row r="127" spans="2:6" ht="15.75" hidden="1">
      <c r="B127" s="67" t="s">
        <v>397</v>
      </c>
      <c r="C127" s="46" t="s">
        <v>398</v>
      </c>
      <c r="D127" s="22"/>
      <c r="E127" s="22"/>
      <c r="F127" s="23">
        <f>+E127+D127</f>
        <v>0</v>
      </c>
    </row>
    <row r="128" spans="2:6" ht="15.75" hidden="1">
      <c r="B128" s="59" t="s">
        <v>399</v>
      </c>
      <c r="C128" s="46" t="s">
        <v>400</v>
      </c>
      <c r="D128" s="22"/>
      <c r="E128" s="22"/>
      <c r="F128" s="23">
        <f>+E128+D128</f>
        <v>0</v>
      </c>
    </row>
    <row r="129" spans="2:6" ht="15.75" hidden="1">
      <c r="B129" s="59" t="s">
        <v>401</v>
      </c>
      <c r="C129" s="46" t="s">
        <v>402</v>
      </c>
      <c r="D129" s="22"/>
      <c r="E129" s="22"/>
      <c r="F129" s="23">
        <f>+E129+D129</f>
        <v>0</v>
      </c>
    </row>
    <row r="130" spans="2:6" ht="15.75">
      <c r="B130" s="72" t="s">
        <v>403</v>
      </c>
      <c r="C130" s="73" t="s">
        <v>404</v>
      </c>
      <c r="D130" s="62">
        <f>+D128+D127+D126+D129</f>
        <v>19831</v>
      </c>
      <c r="E130" s="62">
        <f>+E128+E127+E126+E129</f>
        <v>0</v>
      </c>
      <c r="F130" s="62">
        <f>+F129+F127+F126</f>
        <v>19831</v>
      </c>
    </row>
    <row r="131" spans="2:6" ht="15.75">
      <c r="B131" s="26" t="s">
        <v>405</v>
      </c>
      <c r="C131" s="26" t="s">
        <v>406</v>
      </c>
      <c r="D131" s="27">
        <f>+D108+D130</f>
        <v>31774</v>
      </c>
      <c r="E131" s="27">
        <f>+E108+E130</f>
        <v>0</v>
      </c>
      <c r="F131" s="27">
        <f>+F108+F130</f>
        <v>31774</v>
      </c>
    </row>
    <row r="132" spans="2:6" ht="15.75">
      <c r="B132" s="12"/>
      <c r="C132" s="12"/>
      <c r="D132" s="13"/>
      <c r="E132" s="13"/>
      <c r="F132" s="84"/>
    </row>
    <row r="133" spans="2:6" ht="15.75">
      <c r="B133" s="24" t="s">
        <v>407</v>
      </c>
      <c r="C133" s="24"/>
      <c r="D133" s="23">
        <f>+D108-D58</f>
        <v>-19831</v>
      </c>
      <c r="E133" s="23">
        <f>+E108-E58</f>
        <v>0</v>
      </c>
      <c r="F133" s="23">
        <f>+F108-F58</f>
        <v>-19831</v>
      </c>
    </row>
    <row r="134" spans="2:6" ht="15.75">
      <c r="B134" s="24" t="s">
        <v>408</v>
      </c>
      <c r="C134" s="24"/>
      <c r="D134" s="23">
        <f>+D130-D63</f>
        <v>19831</v>
      </c>
      <c r="E134" s="23">
        <f>+E130-E63</f>
        <v>0</v>
      </c>
      <c r="F134" s="23">
        <f>+F130-F63</f>
        <v>19831</v>
      </c>
    </row>
    <row r="135" spans="2:6" ht="15.75">
      <c r="B135" s="12"/>
      <c r="C135" s="12"/>
      <c r="D135" s="13"/>
      <c r="E135" s="13"/>
      <c r="F135" s="84"/>
    </row>
    <row r="136" spans="2:6" ht="15.75">
      <c r="B136" s="87" t="s">
        <v>411</v>
      </c>
      <c r="C136" s="12"/>
      <c r="D136" s="13">
        <f>+D131-D64</f>
        <v>0</v>
      </c>
      <c r="E136" s="13">
        <f>+E131-E64</f>
        <v>0</v>
      </c>
      <c r="F136" s="13">
        <f>+F131-F64</f>
        <v>0</v>
      </c>
    </row>
    <row r="137" spans="2:6" ht="15.75">
      <c r="B137" s="12"/>
      <c r="C137" s="12"/>
      <c r="D137" s="13"/>
      <c r="E137" s="13"/>
      <c r="F137" s="84"/>
    </row>
    <row r="138" spans="2:6" ht="15.75">
      <c r="B138" s="12"/>
      <c r="C138" s="12"/>
      <c r="D138" s="13"/>
      <c r="E138" s="13"/>
      <c r="F138" s="84"/>
    </row>
    <row r="139" spans="2:6" ht="15.75">
      <c r="B139" s="12"/>
      <c r="C139" s="12"/>
      <c r="D139" s="13"/>
      <c r="E139" s="13"/>
      <c r="F139" s="84"/>
    </row>
    <row r="140" spans="2:6" ht="15.75">
      <c r="B140" s="12"/>
      <c r="C140" s="12"/>
      <c r="D140" s="13"/>
      <c r="E140" s="13"/>
      <c r="F140" s="84"/>
    </row>
    <row r="141" spans="2:6" ht="15.75">
      <c r="B141" s="12"/>
      <c r="C141" s="12"/>
      <c r="D141" s="13"/>
      <c r="E141" s="13"/>
      <c r="F141" s="84"/>
    </row>
    <row r="142" spans="2:6" ht="15.75">
      <c r="B142" s="12"/>
      <c r="C142" s="12"/>
      <c r="D142" s="13"/>
      <c r="E142" s="13"/>
      <c r="F142" s="84"/>
    </row>
    <row r="143" spans="2:6" ht="15.75">
      <c r="B143" s="12"/>
      <c r="C143" s="12"/>
      <c r="D143" s="13"/>
      <c r="E143" s="13"/>
      <c r="F143" s="84"/>
    </row>
    <row r="144" spans="2:6" ht="15.75">
      <c r="B144" s="12"/>
      <c r="C144" s="12"/>
      <c r="D144" s="13"/>
      <c r="E144" s="13"/>
      <c r="F144" s="84"/>
    </row>
    <row r="145" spans="2:6" ht="15.75">
      <c r="B145" s="12"/>
      <c r="C145" s="12"/>
      <c r="D145" s="13"/>
      <c r="E145" s="13"/>
      <c r="F145" s="84"/>
    </row>
    <row r="146" spans="2:6" ht="15.75">
      <c r="B146" s="12"/>
      <c r="C146" s="12"/>
      <c r="D146" s="13"/>
      <c r="E146" s="13"/>
      <c r="F146" s="84"/>
    </row>
    <row r="147" spans="2:6" ht="15.75">
      <c r="B147" s="12"/>
      <c r="C147" s="12"/>
      <c r="D147" s="13"/>
      <c r="E147" s="13"/>
      <c r="F147" s="84"/>
    </row>
    <row r="148" spans="2:6" ht="15.75">
      <c r="B148" s="12"/>
      <c r="C148" s="12"/>
      <c r="D148" s="13"/>
      <c r="E148" s="13"/>
      <c r="F148" s="84"/>
    </row>
    <row r="149" spans="2:6" ht="15.75">
      <c r="B149" s="12"/>
      <c r="C149" s="12"/>
      <c r="D149" s="13"/>
      <c r="E149" s="13"/>
      <c r="F149" s="84"/>
    </row>
    <row r="150" spans="2:6" ht="15.75">
      <c r="B150" s="12"/>
      <c r="C150" s="12"/>
      <c r="D150" s="13"/>
      <c r="E150" s="13"/>
      <c r="F150" s="84"/>
    </row>
    <row r="151" spans="2:6" ht="15.75">
      <c r="B151" s="12"/>
      <c r="C151" s="12"/>
      <c r="D151" s="13"/>
      <c r="E151" s="13"/>
      <c r="F151" s="84"/>
    </row>
    <row r="152" spans="2:6" ht="15.75">
      <c r="B152" s="12"/>
      <c r="C152" s="12"/>
      <c r="D152" s="13"/>
      <c r="E152" s="13"/>
      <c r="F152" s="84"/>
    </row>
    <row r="153" spans="2:6" ht="15.75">
      <c r="B153" s="12"/>
      <c r="C153" s="12"/>
      <c r="D153" s="13"/>
      <c r="E153" s="13"/>
      <c r="F153" s="84"/>
    </row>
    <row r="154" spans="2:6" ht="15.75">
      <c r="B154" s="12"/>
      <c r="C154" s="12"/>
      <c r="D154" s="13"/>
      <c r="E154" s="13"/>
      <c r="F154" s="84"/>
    </row>
    <row r="155" spans="2:6" ht="15.75">
      <c r="B155" s="12"/>
      <c r="C155" s="12"/>
      <c r="D155" s="13"/>
      <c r="E155" s="13"/>
      <c r="F155" s="84"/>
    </row>
    <row r="156" spans="2:6" ht="15.75">
      <c r="B156" s="12"/>
      <c r="C156" s="12"/>
      <c r="D156" s="13"/>
      <c r="E156" s="13"/>
      <c r="F156" s="84"/>
    </row>
    <row r="157" spans="2:6" ht="15.75">
      <c r="B157" s="12"/>
      <c r="C157" s="12"/>
      <c r="D157" s="13"/>
      <c r="E157" s="13"/>
      <c r="F157" s="84"/>
    </row>
    <row r="158" spans="2:6" ht="15.75">
      <c r="B158" s="12"/>
      <c r="C158" s="12"/>
      <c r="D158" s="13"/>
      <c r="E158" s="13"/>
      <c r="F158" s="84"/>
    </row>
    <row r="159" spans="2:6" ht="15.75">
      <c r="B159" s="12"/>
      <c r="C159" s="12"/>
      <c r="D159" s="13"/>
      <c r="E159" s="13"/>
      <c r="F159" s="84"/>
    </row>
    <row r="160" spans="2:6" ht="15.75">
      <c r="B160" s="12"/>
      <c r="C160" s="12"/>
      <c r="D160" s="13"/>
      <c r="E160" s="13"/>
      <c r="F160" s="84"/>
    </row>
    <row r="161" spans="2:6" ht="15.75">
      <c r="B161" s="12"/>
      <c r="C161" s="12"/>
      <c r="D161" s="13"/>
      <c r="E161" s="13"/>
      <c r="F161" s="84"/>
    </row>
    <row r="162" spans="2:6" ht="15.75">
      <c r="B162" s="12"/>
      <c r="C162" s="12"/>
      <c r="D162" s="13"/>
      <c r="E162" s="13"/>
      <c r="F162" s="84"/>
    </row>
    <row r="163" spans="2:6" ht="15.75">
      <c r="B163" s="12"/>
      <c r="C163" s="12"/>
      <c r="D163" s="13"/>
      <c r="E163" s="13"/>
      <c r="F163" s="84"/>
    </row>
    <row r="164" spans="2:6" ht="15.75">
      <c r="B164" s="12"/>
      <c r="C164" s="12"/>
      <c r="D164" s="13"/>
      <c r="E164" s="13"/>
      <c r="F164" s="84"/>
    </row>
    <row r="165" spans="2:6" ht="15.75">
      <c r="B165" s="12"/>
      <c r="C165" s="12"/>
      <c r="D165" s="13"/>
      <c r="E165" s="13"/>
      <c r="F165" s="84"/>
    </row>
    <row r="166" spans="2:6" ht="15.75">
      <c r="B166" s="12"/>
      <c r="C166" s="12"/>
      <c r="D166" s="13"/>
      <c r="E166" s="13"/>
      <c r="F166" s="84"/>
    </row>
    <row r="167" spans="2:6" ht="15.75">
      <c r="B167" s="12"/>
      <c r="C167" s="12"/>
      <c r="D167" s="13"/>
      <c r="E167" s="13"/>
      <c r="F167" s="84"/>
    </row>
    <row r="168" spans="2:6" ht="15.75">
      <c r="B168" s="12"/>
      <c r="C168" s="12"/>
      <c r="D168" s="13"/>
      <c r="E168" s="13"/>
      <c r="F168" s="84"/>
    </row>
    <row r="169" spans="2:6" ht="15.75">
      <c r="B169" s="12"/>
      <c r="C169" s="12"/>
      <c r="D169" s="13"/>
      <c r="E169" s="13"/>
      <c r="F169" s="84"/>
    </row>
    <row r="170" spans="2:6" ht="15.75">
      <c r="B170" s="12"/>
      <c r="C170" s="12"/>
      <c r="D170" s="13"/>
      <c r="E170" s="13"/>
      <c r="F170" s="84"/>
    </row>
    <row r="171" spans="2:6" ht="15.75">
      <c r="B171" s="12"/>
      <c r="C171" s="12"/>
      <c r="D171" s="13"/>
      <c r="E171" s="13"/>
      <c r="F171" s="84"/>
    </row>
    <row r="172" spans="2:6" ht="15.75">
      <c r="B172" s="12"/>
      <c r="C172" s="12"/>
      <c r="D172" s="13"/>
      <c r="E172" s="13"/>
      <c r="F172" s="84"/>
    </row>
    <row r="173" spans="2:6" ht="15.75">
      <c r="B173" s="12"/>
      <c r="C173" s="12"/>
      <c r="D173" s="13"/>
      <c r="E173" s="13"/>
      <c r="F173" s="84"/>
    </row>
    <row r="174" spans="2:6" ht="15.75">
      <c r="B174" s="12"/>
      <c r="C174" s="12"/>
      <c r="D174" s="13"/>
      <c r="E174" s="13"/>
      <c r="F174" s="84"/>
    </row>
    <row r="175" spans="2:6" ht="15.75">
      <c r="B175" s="12"/>
      <c r="C175" s="12"/>
      <c r="D175" s="13"/>
      <c r="E175" s="13"/>
      <c r="F175" s="84"/>
    </row>
    <row r="176" spans="2:6" ht="15.75">
      <c r="B176" s="12"/>
      <c r="C176" s="12"/>
      <c r="D176" s="13"/>
      <c r="E176" s="13"/>
      <c r="F176" s="84"/>
    </row>
    <row r="177" spans="2:6" ht="15.75">
      <c r="B177" s="12"/>
      <c r="C177" s="12"/>
      <c r="D177" s="13"/>
      <c r="E177" s="13"/>
      <c r="F177" s="84"/>
    </row>
    <row r="178" spans="2:6" ht="15.75">
      <c r="B178" s="12"/>
      <c r="C178" s="12"/>
      <c r="D178" s="13"/>
      <c r="E178" s="13"/>
      <c r="F178" s="84"/>
    </row>
    <row r="179" spans="2:6" ht="15.75">
      <c r="B179" s="12"/>
      <c r="C179" s="12"/>
      <c r="D179" s="13"/>
      <c r="E179" s="13"/>
      <c r="F179" s="84"/>
    </row>
    <row r="180" spans="2:6" ht="15.75">
      <c r="B180" s="12"/>
      <c r="C180" s="12"/>
      <c r="D180" s="13"/>
      <c r="E180" s="13"/>
      <c r="F180" s="84"/>
    </row>
    <row r="181" spans="2:6" ht="15.75">
      <c r="B181" s="12"/>
      <c r="C181" s="12"/>
      <c r="D181" s="13"/>
      <c r="E181" s="13"/>
      <c r="F181" s="84"/>
    </row>
    <row r="182" spans="2:6" ht="15.75">
      <c r="B182" s="12"/>
      <c r="C182" s="12"/>
      <c r="D182" s="13"/>
      <c r="E182" s="13"/>
      <c r="F182" s="84"/>
    </row>
    <row r="183" spans="2:6" ht="15.75">
      <c r="B183" s="12"/>
      <c r="C183" s="12"/>
      <c r="D183" s="13"/>
      <c r="E183" s="13"/>
      <c r="F183" s="84"/>
    </row>
    <row r="184" spans="2:6" ht="15.75">
      <c r="B184" s="12"/>
      <c r="C184" s="12"/>
      <c r="D184" s="13"/>
      <c r="E184" s="13"/>
      <c r="F184" s="84"/>
    </row>
    <row r="185" spans="2:6" ht="15.75">
      <c r="B185" s="12"/>
      <c r="C185" s="12"/>
      <c r="D185" s="13"/>
      <c r="E185" s="13"/>
      <c r="F185" s="84"/>
    </row>
    <row r="186" spans="2:6" ht="15.75">
      <c r="B186" s="12"/>
      <c r="C186" s="12"/>
      <c r="D186" s="13"/>
      <c r="E186" s="13"/>
      <c r="F186" s="84"/>
    </row>
    <row r="187" spans="2:6" ht="15.75">
      <c r="B187" s="12"/>
      <c r="C187" s="12"/>
      <c r="D187" s="13"/>
      <c r="E187" s="13"/>
      <c r="F187" s="84"/>
    </row>
    <row r="188" spans="2:6" ht="15.75">
      <c r="B188" s="12"/>
      <c r="C188" s="12"/>
      <c r="D188" s="13"/>
      <c r="E188" s="13"/>
      <c r="F188" s="84"/>
    </row>
    <row r="189" spans="2:6" ht="15.75">
      <c r="B189" s="12"/>
      <c r="C189" s="12"/>
      <c r="D189" s="13"/>
      <c r="E189" s="13"/>
      <c r="F189" s="84"/>
    </row>
    <row r="190" spans="2:6" ht="15.75">
      <c r="B190" s="12"/>
      <c r="C190" s="12"/>
      <c r="D190" s="13"/>
      <c r="E190" s="13"/>
      <c r="F190" s="84"/>
    </row>
    <row r="191" spans="2:6" ht="15.75">
      <c r="B191" s="12"/>
      <c r="C191" s="12"/>
      <c r="D191" s="13"/>
      <c r="E191" s="13"/>
      <c r="F191" s="84"/>
    </row>
    <row r="192" spans="2:6" ht="15.75">
      <c r="B192" s="12"/>
      <c r="C192" s="12"/>
      <c r="D192" s="13"/>
      <c r="E192" s="13"/>
      <c r="F192" s="84"/>
    </row>
    <row r="193" spans="2:6" ht="15.75">
      <c r="B193" s="12"/>
      <c r="C193" s="12"/>
      <c r="D193" s="13"/>
      <c r="E193" s="13"/>
      <c r="F193" s="84"/>
    </row>
    <row r="194" spans="2:6" ht="15.75">
      <c r="B194" s="12"/>
      <c r="C194" s="12"/>
      <c r="D194" s="13"/>
      <c r="E194" s="13"/>
      <c r="F194" s="84"/>
    </row>
    <row r="195" spans="2:6" ht="15.75">
      <c r="B195" s="12"/>
      <c r="C195" s="12"/>
      <c r="D195" s="12"/>
      <c r="E195" s="12"/>
      <c r="F195" s="25"/>
    </row>
    <row r="196" spans="2:6" ht="15.75">
      <c r="B196" s="12"/>
      <c r="C196" s="12"/>
      <c r="D196" s="12"/>
      <c r="E196" s="12"/>
      <c r="F196" s="25"/>
    </row>
    <row r="197" spans="2:6" ht="15.75">
      <c r="B197" s="12"/>
      <c r="C197" s="12"/>
      <c r="D197" s="12"/>
      <c r="E197" s="12"/>
      <c r="F197" s="25"/>
    </row>
    <row r="198" spans="2:6" ht="15.75">
      <c r="B198" s="12"/>
      <c r="C198" s="12"/>
      <c r="D198" s="12"/>
      <c r="E198" s="12"/>
      <c r="F198" s="25"/>
    </row>
    <row r="199" spans="2:6" ht="15.75">
      <c r="B199" s="12"/>
      <c r="C199" s="12"/>
      <c r="D199" s="12"/>
      <c r="E199" s="12"/>
      <c r="F199" s="25"/>
    </row>
    <row r="200" spans="2:6" ht="15.75">
      <c r="B200" s="12"/>
      <c r="C200" s="12"/>
      <c r="D200" s="12"/>
      <c r="E200" s="12"/>
      <c r="F200" s="25"/>
    </row>
    <row r="201" spans="2:6" ht="15.75">
      <c r="B201" s="12"/>
      <c r="C201" s="12"/>
      <c r="D201" s="12"/>
      <c r="E201" s="12"/>
      <c r="F201" s="25"/>
    </row>
    <row r="202" spans="2:6" ht="15.75">
      <c r="B202" s="12"/>
      <c r="C202" s="12"/>
      <c r="D202" s="12"/>
      <c r="E202" s="12"/>
      <c r="F202" s="25"/>
    </row>
    <row r="203" spans="2:6" ht="15.75">
      <c r="B203" s="12"/>
      <c r="C203" s="12"/>
      <c r="D203" s="12"/>
      <c r="E203" s="12"/>
      <c r="F203" s="25"/>
    </row>
    <row r="204" spans="2:6" ht="15.75">
      <c r="B204" s="12"/>
      <c r="C204" s="12"/>
      <c r="D204" s="12"/>
      <c r="E204" s="12"/>
      <c r="F204" s="25"/>
    </row>
    <row r="205" spans="2:6" ht="15.75">
      <c r="B205" s="12"/>
      <c r="C205" s="12"/>
      <c r="D205" s="12"/>
      <c r="E205" s="12"/>
      <c r="F205" s="25"/>
    </row>
    <row r="206" spans="2:6" ht="15.75">
      <c r="B206" s="12"/>
      <c r="C206" s="12"/>
      <c r="D206" s="12"/>
      <c r="E206" s="12"/>
      <c r="F206" s="25"/>
    </row>
    <row r="207" spans="2:6" ht="15.75">
      <c r="B207" s="12"/>
      <c r="C207" s="12"/>
      <c r="D207" s="12"/>
      <c r="E207" s="12"/>
      <c r="F207" s="25"/>
    </row>
    <row r="208" spans="2:6" ht="15.75">
      <c r="B208" s="12"/>
      <c r="C208" s="12"/>
      <c r="D208" s="12"/>
      <c r="E208" s="12"/>
      <c r="F208" s="25"/>
    </row>
    <row r="209" spans="2:6" ht="15.75">
      <c r="B209" s="12"/>
      <c r="C209" s="12"/>
      <c r="D209" s="12"/>
      <c r="E209" s="12"/>
      <c r="F209" s="25"/>
    </row>
    <row r="210" spans="2:6" ht="15.75">
      <c r="B210" s="12"/>
      <c r="C210" s="12"/>
      <c r="D210" s="12"/>
      <c r="E210" s="12"/>
      <c r="F210" s="25"/>
    </row>
    <row r="211" spans="2:6" ht="15.75">
      <c r="B211" s="12"/>
      <c r="C211" s="12"/>
      <c r="D211" s="12"/>
      <c r="E211" s="12"/>
      <c r="F211" s="25"/>
    </row>
    <row r="212" spans="2:6" ht="15.75">
      <c r="B212" s="12"/>
      <c r="C212" s="12"/>
      <c r="D212" s="12"/>
      <c r="E212" s="12"/>
      <c r="F212" s="25"/>
    </row>
    <row r="213" spans="2:6" ht="15.75">
      <c r="B213" s="12"/>
      <c r="C213" s="12"/>
      <c r="D213" s="12"/>
      <c r="E213" s="12"/>
      <c r="F213" s="25"/>
    </row>
    <row r="214" spans="2:6" ht="15.75">
      <c r="B214" s="12"/>
      <c r="C214" s="12"/>
      <c r="D214" s="12"/>
      <c r="E214" s="12"/>
      <c r="F214" s="25"/>
    </row>
    <row r="215" spans="2:6" ht="15.75">
      <c r="B215" s="12"/>
      <c r="C215" s="12"/>
      <c r="D215" s="12"/>
      <c r="E215" s="12"/>
      <c r="F215" s="25"/>
    </row>
    <row r="216" spans="2:6" ht="15.75">
      <c r="B216" s="12"/>
      <c r="C216" s="12"/>
      <c r="D216" s="12"/>
      <c r="E216" s="12"/>
      <c r="F216" s="25"/>
    </row>
    <row r="217" spans="2:6" ht="15.75">
      <c r="B217" s="12"/>
      <c r="C217" s="12"/>
      <c r="D217" s="12"/>
      <c r="E217" s="12"/>
      <c r="F217" s="25"/>
    </row>
    <row r="218" spans="2:6" ht="15.75">
      <c r="B218" s="12"/>
      <c r="C218" s="12"/>
      <c r="D218" s="12"/>
      <c r="E218" s="12"/>
      <c r="F218" s="25"/>
    </row>
    <row r="219" spans="2:6" ht="15.75">
      <c r="B219" s="12"/>
      <c r="C219" s="12"/>
      <c r="D219" s="12"/>
      <c r="E219" s="12"/>
      <c r="F219" s="25"/>
    </row>
    <row r="220" spans="2:6" ht="15.75">
      <c r="B220" s="12"/>
      <c r="C220" s="12"/>
      <c r="D220" s="12"/>
      <c r="E220" s="12"/>
      <c r="F220" s="25"/>
    </row>
    <row r="221" spans="2:6" ht="15.75">
      <c r="B221" s="12"/>
      <c r="C221" s="12"/>
      <c r="D221" s="12"/>
      <c r="E221" s="12"/>
      <c r="F221" s="25"/>
    </row>
    <row r="222" spans="2:6" ht="15.75">
      <c r="B222" s="12"/>
      <c r="C222" s="12"/>
      <c r="D222" s="12"/>
      <c r="E222" s="12"/>
      <c r="F222" s="25"/>
    </row>
    <row r="223" spans="2:6" ht="15.75">
      <c r="B223" s="12"/>
      <c r="C223" s="12"/>
      <c r="D223" s="12"/>
      <c r="E223" s="12"/>
      <c r="F223" s="25"/>
    </row>
    <row r="224" spans="2:6" ht="15.75">
      <c r="B224" s="12"/>
      <c r="C224" s="12"/>
      <c r="D224" s="12"/>
      <c r="E224" s="12"/>
      <c r="F224" s="25"/>
    </row>
    <row r="225" spans="2:6" ht="15.75">
      <c r="B225" s="12"/>
      <c r="C225" s="12"/>
      <c r="D225" s="12"/>
      <c r="E225" s="12"/>
      <c r="F225" s="25"/>
    </row>
    <row r="226" spans="2:6" ht="15.75">
      <c r="B226" s="12"/>
      <c r="C226" s="12"/>
      <c r="D226" s="12"/>
      <c r="E226" s="12"/>
      <c r="F226" s="25"/>
    </row>
    <row r="227" spans="2:6" ht="15.75">
      <c r="B227" s="12"/>
      <c r="C227" s="12"/>
      <c r="D227" s="12"/>
      <c r="E227" s="12"/>
      <c r="F227" s="25"/>
    </row>
    <row r="228" spans="2:6" ht="15.75">
      <c r="B228" s="12"/>
      <c r="C228" s="12"/>
      <c r="D228" s="12"/>
      <c r="E228" s="12"/>
      <c r="F228" s="25"/>
    </row>
    <row r="229" spans="2:6" ht="15.75">
      <c r="B229" s="12"/>
      <c r="C229" s="12"/>
      <c r="D229" s="12"/>
      <c r="E229" s="12"/>
      <c r="F229" s="25"/>
    </row>
    <row r="230" spans="2:6" ht="15.75">
      <c r="B230" s="12"/>
      <c r="C230" s="12"/>
      <c r="D230" s="12"/>
      <c r="E230" s="12"/>
      <c r="F230" s="25"/>
    </row>
    <row r="231" spans="2:6" ht="15.75">
      <c r="B231" s="12"/>
      <c r="C231" s="12"/>
      <c r="D231" s="12"/>
      <c r="E231" s="12"/>
      <c r="F231" s="25"/>
    </row>
    <row r="232" spans="2:6" ht="15.75">
      <c r="B232" s="12"/>
      <c r="C232" s="12"/>
      <c r="D232" s="12"/>
      <c r="E232" s="12"/>
      <c r="F232" s="25"/>
    </row>
    <row r="233" spans="2:6" ht="15.75">
      <c r="B233" s="12"/>
      <c r="C233" s="12"/>
      <c r="D233" s="12"/>
      <c r="E233" s="12"/>
      <c r="F233" s="25"/>
    </row>
    <row r="234" spans="2:6" ht="15.75">
      <c r="B234" s="12"/>
      <c r="C234" s="12"/>
      <c r="D234" s="12"/>
      <c r="E234" s="12"/>
      <c r="F234" s="25"/>
    </row>
    <row r="235" spans="2:6" ht="15.75">
      <c r="B235" s="12"/>
      <c r="C235" s="12"/>
      <c r="D235" s="12"/>
      <c r="E235" s="12"/>
      <c r="F235" s="25"/>
    </row>
    <row r="236" spans="2:6" ht="15.75">
      <c r="B236" s="12"/>
      <c r="C236" s="12"/>
      <c r="D236" s="12"/>
      <c r="E236" s="12"/>
      <c r="F236" s="25"/>
    </row>
    <row r="237" spans="2:6" ht="15.75">
      <c r="B237" s="12"/>
      <c r="C237" s="12"/>
      <c r="D237" s="12"/>
      <c r="E237" s="12"/>
      <c r="F237" s="25"/>
    </row>
    <row r="238" spans="2:6" ht="15.75">
      <c r="B238" s="12"/>
      <c r="C238" s="12"/>
      <c r="D238" s="12"/>
      <c r="E238" s="12"/>
      <c r="F238" s="25"/>
    </row>
    <row r="239" spans="2:6" ht="15.75">
      <c r="B239" s="12"/>
      <c r="C239" s="12"/>
      <c r="D239" s="12"/>
      <c r="E239" s="12"/>
      <c r="F239" s="25"/>
    </row>
    <row r="240" spans="2:6" ht="15.75">
      <c r="B240" s="12"/>
      <c r="C240" s="12"/>
      <c r="D240" s="12"/>
      <c r="E240" s="12"/>
      <c r="F240" s="25"/>
    </row>
    <row r="241" spans="2:6" ht="15.75">
      <c r="B241" s="12"/>
      <c r="C241" s="12"/>
      <c r="D241" s="12"/>
      <c r="E241" s="12"/>
      <c r="F241" s="25"/>
    </row>
    <row r="242" spans="2:6" ht="15.75">
      <c r="B242" s="12"/>
      <c r="C242" s="12"/>
      <c r="D242" s="12"/>
      <c r="E242" s="12"/>
      <c r="F242" s="25"/>
    </row>
    <row r="243" spans="2:6" ht="15.75">
      <c r="B243" s="12"/>
      <c r="C243" s="12"/>
      <c r="D243" s="12"/>
      <c r="E243" s="12"/>
      <c r="F243" s="25"/>
    </row>
    <row r="244" spans="2:6" ht="15.75">
      <c r="B244" s="12"/>
      <c r="C244" s="12"/>
      <c r="D244" s="12"/>
      <c r="E244" s="12"/>
      <c r="F244" s="25"/>
    </row>
    <row r="245" spans="2:6" ht="15.75">
      <c r="B245" s="12"/>
      <c r="C245" s="12"/>
      <c r="D245" s="12"/>
      <c r="E245" s="12"/>
      <c r="F245" s="25"/>
    </row>
    <row r="246" spans="2:6" ht="15.75">
      <c r="B246" s="12"/>
      <c r="C246" s="12"/>
      <c r="D246" s="12"/>
      <c r="E246" s="12"/>
      <c r="F246" s="25"/>
    </row>
    <row r="247" spans="2:6" ht="15.75">
      <c r="B247" s="12"/>
      <c r="C247" s="12"/>
      <c r="D247" s="12"/>
      <c r="E247" s="12"/>
      <c r="F247" s="25"/>
    </row>
    <row r="248" spans="2:6" ht="15.75">
      <c r="B248" s="12"/>
      <c r="C248" s="12"/>
      <c r="D248" s="12"/>
      <c r="E248" s="12"/>
      <c r="F248" s="25"/>
    </row>
    <row r="249" spans="2:6" ht="15.75">
      <c r="B249" s="12"/>
      <c r="C249" s="12"/>
      <c r="D249" s="12"/>
      <c r="E249" s="12"/>
      <c r="F249" s="25"/>
    </row>
    <row r="250" spans="2:6" ht="15.75">
      <c r="B250" s="12"/>
      <c r="C250" s="12"/>
      <c r="D250" s="12"/>
      <c r="E250" s="12"/>
      <c r="F250" s="25"/>
    </row>
    <row r="251" spans="2:6" ht="15.75">
      <c r="B251" s="12"/>
      <c r="C251" s="12"/>
      <c r="D251" s="12"/>
      <c r="E251" s="12"/>
      <c r="F251" s="25"/>
    </row>
    <row r="252" spans="2:6" ht="15.75">
      <c r="B252" s="12"/>
      <c r="C252" s="12"/>
      <c r="D252" s="12"/>
      <c r="E252" s="12"/>
      <c r="F252" s="25"/>
    </row>
    <row r="253" spans="2:6" ht="15.75">
      <c r="B253" s="12"/>
      <c r="C253" s="12"/>
      <c r="D253" s="12"/>
      <c r="E253" s="12"/>
      <c r="F253" s="25"/>
    </row>
    <row r="254" spans="2:6" ht="15.75">
      <c r="B254" s="12"/>
      <c r="C254" s="12"/>
      <c r="D254" s="12"/>
      <c r="E254" s="12"/>
      <c r="F254" s="25"/>
    </row>
    <row r="255" spans="2:6" ht="15.75">
      <c r="B255" s="12"/>
      <c r="C255" s="12"/>
      <c r="D255" s="12"/>
      <c r="E255" s="12"/>
      <c r="F255" s="25"/>
    </row>
    <row r="256" spans="2:6" ht="15.75">
      <c r="B256" s="12"/>
      <c r="C256" s="12"/>
      <c r="D256" s="12"/>
      <c r="E256" s="12"/>
      <c r="F256" s="25"/>
    </row>
    <row r="257" spans="2:6" ht="15.75">
      <c r="B257" s="12"/>
      <c r="C257" s="12"/>
      <c r="D257" s="12"/>
      <c r="E257" s="12"/>
      <c r="F257" s="25"/>
    </row>
    <row r="258" spans="2:6" ht="15.75">
      <c r="B258" s="12"/>
      <c r="C258" s="12"/>
      <c r="D258" s="12"/>
      <c r="E258" s="12"/>
      <c r="F258" s="25"/>
    </row>
    <row r="259" spans="2:6" ht="15.75">
      <c r="B259" s="12"/>
      <c r="C259" s="12"/>
      <c r="D259" s="12"/>
      <c r="E259" s="12"/>
      <c r="F259" s="25"/>
    </row>
    <row r="260" spans="2:6" ht="15.75">
      <c r="B260" s="12"/>
      <c r="C260" s="12"/>
      <c r="D260" s="12"/>
      <c r="E260" s="12"/>
      <c r="F260" s="25"/>
    </row>
  </sheetData>
  <sheetProtection selectLockedCells="1" selectUnlockedCells="1"/>
  <mergeCells count="2">
    <mergeCell ref="D5:F5"/>
    <mergeCell ref="D66:F66"/>
  </mergeCells>
  <printOptions horizontalCentered="1"/>
  <pageMargins left="0.6298611111111111" right="0.39375" top="0.5902777777777778" bottom="0.5118055555555555" header="0.5118055555555555" footer="0.31527777777777777"/>
  <pageSetup horizontalDpi="300" verticalDpi="300" orientation="portrait" paperSize="9" scale="65" r:id="rId1"/>
  <headerFooter alignWithMargins="0">
    <oddFooter>&amp;R&amp;P</oddFooter>
  </headerFooter>
  <rowBreaks count="1" manualBreakCount="1">
    <brk id="6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5.421875" style="162" customWidth="1"/>
    <col min="2" max="2" width="50.00390625" style="165" customWidth="1"/>
    <col min="3" max="11" width="12.7109375" style="162" customWidth="1"/>
    <col min="12" max="16384" width="9.140625" style="162" customWidth="1"/>
  </cols>
  <sheetData>
    <row r="1" spans="2:11" ht="25.5" customHeight="1">
      <c r="B1" s="400" t="s">
        <v>89</v>
      </c>
      <c r="C1" s="400"/>
      <c r="D1" s="400"/>
      <c r="E1" s="400"/>
      <c r="F1" s="400"/>
      <c r="G1" s="400"/>
      <c r="H1" s="400"/>
      <c r="I1" s="165"/>
      <c r="J1" s="165"/>
      <c r="K1" s="30" t="s">
        <v>684</v>
      </c>
    </row>
    <row r="2" spans="2:11" ht="23.25" customHeight="1">
      <c r="B2" s="409" t="s">
        <v>685</v>
      </c>
      <c r="C2" s="409"/>
      <c r="D2" s="409"/>
      <c r="E2" s="409"/>
      <c r="F2" s="409"/>
      <c r="G2" s="409"/>
      <c r="H2" s="248"/>
      <c r="I2" s="249"/>
      <c r="J2" s="249"/>
      <c r="K2" s="14" t="s">
        <v>88</v>
      </c>
    </row>
    <row r="4" ht="15">
      <c r="C4" s="250" t="s">
        <v>686</v>
      </c>
    </row>
    <row r="5" ht="15">
      <c r="C5" s="250"/>
    </row>
    <row r="6" spans="3:11" ht="26.25">
      <c r="C6" s="187" t="s">
        <v>91</v>
      </c>
      <c r="D6" s="187" t="s">
        <v>91</v>
      </c>
      <c r="E6" s="187" t="s">
        <v>91</v>
      </c>
      <c r="F6" s="187" t="s">
        <v>91</v>
      </c>
      <c r="G6" s="187" t="s">
        <v>91</v>
      </c>
      <c r="H6" s="187" t="s">
        <v>91</v>
      </c>
      <c r="I6" s="187" t="s">
        <v>91</v>
      </c>
      <c r="J6" s="187" t="s">
        <v>91</v>
      </c>
      <c r="K6" s="187" t="s">
        <v>91</v>
      </c>
    </row>
    <row r="7" spans="1:11" s="183" customFormat="1" ht="102" customHeight="1">
      <c r="A7" s="251" t="s">
        <v>687</v>
      </c>
      <c r="B7" s="252" t="s">
        <v>688</v>
      </c>
      <c r="C7" s="253" t="s">
        <v>689</v>
      </c>
      <c r="D7" s="253" t="s">
        <v>80</v>
      </c>
      <c r="E7" s="253" t="s">
        <v>690</v>
      </c>
      <c r="F7" s="253" t="s">
        <v>83</v>
      </c>
      <c r="G7" s="253" t="s">
        <v>84</v>
      </c>
      <c r="H7" s="253" t="s">
        <v>86</v>
      </c>
      <c r="I7" s="253" t="s">
        <v>85</v>
      </c>
      <c r="J7" s="253" t="s">
        <v>81</v>
      </c>
      <c r="K7" s="251" t="s">
        <v>691</v>
      </c>
    </row>
    <row r="8" spans="1:11" s="180" customFormat="1" ht="15" customHeight="1">
      <c r="A8" s="186">
        <v>1</v>
      </c>
      <c r="B8" s="254" t="s">
        <v>692</v>
      </c>
      <c r="C8" s="255"/>
      <c r="D8" s="255">
        <v>2</v>
      </c>
      <c r="E8" s="255"/>
      <c r="F8" s="255"/>
      <c r="G8" s="255"/>
      <c r="H8" s="255"/>
      <c r="I8" s="255"/>
      <c r="J8" s="255"/>
      <c r="K8" s="256">
        <f>+J8+I8+H8+G8+F8+E8+D8+C8</f>
        <v>2</v>
      </c>
    </row>
    <row r="9" spans="1:11" s="180" customFormat="1" ht="15" customHeight="1">
      <c r="A9" s="186">
        <v>2</v>
      </c>
      <c r="B9" s="254" t="s">
        <v>693</v>
      </c>
      <c r="C9" s="255"/>
      <c r="D9" s="255">
        <f>18+1</f>
        <v>19</v>
      </c>
      <c r="E9" s="255"/>
      <c r="F9" s="255"/>
      <c r="G9" s="255"/>
      <c r="H9" s="255"/>
      <c r="I9" s="255"/>
      <c r="J9" s="255"/>
      <c r="K9" s="256">
        <f>+J9+I9+H9+G9+F9+E9+D9+C9</f>
        <v>19</v>
      </c>
    </row>
    <row r="10" spans="1:11" s="180" customFormat="1" ht="15" customHeight="1">
      <c r="A10" s="186">
        <v>3</v>
      </c>
      <c r="B10" s="254" t="s">
        <v>694</v>
      </c>
      <c r="C10" s="255"/>
      <c r="D10" s="255">
        <v>16</v>
      </c>
      <c r="E10" s="255"/>
      <c r="F10" s="255"/>
      <c r="G10" s="255"/>
      <c r="H10" s="255"/>
      <c r="I10" s="255"/>
      <c r="J10" s="255"/>
      <c r="K10" s="256">
        <f>+J10+I10+H10+G10+F10+E10+D10+C10</f>
        <v>16</v>
      </c>
    </row>
    <row r="11" spans="1:11" s="180" customFormat="1" ht="15" customHeight="1">
      <c r="A11" s="186">
        <v>4</v>
      </c>
      <c r="B11" s="254" t="s">
        <v>695</v>
      </c>
      <c r="C11" s="255"/>
      <c r="D11" s="255">
        <v>1</v>
      </c>
      <c r="E11" s="255"/>
      <c r="F11" s="255"/>
      <c r="G11" s="255"/>
      <c r="H11" s="255"/>
      <c r="I11" s="255"/>
      <c r="J11" s="255"/>
      <c r="K11" s="256">
        <f>+J11+I11+H11+G11+F11+E11+D11+C11</f>
        <v>1</v>
      </c>
    </row>
    <row r="12" spans="1:11" s="197" customFormat="1" ht="24.75" customHeight="1">
      <c r="A12" s="257">
        <v>5</v>
      </c>
      <c r="B12" s="258" t="s">
        <v>696</v>
      </c>
      <c r="C12" s="259">
        <f aca="true" t="shared" si="0" ref="C12:K12">SUM(C8:C11)</f>
        <v>0</v>
      </c>
      <c r="D12" s="259">
        <f t="shared" si="0"/>
        <v>38</v>
      </c>
      <c r="E12" s="259">
        <f t="shared" si="0"/>
        <v>0</v>
      </c>
      <c r="F12" s="259">
        <f t="shared" si="0"/>
        <v>0</v>
      </c>
      <c r="G12" s="259">
        <f t="shared" si="0"/>
        <v>0</v>
      </c>
      <c r="H12" s="259">
        <f t="shared" si="0"/>
        <v>0</v>
      </c>
      <c r="I12" s="259">
        <f t="shared" si="0"/>
        <v>0</v>
      </c>
      <c r="J12" s="259">
        <f t="shared" si="0"/>
        <v>0</v>
      </c>
      <c r="K12" s="259">
        <f t="shared" si="0"/>
        <v>38</v>
      </c>
    </row>
    <row r="13" spans="1:11" s="180" customFormat="1" ht="15" customHeight="1">
      <c r="A13" s="186">
        <v>6</v>
      </c>
      <c r="B13" s="254" t="s">
        <v>697</v>
      </c>
      <c r="C13" s="255"/>
      <c r="D13" s="255"/>
      <c r="E13" s="255">
        <v>1</v>
      </c>
      <c r="F13" s="255">
        <v>3</v>
      </c>
      <c r="G13" s="255">
        <v>2</v>
      </c>
      <c r="H13" s="255">
        <v>1</v>
      </c>
      <c r="I13" s="255">
        <v>1</v>
      </c>
      <c r="J13" s="255">
        <v>1</v>
      </c>
      <c r="K13" s="256">
        <f aca="true" t="shared" si="1" ref="K13:K21">+J13+I13+H13+G13+F13+E13+D13+C13</f>
        <v>9</v>
      </c>
    </row>
    <row r="14" spans="1:11" s="180" customFormat="1" ht="27.75" customHeight="1">
      <c r="A14" s="186">
        <v>7</v>
      </c>
      <c r="B14" s="254" t="s">
        <v>698</v>
      </c>
      <c r="C14" s="255"/>
      <c r="D14" s="255"/>
      <c r="E14" s="255"/>
      <c r="F14" s="255">
        <v>1</v>
      </c>
      <c r="G14" s="255">
        <v>4</v>
      </c>
      <c r="H14" s="255"/>
      <c r="I14" s="255">
        <v>0</v>
      </c>
      <c r="J14" s="255">
        <v>3</v>
      </c>
      <c r="K14" s="256">
        <f t="shared" si="1"/>
        <v>8</v>
      </c>
    </row>
    <row r="15" spans="1:11" s="180" customFormat="1" ht="15" customHeight="1">
      <c r="A15" s="186">
        <v>8</v>
      </c>
      <c r="B15" s="254" t="s">
        <v>699</v>
      </c>
      <c r="C15" s="255"/>
      <c r="D15" s="255"/>
      <c r="E15" s="255"/>
      <c r="F15" s="255">
        <v>8</v>
      </c>
      <c r="G15" s="255"/>
      <c r="H15" s="255"/>
      <c r="I15" s="255">
        <v>0</v>
      </c>
      <c r="J15" s="255"/>
      <c r="K15" s="256">
        <f t="shared" si="1"/>
        <v>8</v>
      </c>
    </row>
    <row r="16" spans="1:11" s="180" customFormat="1" ht="15" customHeight="1">
      <c r="A16" s="186">
        <v>9</v>
      </c>
      <c r="B16" s="254" t="s">
        <v>700</v>
      </c>
      <c r="C16" s="255"/>
      <c r="D16" s="255"/>
      <c r="E16" s="255"/>
      <c r="F16" s="255"/>
      <c r="G16" s="255">
        <v>21</v>
      </c>
      <c r="H16" s="255"/>
      <c r="I16" s="255"/>
      <c r="J16" s="255"/>
      <c r="K16" s="256"/>
    </row>
    <row r="17" spans="1:11" s="180" customFormat="1" ht="15" customHeight="1">
      <c r="A17" s="186">
        <v>10</v>
      </c>
      <c r="B17" s="254" t="s">
        <v>701</v>
      </c>
      <c r="C17" s="255"/>
      <c r="D17" s="255"/>
      <c r="E17" s="255"/>
      <c r="F17" s="255"/>
      <c r="G17" s="255">
        <v>1</v>
      </c>
      <c r="H17" s="255"/>
      <c r="I17" s="255"/>
      <c r="J17" s="255"/>
      <c r="K17" s="256"/>
    </row>
    <row r="18" spans="1:11" s="180" customFormat="1" ht="15" customHeight="1">
      <c r="A18" s="186">
        <v>11</v>
      </c>
      <c r="B18" s="254" t="s">
        <v>702</v>
      </c>
      <c r="C18" s="255"/>
      <c r="D18" s="255"/>
      <c r="E18" s="255">
        <v>5</v>
      </c>
      <c r="F18" s="255">
        <v>25</v>
      </c>
      <c r="G18" s="255">
        <v>45</v>
      </c>
      <c r="H18" s="255">
        <v>1</v>
      </c>
      <c r="I18" s="255">
        <v>3</v>
      </c>
      <c r="J18" s="255">
        <v>30</v>
      </c>
      <c r="K18" s="256">
        <f t="shared" si="1"/>
        <v>109</v>
      </c>
    </row>
    <row r="19" spans="1:11" s="180" customFormat="1" ht="15" customHeight="1">
      <c r="A19" s="186">
        <v>12</v>
      </c>
      <c r="B19" s="254" t="s">
        <v>703</v>
      </c>
      <c r="C19" s="255"/>
      <c r="D19" s="255"/>
      <c r="E19" s="255">
        <v>20</v>
      </c>
      <c r="F19" s="255">
        <v>19</v>
      </c>
      <c r="G19" s="255">
        <v>21</v>
      </c>
      <c r="H19" s="255">
        <v>1</v>
      </c>
      <c r="I19" s="255">
        <v>3</v>
      </c>
      <c r="J19" s="255">
        <f>14+5</f>
        <v>19</v>
      </c>
      <c r="K19" s="256">
        <f t="shared" si="1"/>
        <v>83</v>
      </c>
    </row>
    <row r="20" spans="1:11" s="180" customFormat="1" ht="15" customHeight="1">
      <c r="A20" s="186">
        <v>13</v>
      </c>
      <c r="B20" s="254" t="s">
        <v>704</v>
      </c>
      <c r="C20" s="255"/>
      <c r="D20" s="255"/>
      <c r="E20" s="255">
        <v>28</v>
      </c>
      <c r="F20" s="255">
        <v>43</v>
      </c>
      <c r="G20" s="255">
        <v>5</v>
      </c>
      <c r="H20" s="255">
        <v>3</v>
      </c>
      <c r="I20" s="255">
        <v>2</v>
      </c>
      <c r="J20" s="255">
        <v>1</v>
      </c>
      <c r="K20" s="256">
        <f t="shared" si="1"/>
        <v>82</v>
      </c>
    </row>
    <row r="21" spans="1:11" s="180" customFormat="1" ht="15" customHeight="1">
      <c r="A21" s="186">
        <v>14</v>
      </c>
      <c r="B21" s="254" t="s">
        <v>705</v>
      </c>
      <c r="C21" s="255"/>
      <c r="D21" s="255"/>
      <c r="E21" s="255"/>
      <c r="F21" s="255"/>
      <c r="G21" s="255"/>
      <c r="H21" s="255"/>
      <c r="I21" s="255">
        <v>0</v>
      </c>
      <c r="J21" s="255"/>
      <c r="K21" s="256">
        <f t="shared" si="1"/>
        <v>0</v>
      </c>
    </row>
    <row r="22" spans="1:11" s="197" customFormat="1" ht="15" customHeight="1">
      <c r="A22" s="257">
        <v>15</v>
      </c>
      <c r="B22" s="258" t="s">
        <v>706</v>
      </c>
      <c r="C22" s="259">
        <f aca="true" t="shared" si="2" ref="C22:K22">SUM(C13:C21)</f>
        <v>0</v>
      </c>
      <c r="D22" s="259">
        <f t="shared" si="2"/>
        <v>0</v>
      </c>
      <c r="E22" s="259">
        <f t="shared" si="2"/>
        <v>54</v>
      </c>
      <c r="F22" s="259">
        <f t="shared" si="2"/>
        <v>99</v>
      </c>
      <c r="G22" s="259">
        <f t="shared" si="2"/>
        <v>99</v>
      </c>
      <c r="H22" s="259">
        <f t="shared" si="2"/>
        <v>6</v>
      </c>
      <c r="I22" s="259">
        <f t="shared" si="2"/>
        <v>9</v>
      </c>
      <c r="J22" s="259">
        <f t="shared" si="2"/>
        <v>54</v>
      </c>
      <c r="K22" s="259">
        <f t="shared" si="2"/>
        <v>299</v>
      </c>
    </row>
    <row r="23" spans="1:11" s="180" customFormat="1" ht="38.25">
      <c r="A23" s="186">
        <v>16</v>
      </c>
      <c r="B23" s="254" t="s">
        <v>707</v>
      </c>
      <c r="C23" s="255"/>
      <c r="D23" s="255">
        <v>10</v>
      </c>
      <c r="E23" s="255"/>
      <c r="F23" s="255"/>
      <c r="G23" s="255"/>
      <c r="H23" s="255"/>
      <c r="I23" s="255"/>
      <c r="J23" s="255"/>
      <c r="K23" s="256">
        <f>+J23+I23+H23+G23+F23+E23+D23+C23</f>
        <v>10</v>
      </c>
    </row>
    <row r="24" spans="1:11" s="180" customFormat="1" ht="15" customHeight="1">
      <c r="A24" s="186">
        <v>17</v>
      </c>
      <c r="B24" s="254" t="s">
        <v>708</v>
      </c>
      <c r="C24" s="255"/>
      <c r="D24" s="255"/>
      <c r="E24" s="255"/>
      <c r="F24" s="255"/>
      <c r="G24" s="255"/>
      <c r="H24" s="255"/>
      <c r="I24" s="255"/>
      <c r="J24" s="255"/>
      <c r="K24" s="256">
        <f>+J24+I24+H24+G24+F24+E24+D24+C24</f>
        <v>0</v>
      </c>
    </row>
    <row r="25" spans="1:11" s="180" customFormat="1" ht="15" customHeight="1">
      <c r="A25" s="186">
        <v>18</v>
      </c>
      <c r="B25" s="254" t="s">
        <v>709</v>
      </c>
      <c r="C25" s="255"/>
      <c r="D25" s="255">
        <v>7</v>
      </c>
      <c r="E25" s="255">
        <v>3</v>
      </c>
      <c r="F25" s="255">
        <v>8</v>
      </c>
      <c r="G25" s="255">
        <v>9</v>
      </c>
      <c r="H25" s="255">
        <v>4</v>
      </c>
      <c r="I25" s="255">
        <v>2</v>
      </c>
      <c r="J25" s="255">
        <v>177</v>
      </c>
      <c r="K25" s="256">
        <f>+J25+I25+H25+G25+F25+E25+D25+C25</f>
        <v>210</v>
      </c>
    </row>
    <row r="26" spans="1:11" s="197" customFormat="1" ht="15" customHeight="1">
      <c r="A26" s="257">
        <v>19</v>
      </c>
      <c r="B26" s="258" t="s">
        <v>710</v>
      </c>
      <c r="C26" s="259">
        <f aca="true" t="shared" si="3" ref="C26:K26">SUM(C23:C25)</f>
        <v>0</v>
      </c>
      <c r="D26" s="259">
        <f t="shared" si="3"/>
        <v>17</v>
      </c>
      <c r="E26" s="259">
        <f t="shared" si="3"/>
        <v>3</v>
      </c>
      <c r="F26" s="259">
        <f t="shared" si="3"/>
        <v>8</v>
      </c>
      <c r="G26" s="259">
        <f t="shared" si="3"/>
        <v>9</v>
      </c>
      <c r="H26" s="259">
        <f t="shared" si="3"/>
        <v>4</v>
      </c>
      <c r="I26" s="259">
        <f t="shared" si="3"/>
        <v>2</v>
      </c>
      <c r="J26" s="259">
        <f t="shared" si="3"/>
        <v>177</v>
      </c>
      <c r="K26" s="259">
        <f t="shared" si="3"/>
        <v>220</v>
      </c>
    </row>
    <row r="27" spans="1:11" s="180" customFormat="1" ht="12.75">
      <c r="A27" s="186">
        <v>20</v>
      </c>
      <c r="B27" s="254" t="s">
        <v>711</v>
      </c>
      <c r="C27" s="255">
        <v>1</v>
      </c>
      <c r="D27" s="255"/>
      <c r="E27" s="255"/>
      <c r="F27" s="255"/>
      <c r="G27" s="255"/>
      <c r="H27" s="255"/>
      <c r="I27" s="255"/>
      <c r="J27" s="255"/>
      <c r="K27" s="256">
        <f>+J27+I27+H27+G27+F27+E27+D27+C27</f>
        <v>1</v>
      </c>
    </row>
    <row r="28" spans="1:11" s="180" customFormat="1" ht="25.5">
      <c r="A28" s="186">
        <v>21</v>
      </c>
      <c r="B28" s="254" t="s">
        <v>712</v>
      </c>
      <c r="C28" s="255">
        <v>10</v>
      </c>
      <c r="D28" s="255"/>
      <c r="E28" s="255"/>
      <c r="F28" s="255"/>
      <c r="G28" s="255"/>
      <c r="H28" s="255"/>
      <c r="I28" s="255"/>
      <c r="J28" s="255"/>
      <c r="K28" s="256">
        <f>+J28+I28+H28+G28+F28+E28+D28+C28</f>
        <v>10</v>
      </c>
    </row>
    <row r="29" spans="1:11" s="180" customFormat="1" ht="25.5">
      <c r="A29" s="186">
        <v>22</v>
      </c>
      <c r="B29" s="254" t="s">
        <v>713</v>
      </c>
      <c r="C29" s="255">
        <v>1</v>
      </c>
      <c r="D29" s="255"/>
      <c r="E29" s="255"/>
      <c r="F29" s="255"/>
      <c r="G29" s="255"/>
      <c r="H29" s="255"/>
      <c r="I29" s="255"/>
      <c r="J29" s="255"/>
      <c r="K29" s="256">
        <f>+J29+I29+H29+G29+F29+E29+D29+C29</f>
        <v>1</v>
      </c>
    </row>
    <row r="30" spans="1:11" s="197" customFormat="1" ht="15" customHeight="1">
      <c r="A30" s="257">
        <v>23</v>
      </c>
      <c r="B30" s="258" t="s">
        <v>714</v>
      </c>
      <c r="C30" s="259">
        <f aca="true" t="shared" si="4" ref="C30:K30">SUM(C27:C29)</f>
        <v>12</v>
      </c>
      <c r="D30" s="259">
        <f t="shared" si="4"/>
        <v>0</v>
      </c>
      <c r="E30" s="259">
        <f t="shared" si="4"/>
        <v>0</v>
      </c>
      <c r="F30" s="259">
        <f t="shared" si="4"/>
        <v>0</v>
      </c>
      <c r="G30" s="259">
        <f t="shared" si="4"/>
        <v>0</v>
      </c>
      <c r="H30" s="259">
        <f t="shared" si="4"/>
        <v>0</v>
      </c>
      <c r="I30" s="259">
        <f t="shared" si="4"/>
        <v>0</v>
      </c>
      <c r="J30" s="259">
        <f t="shared" si="4"/>
        <v>0</v>
      </c>
      <c r="K30" s="259">
        <f t="shared" si="4"/>
        <v>12</v>
      </c>
    </row>
    <row r="31" spans="1:11" s="197" customFormat="1" ht="37.5" customHeight="1">
      <c r="A31" s="257">
        <v>24</v>
      </c>
      <c r="B31" s="258" t="s">
        <v>715</v>
      </c>
      <c r="C31" s="260">
        <f aca="true" t="shared" si="5" ref="C31:K31">+C30+C26+C22+C12</f>
        <v>12</v>
      </c>
      <c r="D31" s="260">
        <f t="shared" si="5"/>
        <v>55</v>
      </c>
      <c r="E31" s="260">
        <f t="shared" si="5"/>
        <v>57</v>
      </c>
      <c r="F31" s="260">
        <f t="shared" si="5"/>
        <v>107</v>
      </c>
      <c r="G31" s="260">
        <f t="shared" si="5"/>
        <v>108</v>
      </c>
      <c r="H31" s="260">
        <f t="shared" si="5"/>
        <v>10</v>
      </c>
      <c r="I31" s="260">
        <f t="shared" si="5"/>
        <v>11</v>
      </c>
      <c r="J31" s="260">
        <f t="shared" si="5"/>
        <v>231</v>
      </c>
      <c r="K31" s="260">
        <f t="shared" si="5"/>
        <v>569</v>
      </c>
    </row>
    <row r="32" spans="1:11" s="180" customFormat="1" ht="38.25">
      <c r="A32" s="186">
        <v>25</v>
      </c>
      <c r="B32" s="254" t="s">
        <v>716</v>
      </c>
      <c r="C32" s="255"/>
      <c r="D32" s="255"/>
      <c r="E32" s="255"/>
      <c r="F32" s="255"/>
      <c r="G32" s="255"/>
      <c r="H32" s="255"/>
      <c r="I32" s="255"/>
      <c r="J32" s="255"/>
      <c r="K32" s="256">
        <f>+J32+I32+H32+G32+F32+E32+D32+C32</f>
        <v>0</v>
      </c>
    </row>
    <row r="33" spans="1:11" s="180" customFormat="1" ht="51">
      <c r="A33" s="186">
        <v>26</v>
      </c>
      <c r="B33" s="254" t="s">
        <v>717</v>
      </c>
      <c r="C33" s="255"/>
      <c r="D33" s="255"/>
      <c r="E33" s="255"/>
      <c r="F33" s="255"/>
      <c r="G33" s="255"/>
      <c r="H33" s="255"/>
      <c r="I33" s="255"/>
      <c r="J33" s="255"/>
      <c r="K33" s="256">
        <f>+J33+I33+H33+G33+F33+E33+D33+C33</f>
        <v>0</v>
      </c>
    </row>
    <row r="34" spans="1:11" s="180" customFormat="1" ht="38.25">
      <c r="A34" s="186">
        <v>27</v>
      </c>
      <c r="B34" s="254" t="s">
        <v>718</v>
      </c>
      <c r="C34" s="255"/>
      <c r="D34" s="255"/>
      <c r="E34" s="255"/>
      <c r="F34" s="255"/>
      <c r="G34" s="255"/>
      <c r="H34" s="255"/>
      <c r="I34" s="255"/>
      <c r="J34" s="255"/>
      <c r="K34" s="256">
        <f>+J34+I34+H34+G34+F34+E34+D34+C34</f>
        <v>0</v>
      </c>
    </row>
    <row r="35" spans="1:11" s="180" customFormat="1" ht="12.75">
      <c r="A35" s="186">
        <v>28</v>
      </c>
      <c r="B35" s="254" t="s">
        <v>719</v>
      </c>
      <c r="C35" s="255"/>
      <c r="D35" s="255"/>
      <c r="E35" s="255"/>
      <c r="F35" s="255"/>
      <c r="G35" s="255"/>
      <c r="H35" s="255"/>
      <c r="I35" s="255"/>
      <c r="J35" s="255"/>
      <c r="K35" s="256">
        <f>+J35+I35+H35+G35+F35+E35+D35+C35</f>
        <v>0</v>
      </c>
    </row>
    <row r="36" spans="1:11" s="197" customFormat="1" ht="36.75" customHeight="1">
      <c r="A36" s="257">
        <v>29</v>
      </c>
      <c r="B36" s="258" t="s">
        <v>720</v>
      </c>
      <c r="C36" s="259">
        <f aca="true" t="shared" si="6" ref="C36:K36">SUM(C32:C35)</f>
        <v>0</v>
      </c>
      <c r="D36" s="259">
        <f t="shared" si="6"/>
        <v>0</v>
      </c>
      <c r="E36" s="259">
        <f t="shared" si="6"/>
        <v>0</v>
      </c>
      <c r="F36" s="259">
        <f t="shared" si="6"/>
        <v>0</v>
      </c>
      <c r="G36" s="259">
        <f t="shared" si="6"/>
        <v>0</v>
      </c>
      <c r="H36" s="259">
        <f t="shared" si="6"/>
        <v>0</v>
      </c>
      <c r="I36" s="259">
        <f t="shared" si="6"/>
        <v>0</v>
      </c>
      <c r="J36" s="259">
        <f t="shared" si="6"/>
        <v>0</v>
      </c>
      <c r="K36" s="259">
        <f t="shared" si="6"/>
        <v>0</v>
      </c>
    </row>
    <row r="37" spans="2:10" s="180" customFormat="1" ht="12.75" customHeight="1">
      <c r="B37" s="410"/>
      <c r="C37" s="410"/>
      <c r="D37" s="410"/>
      <c r="E37" s="410"/>
      <c r="F37" s="410"/>
      <c r="G37" s="410"/>
      <c r="H37" s="410"/>
      <c r="I37" s="410"/>
      <c r="J37" s="410"/>
    </row>
    <row r="38" spans="2:10" s="180" customFormat="1" ht="12.75" customHeight="1">
      <c r="B38" s="411"/>
      <c r="C38" s="411"/>
      <c r="D38" s="411"/>
      <c r="E38" s="411"/>
      <c r="F38" s="411"/>
      <c r="G38" s="411"/>
      <c r="H38" s="411"/>
      <c r="I38" s="411"/>
      <c r="J38" s="411"/>
    </row>
    <row r="39" spans="2:9" s="180" customFormat="1" ht="12.75">
      <c r="B39" s="261"/>
      <c r="G39" s="262"/>
      <c r="H39" s="262"/>
      <c r="I39" s="262"/>
    </row>
    <row r="40" s="180" customFormat="1" ht="12.75">
      <c r="B40" s="261"/>
    </row>
    <row r="41" s="180" customFormat="1" ht="12.75">
      <c r="B41" s="261"/>
    </row>
    <row r="42" s="180" customFormat="1" ht="12.75">
      <c r="B42" s="261"/>
    </row>
    <row r="43" s="180" customFormat="1" ht="12.75">
      <c r="B43" s="261"/>
    </row>
    <row r="44" s="180" customFormat="1" ht="12.75">
      <c r="B44" s="261"/>
    </row>
    <row r="45" s="180" customFormat="1" ht="12.75">
      <c r="B45" s="261"/>
    </row>
    <row r="46" s="180" customFormat="1" ht="12.75">
      <c r="B46" s="261"/>
    </row>
    <row r="47" s="180" customFormat="1" ht="12.75">
      <c r="B47" s="261"/>
    </row>
    <row r="48" s="180" customFormat="1" ht="12.75">
      <c r="B48" s="261"/>
    </row>
    <row r="49" s="180" customFormat="1" ht="12.75">
      <c r="B49" s="261"/>
    </row>
    <row r="50" s="180" customFormat="1" ht="12.75">
      <c r="B50" s="261"/>
    </row>
    <row r="51" s="180" customFormat="1" ht="12.75">
      <c r="B51" s="261"/>
    </row>
  </sheetData>
  <sheetProtection selectLockedCells="1" selectUnlockedCells="1"/>
  <mergeCells count="4">
    <mergeCell ref="B1:H1"/>
    <mergeCell ref="B2:G2"/>
    <mergeCell ref="B37:J37"/>
    <mergeCell ref="B38:J38"/>
  </mergeCells>
  <printOptions/>
  <pageMargins left="0.5902777777777778" right="0.4097222222222222" top="0.7097222222222223" bottom="0.55" header="0.5118055555555555" footer="0.31527777777777777"/>
  <pageSetup fitToHeight="1" fitToWidth="1" horizontalDpi="300" verticalDpi="300" orientation="landscape" paperSize="9" scale="60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3.140625" style="88" customWidth="1"/>
    <col min="2" max="2" width="76.28125" style="12" customWidth="1"/>
    <col min="3" max="3" width="9.140625" style="12" customWidth="1"/>
    <col min="4" max="4" width="15.421875" style="263" customWidth="1"/>
    <col min="5" max="16384" width="9.140625" style="12" customWidth="1"/>
  </cols>
  <sheetData>
    <row r="1" spans="1:4" ht="15.75">
      <c r="A1" s="264"/>
      <c r="D1" s="265" t="s">
        <v>721</v>
      </c>
    </row>
    <row r="2" spans="1:4" ht="15.75">
      <c r="A2" s="264"/>
      <c r="D2" s="14" t="s">
        <v>88</v>
      </c>
    </row>
    <row r="3" spans="1:4" ht="15.75">
      <c r="A3" s="264"/>
      <c r="D3" s="266"/>
    </row>
    <row r="4" spans="1:4" ht="28.5" customHeight="1">
      <c r="A4" s="264"/>
      <c r="B4" s="32" t="s">
        <v>89</v>
      </c>
      <c r="C4" s="34"/>
      <c r="D4" s="267"/>
    </row>
    <row r="5" spans="1:4" ht="18.75">
      <c r="A5" s="264"/>
      <c r="B5" s="32"/>
      <c r="C5" s="34"/>
      <c r="D5" s="267"/>
    </row>
    <row r="6" spans="1:4" ht="15.75" customHeight="1">
      <c r="A6" s="264"/>
      <c r="B6" s="91" t="s">
        <v>722</v>
      </c>
      <c r="C6" s="91"/>
      <c r="D6" s="268"/>
    </row>
    <row r="7" spans="1:4" ht="15.75">
      <c r="A7" s="264"/>
      <c r="B7" s="269"/>
      <c r="C7" s="270"/>
      <c r="D7" s="271"/>
    </row>
    <row r="8" ht="15.75">
      <c r="A8" s="264"/>
    </row>
    <row r="9" spans="1:4" s="20" customFormat="1" ht="31.5">
      <c r="A9" s="272"/>
      <c r="B9" s="167" t="s">
        <v>600</v>
      </c>
      <c r="C9" s="40" t="s">
        <v>119</v>
      </c>
      <c r="D9" s="273" t="s">
        <v>445</v>
      </c>
    </row>
    <row r="10" spans="2:4" ht="15.75">
      <c r="B10" s="51" t="s">
        <v>723</v>
      </c>
      <c r="C10" s="57" t="s">
        <v>141</v>
      </c>
      <c r="D10" s="274">
        <v>2706</v>
      </c>
    </row>
    <row r="11" spans="2:4" ht="15.75">
      <c r="B11" s="51" t="s">
        <v>724</v>
      </c>
      <c r="C11" s="57" t="s">
        <v>141</v>
      </c>
      <c r="D11" s="274">
        <v>29503</v>
      </c>
    </row>
    <row r="12" spans="2:4" ht="15.75">
      <c r="B12" s="275" t="s">
        <v>725</v>
      </c>
      <c r="C12" s="57" t="s">
        <v>141</v>
      </c>
      <c r="D12" s="276">
        <v>11600</v>
      </c>
    </row>
    <row r="13" spans="2:4" ht="15.75">
      <c r="B13" s="275" t="s">
        <v>726</v>
      </c>
      <c r="C13" s="57" t="s">
        <v>141</v>
      </c>
      <c r="D13" s="276">
        <v>700</v>
      </c>
    </row>
    <row r="14" spans="2:4" ht="15.75">
      <c r="B14" s="59" t="s">
        <v>727</v>
      </c>
      <c r="C14" s="57" t="s">
        <v>141</v>
      </c>
      <c r="D14" s="274">
        <v>10732</v>
      </c>
    </row>
    <row r="15" spans="2:4" ht="15.75">
      <c r="B15" s="51" t="s">
        <v>728</v>
      </c>
      <c r="C15" s="57" t="s">
        <v>141</v>
      </c>
      <c r="D15" s="274">
        <v>960</v>
      </c>
    </row>
    <row r="16" spans="2:4" ht="15.75">
      <c r="B16" s="59" t="s">
        <v>729</v>
      </c>
      <c r="C16" s="57" t="s">
        <v>141</v>
      </c>
      <c r="D16" s="274">
        <v>2832</v>
      </c>
    </row>
    <row r="17" spans="2:4" ht="15.75">
      <c r="B17" s="277" t="s">
        <v>730</v>
      </c>
      <c r="C17" s="75"/>
      <c r="D17" s="278"/>
    </row>
    <row r="18" spans="2:4" ht="15.75">
      <c r="B18" s="104" t="s">
        <v>731</v>
      </c>
      <c r="C18" s="57" t="s">
        <v>141</v>
      </c>
      <c r="D18" s="274">
        <v>17000</v>
      </c>
    </row>
    <row r="19" spans="2:4" ht="15.75">
      <c r="B19" s="104" t="s">
        <v>732</v>
      </c>
      <c r="C19" s="57" t="s">
        <v>141</v>
      </c>
      <c r="D19" s="274">
        <v>4000</v>
      </c>
    </row>
    <row r="20" spans="2:4" ht="15.75">
      <c r="B20" s="279" t="s">
        <v>733</v>
      </c>
      <c r="C20" s="21"/>
      <c r="D20" s="21"/>
    </row>
    <row r="21" spans="2:4" ht="15.75">
      <c r="B21" s="104" t="s">
        <v>734</v>
      </c>
      <c r="C21" s="57" t="s">
        <v>141</v>
      </c>
      <c r="D21" s="274">
        <v>16000</v>
      </c>
    </row>
    <row r="22" spans="2:4" ht="15.75">
      <c r="B22" s="104" t="s">
        <v>735</v>
      </c>
      <c r="C22" s="57" t="s">
        <v>141</v>
      </c>
      <c r="D22" s="274">
        <v>1500</v>
      </c>
    </row>
    <row r="23" spans="2:4" ht="15.75">
      <c r="B23" s="280" t="s">
        <v>736</v>
      </c>
      <c r="C23" s="57" t="s">
        <v>141</v>
      </c>
      <c r="D23" s="276">
        <v>3500</v>
      </c>
    </row>
    <row r="24" spans="2:4" ht="15.75">
      <c r="B24" s="24" t="s">
        <v>737</v>
      </c>
      <c r="C24" s="21"/>
      <c r="D24" s="23">
        <f>SUM(D18:D23)</f>
        <v>42000</v>
      </c>
    </row>
    <row r="25" spans="2:4" ht="15.75">
      <c r="B25" s="59" t="s">
        <v>738</v>
      </c>
      <c r="C25" s="57" t="s">
        <v>141</v>
      </c>
      <c r="D25" s="274">
        <v>3500</v>
      </c>
    </row>
    <row r="26" spans="2:4" ht="15.75">
      <c r="B26" s="59" t="s">
        <v>739</v>
      </c>
      <c r="C26" s="57" t="s">
        <v>141</v>
      </c>
      <c r="D26" s="274">
        <v>500</v>
      </c>
    </row>
    <row r="27" spans="1:4" s="100" customFormat="1" ht="15.75">
      <c r="A27" s="153"/>
      <c r="B27" s="281" t="s">
        <v>740</v>
      </c>
      <c r="C27" s="97" t="s">
        <v>141</v>
      </c>
      <c r="D27" s="282">
        <f>SUM(D10:D26)-D24</f>
        <v>105033</v>
      </c>
    </row>
    <row r="28" spans="2:4" ht="15.75">
      <c r="B28" s="283" t="s">
        <v>741</v>
      </c>
      <c r="D28" s="263">
        <v>3500</v>
      </c>
    </row>
    <row r="29" spans="1:4" ht="15.75">
      <c r="A29" s="153"/>
      <c r="B29" s="25" t="s">
        <v>742</v>
      </c>
      <c r="D29" s="284">
        <f>SUM(D27:D28)</f>
        <v>108533</v>
      </c>
    </row>
    <row r="30" ht="15.75">
      <c r="D30" s="263">
        <v>108533</v>
      </c>
    </row>
    <row r="31" ht="15.75">
      <c r="D31" s="263">
        <f>+D30-D27</f>
        <v>3500</v>
      </c>
    </row>
  </sheetData>
  <sheetProtection selectLockedCells="1" selectUnlockedCells="1"/>
  <printOptions/>
  <pageMargins left="0.6902777777777778" right="0.5298611111111111" top="0.7479166666666667" bottom="0.7486111111111111" header="0.5118055555555555" footer="0.31527777777777777"/>
  <pageSetup fitToHeight="1" fitToWidth="1" horizontalDpi="300" verticalDpi="300" orientation="portrait" paperSize="9" scale="88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3.140625" style="88" customWidth="1"/>
    <col min="2" max="2" width="75.57421875" style="12" customWidth="1"/>
    <col min="3" max="3" width="10.00390625" style="12" customWidth="1"/>
    <col min="4" max="4" width="10.421875" style="13" customWidth="1"/>
    <col min="5" max="5" width="13.57421875" style="13" customWidth="1"/>
    <col min="6" max="16384" width="9.140625" style="12" customWidth="1"/>
  </cols>
  <sheetData>
    <row r="1" ht="15.75">
      <c r="E1" s="30" t="s">
        <v>743</v>
      </c>
    </row>
    <row r="2" ht="15.75">
      <c r="E2" s="14" t="s">
        <v>88</v>
      </c>
    </row>
    <row r="3" ht="15.75">
      <c r="E3" s="163"/>
    </row>
    <row r="4" spans="2:6" ht="18.75">
      <c r="B4" s="32" t="s">
        <v>89</v>
      </c>
      <c r="C4" s="285"/>
      <c r="D4" s="285"/>
      <c r="E4" s="285"/>
      <c r="F4" s="285"/>
    </row>
    <row r="5" spans="2:6" ht="18.75">
      <c r="B5" s="32"/>
      <c r="C5"/>
      <c r="D5"/>
      <c r="E5"/>
      <c r="F5"/>
    </row>
    <row r="6" spans="2:5" ht="36" customHeight="1">
      <c r="B6" s="403" t="s">
        <v>744</v>
      </c>
      <c r="C6" s="403"/>
      <c r="D6" s="403"/>
      <c r="E6" s="403"/>
    </row>
    <row r="7" spans="1:4" ht="15.75">
      <c r="A7" s="88" t="s">
        <v>667</v>
      </c>
      <c r="B7" s="36"/>
      <c r="C7" s="37"/>
      <c r="D7" s="125"/>
    </row>
    <row r="8" spans="1:5" ht="15.75">
      <c r="A8" s="88" t="s">
        <v>745</v>
      </c>
      <c r="D8" s="412" t="s">
        <v>91</v>
      </c>
      <c r="E8" s="412"/>
    </row>
    <row r="9" spans="1:5" s="20" customFormat="1" ht="31.5">
      <c r="A9" s="286"/>
      <c r="B9" s="287" t="s">
        <v>746</v>
      </c>
      <c r="C9" s="40" t="s">
        <v>119</v>
      </c>
      <c r="D9" s="18" t="s">
        <v>93</v>
      </c>
      <c r="E9" s="18" t="s">
        <v>94</v>
      </c>
    </row>
    <row r="10" spans="1:5" s="120" customFormat="1" ht="15.75">
      <c r="A10" s="116" t="s">
        <v>747</v>
      </c>
      <c r="B10" s="288"/>
      <c r="C10" s="102" t="s">
        <v>224</v>
      </c>
      <c r="D10" s="22">
        <v>0</v>
      </c>
      <c r="E10" s="22"/>
    </row>
    <row r="11" spans="1:5" s="120" customFormat="1" ht="15.75">
      <c r="A11" s="116" t="s">
        <v>748</v>
      </c>
      <c r="B11" s="289"/>
      <c r="C11" s="102" t="s">
        <v>224</v>
      </c>
      <c r="D11" s="290">
        <v>0</v>
      </c>
      <c r="E11" s="22"/>
    </row>
    <row r="12" spans="1:5" s="120" customFormat="1" ht="15.75">
      <c r="A12" s="116" t="s">
        <v>749</v>
      </c>
      <c r="B12" s="291"/>
      <c r="C12" s="102" t="s">
        <v>224</v>
      </c>
      <c r="D12" s="290"/>
      <c r="E12" s="22"/>
    </row>
    <row r="13" spans="1:5" s="295" customFormat="1" ht="15.75">
      <c r="A13" s="292"/>
      <c r="B13" s="293" t="s">
        <v>750</v>
      </c>
      <c r="C13" s="294" t="s">
        <v>224</v>
      </c>
      <c r="D13" s="130">
        <f>SUM(D10:D12)</f>
        <v>0</v>
      </c>
      <c r="E13" s="130">
        <f>SUM(E10:E12)</f>
        <v>0</v>
      </c>
    </row>
    <row r="14" spans="2:5" ht="15.75">
      <c r="B14" s="135" t="s">
        <v>751</v>
      </c>
      <c r="C14" s="102" t="s">
        <v>224</v>
      </c>
      <c r="D14" s="22">
        <f>+D13</f>
        <v>0</v>
      </c>
      <c r="E14" s="22">
        <f>+E13</f>
        <v>0</v>
      </c>
    </row>
    <row r="15" spans="2:5" ht="15.75">
      <c r="B15" s="135" t="s">
        <v>752</v>
      </c>
      <c r="C15" s="102" t="s">
        <v>224</v>
      </c>
      <c r="D15" s="22"/>
      <c r="E15" s="22"/>
    </row>
    <row r="16" spans="1:5" s="295" customFormat="1" ht="20.25" customHeight="1">
      <c r="A16" s="292"/>
      <c r="B16" s="293" t="s">
        <v>225</v>
      </c>
      <c r="C16" s="294" t="s">
        <v>226</v>
      </c>
      <c r="D16" s="130"/>
      <c r="E16" s="130"/>
    </row>
    <row r="17" spans="1:5" s="296" customFormat="1" ht="15.75">
      <c r="A17" s="292"/>
      <c r="B17" s="101" t="s">
        <v>540</v>
      </c>
      <c r="C17" s="102" t="s">
        <v>228</v>
      </c>
      <c r="D17" s="103"/>
      <c r="E17" s="133"/>
    </row>
    <row r="18" spans="1:5" s="296" customFormat="1" ht="15.75">
      <c r="A18" s="88" t="s">
        <v>753</v>
      </c>
      <c r="B18" s="101" t="s">
        <v>754</v>
      </c>
      <c r="C18" s="102" t="s">
        <v>228</v>
      </c>
      <c r="D18" s="103">
        <v>88500</v>
      </c>
      <c r="E18" s="133"/>
    </row>
    <row r="19" spans="1:5" s="295" customFormat="1" ht="15.75">
      <c r="A19" s="292"/>
      <c r="B19" s="293" t="s">
        <v>755</v>
      </c>
      <c r="C19" s="294" t="s">
        <v>228</v>
      </c>
      <c r="D19" s="130">
        <f>SUM(D17:D18)</f>
        <v>88500</v>
      </c>
      <c r="E19" s="130"/>
    </row>
    <row r="20" spans="2:5" ht="15.75">
      <c r="B20" s="135" t="s">
        <v>751</v>
      </c>
      <c r="C20" s="102" t="s">
        <v>228</v>
      </c>
      <c r="D20" s="22">
        <f>+D19</f>
        <v>88500</v>
      </c>
      <c r="E20" s="22"/>
    </row>
    <row r="21" spans="2:5" ht="15.75">
      <c r="B21" s="135" t="s">
        <v>752</v>
      </c>
      <c r="C21" s="102" t="s">
        <v>228</v>
      </c>
      <c r="D21" s="22"/>
      <c r="E21" s="22"/>
    </row>
    <row r="22" spans="1:5" s="100" customFormat="1" ht="15.75">
      <c r="A22" s="88"/>
      <c r="B22" s="281" t="s">
        <v>229</v>
      </c>
      <c r="C22" s="96" t="s">
        <v>230</v>
      </c>
      <c r="D22" s="98">
        <f>+D19+D16+D13</f>
        <v>88500</v>
      </c>
      <c r="E22" s="98">
        <f>+E19+E16+E13</f>
        <v>0</v>
      </c>
    </row>
    <row r="23" spans="1:5" s="296" customFormat="1" ht="15.75">
      <c r="A23" s="292"/>
      <c r="B23" s="297" t="s">
        <v>756</v>
      </c>
      <c r="C23" s="298" t="s">
        <v>757</v>
      </c>
      <c r="D23" s="133"/>
      <c r="E23" s="133"/>
    </row>
    <row r="24" spans="2:5" ht="15.75">
      <c r="B24" s="135" t="s">
        <v>758</v>
      </c>
      <c r="C24" s="102" t="s">
        <v>757</v>
      </c>
      <c r="D24" s="22"/>
      <c r="E24" s="22"/>
    </row>
    <row r="25" spans="2:5" ht="15.75">
      <c r="B25" s="135" t="s">
        <v>759</v>
      </c>
      <c r="C25" s="102" t="s">
        <v>757</v>
      </c>
      <c r="D25" s="22"/>
      <c r="E25" s="22"/>
    </row>
    <row r="26" spans="1:5" s="295" customFormat="1" ht="15.75">
      <c r="A26" s="292"/>
      <c r="B26" s="299" t="s">
        <v>760</v>
      </c>
      <c r="C26" s="294" t="s">
        <v>761</v>
      </c>
      <c r="D26" s="130">
        <v>0</v>
      </c>
      <c r="E26" s="130">
        <v>0</v>
      </c>
    </row>
    <row r="27" spans="2:5" ht="15.75">
      <c r="B27" s="135" t="s">
        <v>752</v>
      </c>
      <c r="C27" s="102" t="s">
        <v>761</v>
      </c>
      <c r="D27" s="22"/>
      <c r="E27" s="22"/>
    </row>
    <row r="28" spans="1:5" s="295" customFormat="1" ht="15.75">
      <c r="A28" s="292"/>
      <c r="B28" s="300" t="s">
        <v>762</v>
      </c>
      <c r="C28" s="294" t="s">
        <v>763</v>
      </c>
      <c r="D28" s="130"/>
      <c r="E28" s="130"/>
    </row>
    <row r="29" spans="1:5" s="296" customFormat="1" ht="15.75">
      <c r="A29" s="292"/>
      <c r="B29" s="301"/>
      <c r="C29" s="102" t="s">
        <v>764</v>
      </c>
      <c r="D29" s="103"/>
      <c r="E29" s="103"/>
    </row>
    <row r="30" spans="1:5" s="295" customFormat="1" ht="31.5">
      <c r="A30" s="292"/>
      <c r="B30" s="300" t="s">
        <v>765</v>
      </c>
      <c r="C30" s="294" t="s">
        <v>764</v>
      </c>
      <c r="D30" s="130">
        <f>+D29</f>
        <v>0</v>
      </c>
      <c r="E30" s="130">
        <f>+E29</f>
        <v>0</v>
      </c>
    </row>
    <row r="31" spans="2:5" ht="15.75">
      <c r="B31" s="135" t="s">
        <v>759</v>
      </c>
      <c r="C31" s="102" t="s">
        <v>764</v>
      </c>
      <c r="D31" s="22"/>
      <c r="E31" s="22"/>
    </row>
    <row r="32" spans="2:5" ht="15.75">
      <c r="B32" s="135" t="s">
        <v>752</v>
      </c>
      <c r="C32" s="102" t="s">
        <v>764</v>
      </c>
      <c r="D32" s="22"/>
      <c r="E32" s="22"/>
    </row>
    <row r="33" spans="1:5" s="100" customFormat="1" ht="15.75">
      <c r="A33" s="88"/>
      <c r="B33" s="302" t="s">
        <v>231</v>
      </c>
      <c r="C33" s="96" t="s">
        <v>232</v>
      </c>
      <c r="D33" s="98">
        <f>+D30+D28+D26+D23</f>
        <v>0</v>
      </c>
      <c r="E33" s="98">
        <f>+E30+E28+E26+E23</f>
        <v>0</v>
      </c>
    </row>
    <row r="34" spans="2:5" ht="15.75">
      <c r="B34" s="303" t="s">
        <v>233</v>
      </c>
      <c r="C34" s="49" t="s">
        <v>234</v>
      </c>
      <c r="D34" s="22"/>
      <c r="E34" s="22"/>
    </row>
    <row r="35" spans="2:5" ht="15.75">
      <c r="B35" s="303" t="s">
        <v>235</v>
      </c>
      <c r="C35" s="49" t="s">
        <v>236</v>
      </c>
      <c r="D35" s="22"/>
      <c r="E35" s="22"/>
    </row>
    <row r="36" spans="2:5" ht="15.75">
      <c r="B36" s="303" t="s">
        <v>766</v>
      </c>
      <c r="C36" s="49" t="s">
        <v>240</v>
      </c>
      <c r="D36" s="22"/>
      <c r="E36" s="22"/>
    </row>
    <row r="37" spans="2:5" ht="15.75">
      <c r="B37" s="303" t="s">
        <v>241</v>
      </c>
      <c r="C37" s="49" t="s">
        <v>242</v>
      </c>
      <c r="D37" s="22"/>
      <c r="E37" s="22"/>
    </row>
    <row r="38" spans="2:5" ht="15.75">
      <c r="B38" s="303" t="s">
        <v>243</v>
      </c>
      <c r="C38" s="49" t="s">
        <v>244</v>
      </c>
      <c r="D38" s="22"/>
      <c r="E38" s="22"/>
    </row>
    <row r="39" spans="1:5" s="100" customFormat="1" ht="15.75">
      <c r="A39" s="88"/>
      <c r="B39" s="302" t="s">
        <v>247</v>
      </c>
      <c r="C39" s="96" t="s">
        <v>248</v>
      </c>
      <c r="D39" s="98">
        <f>SUM(D33:D38)+D22</f>
        <v>88500</v>
      </c>
      <c r="E39" s="98">
        <f>SUM(E33:E38)+E22</f>
        <v>0</v>
      </c>
    </row>
    <row r="40" spans="2:5" ht="15.75">
      <c r="B40" s="52" t="s">
        <v>767</v>
      </c>
      <c r="C40" s="46" t="s">
        <v>768</v>
      </c>
      <c r="D40" s="22"/>
      <c r="E40" s="22"/>
    </row>
    <row r="41" spans="2:5" ht="15.75">
      <c r="B41" s="51" t="s">
        <v>769</v>
      </c>
      <c r="C41" s="46" t="s">
        <v>770</v>
      </c>
      <c r="D41" s="22"/>
      <c r="E41" s="22"/>
    </row>
    <row r="42" spans="2:5" ht="15.75">
      <c r="B42" s="52" t="s">
        <v>771</v>
      </c>
      <c r="C42" s="46" t="s">
        <v>772</v>
      </c>
      <c r="D42" s="22"/>
      <c r="E42" s="22"/>
    </row>
    <row r="43" spans="2:5" ht="15.75">
      <c r="B43" s="135" t="s">
        <v>752</v>
      </c>
      <c r="C43" s="102" t="s">
        <v>772</v>
      </c>
      <c r="D43" s="22"/>
      <c r="E43" s="22"/>
    </row>
    <row r="44" spans="2:5" ht="15.75">
      <c r="B44" s="52" t="s">
        <v>773</v>
      </c>
      <c r="C44" s="46" t="s">
        <v>774</v>
      </c>
      <c r="D44" s="22"/>
      <c r="E44" s="22"/>
    </row>
    <row r="45" spans="2:5" ht="15.75">
      <c r="B45" s="135" t="s">
        <v>775</v>
      </c>
      <c r="C45" s="102" t="s">
        <v>774</v>
      </c>
      <c r="D45" s="22"/>
      <c r="E45" s="22"/>
    </row>
    <row r="46" spans="2:5" ht="15.75">
      <c r="B46" s="135" t="s">
        <v>776</v>
      </c>
      <c r="C46" s="102" t="s">
        <v>774</v>
      </c>
      <c r="D46" s="22"/>
      <c r="E46" s="22"/>
    </row>
    <row r="47" spans="2:5" ht="15.75">
      <c r="B47" s="135" t="s">
        <v>777</v>
      </c>
      <c r="C47" s="102" t="s">
        <v>774</v>
      </c>
      <c r="D47" s="22"/>
      <c r="E47" s="22"/>
    </row>
    <row r="48" spans="2:5" ht="15.75">
      <c r="B48" s="135" t="s">
        <v>752</v>
      </c>
      <c r="C48" s="102" t="s">
        <v>774</v>
      </c>
      <c r="D48" s="22"/>
      <c r="E48" s="22"/>
    </row>
    <row r="49" spans="1:5" s="100" customFormat="1" ht="15.75">
      <c r="A49" s="88"/>
      <c r="B49" s="302" t="s">
        <v>778</v>
      </c>
      <c r="C49" s="96" t="s">
        <v>250</v>
      </c>
      <c r="D49" s="98">
        <f>+D40+D41+D42+D44</f>
        <v>0</v>
      </c>
      <c r="E49" s="98">
        <f>+E40+E41+E42+E44</f>
        <v>0</v>
      </c>
    </row>
    <row r="50" ht="15.75">
      <c r="C50" s="283"/>
    </row>
    <row r="51" spans="4:5" ht="15.75">
      <c r="D51" s="412" t="s">
        <v>91</v>
      </c>
      <c r="E51" s="412"/>
    </row>
    <row r="52" spans="2:5" ht="31.5">
      <c r="B52" s="287" t="s">
        <v>779</v>
      </c>
      <c r="C52" s="40" t="s">
        <v>119</v>
      </c>
      <c r="D52" s="18" t="s">
        <v>93</v>
      </c>
      <c r="E52" s="18" t="s">
        <v>94</v>
      </c>
    </row>
    <row r="53" spans="1:5" ht="15.75">
      <c r="A53" s="88" t="s">
        <v>780</v>
      </c>
      <c r="B53" s="304"/>
      <c r="C53" s="102" t="s">
        <v>358</v>
      </c>
      <c r="D53" s="103">
        <v>0</v>
      </c>
      <c r="E53" s="103"/>
    </row>
    <row r="54" spans="1:5" ht="15.75">
      <c r="A54" s="88" t="s">
        <v>781</v>
      </c>
      <c r="B54" s="305"/>
      <c r="C54" s="102" t="s">
        <v>358</v>
      </c>
      <c r="D54" s="103"/>
      <c r="E54" s="103"/>
    </row>
    <row r="55" spans="1:5" s="295" customFormat="1" ht="15.75">
      <c r="A55" s="292"/>
      <c r="B55" s="299" t="s">
        <v>782</v>
      </c>
      <c r="C55" s="294" t="s">
        <v>358</v>
      </c>
      <c r="D55" s="130">
        <f>+D54+D53</f>
        <v>0</v>
      </c>
      <c r="E55" s="130">
        <f>+E54+E53</f>
        <v>0</v>
      </c>
    </row>
    <row r="56" spans="2:5" ht="15.75">
      <c r="B56" s="135" t="s">
        <v>751</v>
      </c>
      <c r="C56" s="102" t="s">
        <v>358</v>
      </c>
      <c r="D56" s="22">
        <f>+D55</f>
        <v>0</v>
      </c>
      <c r="E56" s="22">
        <f>+E55</f>
        <v>0</v>
      </c>
    </row>
    <row r="57" spans="2:5" ht="15.75">
      <c r="B57" s="135"/>
      <c r="C57" s="102" t="s">
        <v>360</v>
      </c>
      <c r="D57" s="22"/>
      <c r="E57" s="22"/>
    </row>
    <row r="58" spans="1:5" s="295" customFormat="1" ht="22.5" customHeight="1">
      <c r="A58" s="292"/>
      <c r="B58" s="293" t="s">
        <v>783</v>
      </c>
      <c r="C58" s="294" t="s">
        <v>360</v>
      </c>
      <c r="D58" s="130">
        <f>+D57</f>
        <v>0</v>
      </c>
      <c r="E58" s="130">
        <f>+E57</f>
        <v>0</v>
      </c>
    </row>
    <row r="59" spans="1:5" s="296" customFormat="1" ht="15.75">
      <c r="A59" s="88" t="s">
        <v>784</v>
      </c>
      <c r="B59" s="101" t="s">
        <v>785</v>
      </c>
      <c r="C59" s="102" t="s">
        <v>362</v>
      </c>
      <c r="D59" s="103">
        <v>88500</v>
      </c>
      <c r="E59" s="133"/>
    </row>
    <row r="60" spans="1:5" s="295" customFormat="1" ht="15.75">
      <c r="A60" s="292"/>
      <c r="B60" s="299" t="s">
        <v>786</v>
      </c>
      <c r="C60" s="294" t="s">
        <v>362</v>
      </c>
      <c r="D60" s="130">
        <f>+D59</f>
        <v>88500</v>
      </c>
      <c r="E60" s="130">
        <f>+E59</f>
        <v>0</v>
      </c>
    </row>
    <row r="61" spans="2:5" ht="15.75">
      <c r="B61" s="135" t="s">
        <v>751</v>
      </c>
      <c r="C61" s="102" t="s">
        <v>362</v>
      </c>
      <c r="D61" s="22">
        <f>+D60</f>
        <v>88500</v>
      </c>
      <c r="E61" s="22">
        <f>+E60</f>
        <v>0</v>
      </c>
    </row>
    <row r="62" spans="1:5" s="100" customFormat="1" ht="15.75">
      <c r="A62" s="88"/>
      <c r="B62" s="281" t="s">
        <v>787</v>
      </c>
      <c r="C62" s="96" t="s">
        <v>364</v>
      </c>
      <c r="D62" s="98">
        <f>+D55+D58+D60</f>
        <v>88500</v>
      </c>
      <c r="E62" s="98">
        <f>+E55+E58+E60</f>
        <v>0</v>
      </c>
    </row>
    <row r="63" spans="2:5" ht="15.75">
      <c r="B63" s="51" t="s">
        <v>788</v>
      </c>
      <c r="C63" s="46" t="s">
        <v>366</v>
      </c>
      <c r="D63" s="22"/>
      <c r="E63" s="22"/>
    </row>
    <row r="64" spans="2:5" ht="15.75">
      <c r="B64" s="135" t="s">
        <v>758</v>
      </c>
      <c r="C64" s="102" t="s">
        <v>366</v>
      </c>
      <c r="D64" s="22"/>
      <c r="E64" s="22"/>
    </row>
    <row r="65" spans="2:5" ht="15.75">
      <c r="B65" s="52" t="s">
        <v>789</v>
      </c>
      <c r="C65" s="46" t="s">
        <v>368</v>
      </c>
      <c r="D65" s="22"/>
      <c r="E65" s="22"/>
    </row>
    <row r="66" spans="2:5" ht="15.75">
      <c r="B66" s="59" t="s">
        <v>790</v>
      </c>
      <c r="C66" s="46" t="s">
        <v>370</v>
      </c>
      <c r="D66" s="22"/>
      <c r="E66" s="22"/>
    </row>
    <row r="67" spans="2:5" ht="15.75">
      <c r="B67" s="135" t="s">
        <v>759</v>
      </c>
      <c r="C67" s="102" t="s">
        <v>370</v>
      </c>
      <c r="D67" s="22"/>
      <c r="E67" s="22"/>
    </row>
    <row r="68" spans="2:5" ht="15.75">
      <c r="B68" s="52" t="s">
        <v>791</v>
      </c>
      <c r="C68" s="46" t="s">
        <v>372</v>
      </c>
      <c r="D68" s="22"/>
      <c r="E68" s="22"/>
    </row>
    <row r="69" spans="2:5" ht="15.75">
      <c r="B69" s="303" t="s">
        <v>658</v>
      </c>
      <c r="C69" s="49" t="s">
        <v>374</v>
      </c>
      <c r="D69" s="22"/>
      <c r="E69" s="22"/>
    </row>
    <row r="70" spans="2:5" ht="15.75">
      <c r="B70" s="303" t="s">
        <v>383</v>
      </c>
      <c r="C70" s="49" t="s">
        <v>384</v>
      </c>
      <c r="D70" s="22"/>
      <c r="E70" s="22"/>
    </row>
    <row r="71" spans="2:5" ht="15.75">
      <c r="B71" s="303" t="s">
        <v>385</v>
      </c>
      <c r="C71" s="49" t="s">
        <v>386</v>
      </c>
      <c r="D71" s="22"/>
      <c r="E71" s="22"/>
    </row>
    <row r="72" spans="2:5" ht="15.75">
      <c r="B72" s="303" t="s">
        <v>792</v>
      </c>
      <c r="C72" s="49" t="s">
        <v>390</v>
      </c>
      <c r="D72" s="22"/>
      <c r="E72" s="22"/>
    </row>
    <row r="73" spans="2:5" ht="15.75">
      <c r="B73" s="306" t="s">
        <v>793</v>
      </c>
      <c r="C73" s="49" t="s">
        <v>392</v>
      </c>
      <c r="D73" s="22"/>
      <c r="E73" s="22"/>
    </row>
    <row r="74" spans="2:5" ht="15.75">
      <c r="B74" s="135" t="s">
        <v>794</v>
      </c>
      <c r="C74" s="147" t="s">
        <v>392</v>
      </c>
      <c r="D74" s="22"/>
      <c r="E74" s="22"/>
    </row>
    <row r="75" spans="1:5" s="100" customFormat="1" ht="15.75">
      <c r="A75" s="88"/>
      <c r="B75" s="281" t="s">
        <v>395</v>
      </c>
      <c r="C75" s="96" t="s">
        <v>396</v>
      </c>
      <c r="D75" s="98">
        <f>+D62+D69+D70+D71+D72+D73</f>
        <v>88500</v>
      </c>
      <c r="E75" s="98">
        <f>+E62+E69+E70+E71+E72+E73</f>
        <v>0</v>
      </c>
    </row>
    <row r="76" spans="2:5" ht="15.75">
      <c r="B76" s="51" t="s">
        <v>795</v>
      </c>
      <c r="C76" s="46" t="s">
        <v>796</v>
      </c>
      <c r="D76" s="22"/>
      <c r="E76" s="22"/>
    </row>
    <row r="77" spans="2:5" ht="15.75">
      <c r="B77" s="59" t="s">
        <v>797</v>
      </c>
      <c r="C77" s="46" t="s">
        <v>798</v>
      </c>
      <c r="D77" s="22"/>
      <c r="E77" s="22"/>
    </row>
    <row r="78" spans="2:5" ht="15.75">
      <c r="B78" s="52" t="s">
        <v>799</v>
      </c>
      <c r="C78" s="46" t="s">
        <v>800</v>
      </c>
      <c r="D78" s="22"/>
      <c r="E78" s="22"/>
    </row>
    <row r="79" spans="2:5" ht="15.75">
      <c r="B79" s="52" t="s">
        <v>801</v>
      </c>
      <c r="C79" s="46" t="s">
        <v>802</v>
      </c>
      <c r="D79" s="22"/>
      <c r="E79" s="22"/>
    </row>
    <row r="80" spans="2:5" ht="15.75">
      <c r="B80" s="135" t="s">
        <v>775</v>
      </c>
      <c r="C80" s="102" t="s">
        <v>802</v>
      </c>
      <c r="D80" s="22"/>
      <c r="E80" s="22"/>
    </row>
    <row r="81" spans="2:5" ht="15.75">
      <c r="B81" s="135" t="s">
        <v>776</v>
      </c>
      <c r="C81" s="102" t="s">
        <v>802</v>
      </c>
      <c r="D81" s="22"/>
      <c r="E81" s="22"/>
    </row>
    <row r="82" spans="2:5" ht="15.75">
      <c r="B82" s="135" t="s">
        <v>777</v>
      </c>
      <c r="C82" s="102" t="s">
        <v>802</v>
      </c>
      <c r="D82" s="22"/>
      <c r="E82" s="22"/>
    </row>
    <row r="83" spans="1:5" s="100" customFormat="1" ht="15.75">
      <c r="A83" s="88"/>
      <c r="B83" s="302" t="s">
        <v>803</v>
      </c>
      <c r="C83" s="96" t="s">
        <v>398</v>
      </c>
      <c r="D83" s="98">
        <f>SUM(D76:D79)</f>
        <v>0</v>
      </c>
      <c r="E83" s="98">
        <f>SUM(E76:E79)</f>
        <v>0</v>
      </c>
    </row>
  </sheetData>
  <sheetProtection selectLockedCells="1" selectUnlockedCells="1"/>
  <mergeCells count="3">
    <mergeCell ref="B6:E6"/>
    <mergeCell ref="D8:E8"/>
    <mergeCell ref="D51:E51"/>
  </mergeCells>
  <printOptions horizontalCentered="1"/>
  <pageMargins left="0.7083333333333334" right="0.7083333333333334" top="0.42986111111111114" bottom="0.5805555555555555" header="0.5118055555555555" footer="0.31527777777777777"/>
  <pageSetup fitToHeight="1" fitToWidth="1" horizontalDpi="300" verticalDpi="300" orientation="portrait" paperSize="9" scale="56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26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55.28125" style="12" customWidth="1"/>
    <col min="2" max="2" width="14.00390625" style="12" customWidth="1"/>
    <col min="3" max="3" width="10.8515625" style="12" customWidth="1"/>
    <col min="4" max="4" width="14.140625" style="12" customWidth="1"/>
    <col min="5" max="7" width="9.140625" style="12" customWidth="1"/>
    <col min="8" max="8" width="11.421875" style="12" customWidth="1"/>
    <col min="9" max="9" width="13.8515625" style="12" customWidth="1"/>
    <col min="10" max="16384" width="9.140625" style="12" customWidth="1"/>
  </cols>
  <sheetData>
    <row r="1" ht="15.75">
      <c r="I1" s="30" t="s">
        <v>804</v>
      </c>
    </row>
    <row r="2" ht="15.75">
      <c r="I2" s="14" t="s">
        <v>88</v>
      </c>
    </row>
    <row r="3" spans="1:9" ht="30.75" customHeight="1">
      <c r="A3" s="400" t="s">
        <v>89</v>
      </c>
      <c r="B3" s="400"/>
      <c r="C3" s="34"/>
      <c r="D3" s="34"/>
      <c r="E3" s="34"/>
      <c r="F3" s="34"/>
      <c r="G3" s="34"/>
      <c r="H3" s="34"/>
      <c r="I3" s="34"/>
    </row>
    <row r="4" spans="1:9" ht="23.25" customHeight="1">
      <c r="A4" s="403" t="s">
        <v>805</v>
      </c>
      <c r="B4" s="403"/>
      <c r="C4" s="403"/>
      <c r="D4" s="403"/>
      <c r="E4" s="403"/>
      <c r="F4" s="403"/>
      <c r="G4" s="403"/>
      <c r="H4" s="403"/>
      <c r="I4" s="403"/>
    </row>
    <row r="7" spans="1:9" s="20" customFormat="1" ht="63">
      <c r="A7" s="307" t="s">
        <v>806</v>
      </c>
      <c r="B7" s="307" t="s">
        <v>807</v>
      </c>
      <c r="C7" s="307" t="s">
        <v>808</v>
      </c>
      <c r="D7" s="307" t="s">
        <v>809</v>
      </c>
      <c r="E7" s="307" t="s">
        <v>810</v>
      </c>
      <c r="F7" s="307" t="s">
        <v>811</v>
      </c>
      <c r="G7" s="307" t="s">
        <v>812</v>
      </c>
      <c r="H7" s="307" t="s">
        <v>813</v>
      </c>
      <c r="I7" s="307" t="s">
        <v>601</v>
      </c>
    </row>
    <row r="8" spans="1:9" ht="15.75">
      <c r="A8" s="21"/>
      <c r="B8" s="308"/>
      <c r="C8" s="290"/>
      <c r="D8" s="290"/>
      <c r="E8" s="290"/>
      <c r="F8" s="290"/>
      <c r="G8" s="290"/>
      <c r="H8" s="290"/>
      <c r="I8" s="290">
        <f>SUM(C8:H8)</f>
        <v>0</v>
      </c>
    </row>
    <row r="9" spans="1:9" ht="15.75">
      <c r="A9" s="21"/>
      <c r="B9" s="308"/>
      <c r="C9" s="290"/>
      <c r="D9" s="290"/>
      <c r="E9" s="290"/>
      <c r="F9" s="290"/>
      <c r="G9" s="290"/>
      <c r="H9" s="290"/>
      <c r="I9" s="290">
        <f aca="true" t="shared" si="0" ref="I9:I24">SUM(C9:H9)</f>
        <v>0</v>
      </c>
    </row>
    <row r="10" spans="1:9" ht="15.75">
      <c r="A10" s="309"/>
      <c r="B10" s="308"/>
      <c r="C10" s="290"/>
      <c r="D10" s="290"/>
      <c r="E10" s="290"/>
      <c r="F10" s="290"/>
      <c r="G10" s="290"/>
      <c r="H10" s="290"/>
      <c r="I10" s="290">
        <f t="shared" si="0"/>
        <v>0</v>
      </c>
    </row>
    <row r="11" spans="1:9" ht="15.75">
      <c r="A11" s="21"/>
      <c r="B11" s="308"/>
      <c r="C11" s="290"/>
      <c r="D11" s="290"/>
      <c r="E11" s="290"/>
      <c r="F11" s="290"/>
      <c r="G11" s="290"/>
      <c r="H11" s="290"/>
      <c r="I11" s="290">
        <f t="shared" si="0"/>
        <v>0</v>
      </c>
    </row>
    <row r="12" spans="1:9" s="100" customFormat="1" ht="15.75">
      <c r="A12" s="310" t="s">
        <v>814</v>
      </c>
      <c r="B12" s="310"/>
      <c r="C12" s="311">
        <f>SUM(C8:C11)</f>
        <v>0</v>
      </c>
      <c r="D12" s="311">
        <f aca="true" t="shared" si="1" ref="D12:I12">SUM(D8:D11)</f>
        <v>0</v>
      </c>
      <c r="E12" s="311">
        <f t="shared" si="1"/>
        <v>0</v>
      </c>
      <c r="F12" s="311">
        <f t="shared" si="1"/>
        <v>0</v>
      </c>
      <c r="G12" s="311">
        <f t="shared" si="1"/>
        <v>0</v>
      </c>
      <c r="H12" s="311">
        <f t="shared" si="1"/>
        <v>0</v>
      </c>
      <c r="I12" s="311">
        <f t="shared" si="1"/>
        <v>0</v>
      </c>
    </row>
    <row r="13" spans="1:9" ht="15.75">
      <c r="A13" s="308"/>
      <c r="B13" s="308"/>
      <c r="C13" s="290"/>
      <c r="D13" s="290"/>
      <c r="E13" s="290"/>
      <c r="F13" s="290"/>
      <c r="G13" s="290"/>
      <c r="H13" s="290"/>
      <c r="I13" s="290">
        <f t="shared" si="0"/>
        <v>0</v>
      </c>
    </row>
    <row r="14" spans="1:9" ht="15.75">
      <c r="A14" s="304"/>
      <c r="B14" s="308"/>
      <c r="C14" s="290"/>
      <c r="D14" s="290"/>
      <c r="E14" s="290"/>
      <c r="F14" s="290"/>
      <c r="G14" s="290"/>
      <c r="H14" s="290"/>
      <c r="I14" s="290"/>
    </row>
    <row r="15" spans="1:9" s="100" customFormat="1" ht="15.75">
      <c r="A15" s="310" t="s">
        <v>815</v>
      </c>
      <c r="B15" s="310"/>
      <c r="C15" s="311">
        <f aca="true" t="shared" si="2" ref="C15:I15">SUM(C14:C14)</f>
        <v>0</v>
      </c>
      <c r="D15" s="311">
        <f t="shared" si="2"/>
        <v>0</v>
      </c>
      <c r="E15" s="311">
        <f t="shared" si="2"/>
        <v>0</v>
      </c>
      <c r="F15" s="311">
        <f t="shared" si="2"/>
        <v>0</v>
      </c>
      <c r="G15" s="311">
        <f t="shared" si="2"/>
        <v>0</v>
      </c>
      <c r="H15" s="311">
        <f t="shared" si="2"/>
        <v>0</v>
      </c>
      <c r="I15" s="311">
        <f t="shared" si="2"/>
        <v>0</v>
      </c>
    </row>
    <row r="16" spans="1:9" ht="15.75">
      <c r="A16" s="308"/>
      <c r="B16" s="308"/>
      <c r="C16" s="290"/>
      <c r="D16" s="290"/>
      <c r="E16" s="290"/>
      <c r="F16" s="290"/>
      <c r="G16" s="290"/>
      <c r="H16" s="290"/>
      <c r="I16" s="290">
        <f t="shared" si="0"/>
        <v>0</v>
      </c>
    </row>
    <row r="17" spans="1:9" ht="15.75">
      <c r="A17" s="308"/>
      <c r="B17" s="308"/>
      <c r="C17" s="290"/>
      <c r="D17" s="290"/>
      <c r="E17" s="290"/>
      <c r="F17" s="290"/>
      <c r="G17" s="290"/>
      <c r="H17" s="290"/>
      <c r="I17" s="290">
        <f t="shared" si="0"/>
        <v>0</v>
      </c>
    </row>
    <row r="18" spans="1:9" ht="15.75">
      <c r="A18" s="308"/>
      <c r="B18" s="308"/>
      <c r="C18" s="290"/>
      <c r="D18" s="290"/>
      <c r="E18" s="290"/>
      <c r="F18" s="290"/>
      <c r="G18" s="290"/>
      <c r="H18" s="290"/>
      <c r="I18" s="290">
        <f t="shared" si="0"/>
        <v>0</v>
      </c>
    </row>
    <row r="19" spans="1:9" ht="15.75">
      <c r="A19" s="308"/>
      <c r="B19" s="308"/>
      <c r="C19" s="290"/>
      <c r="D19" s="290"/>
      <c r="E19" s="290"/>
      <c r="F19" s="290"/>
      <c r="G19" s="290"/>
      <c r="H19" s="290"/>
      <c r="I19" s="290">
        <f t="shared" si="0"/>
        <v>0</v>
      </c>
    </row>
    <row r="20" spans="1:9" s="100" customFormat="1" ht="15.75">
      <c r="A20" s="310" t="s">
        <v>816</v>
      </c>
      <c r="B20" s="310"/>
      <c r="C20" s="311">
        <f>SUM(C16:C19)</f>
        <v>0</v>
      </c>
      <c r="D20" s="311">
        <f aca="true" t="shared" si="3" ref="D20:I20">SUM(D16:D19)</f>
        <v>0</v>
      </c>
      <c r="E20" s="311">
        <f t="shared" si="3"/>
        <v>0</v>
      </c>
      <c r="F20" s="311">
        <f t="shared" si="3"/>
        <v>0</v>
      </c>
      <c r="G20" s="311">
        <f t="shared" si="3"/>
        <v>0</v>
      </c>
      <c r="H20" s="311">
        <f t="shared" si="3"/>
        <v>0</v>
      </c>
      <c r="I20" s="311">
        <f t="shared" si="3"/>
        <v>0</v>
      </c>
    </row>
    <row r="21" spans="1:9" ht="15.75">
      <c r="A21" s="308"/>
      <c r="B21" s="308"/>
      <c r="C21" s="290"/>
      <c r="D21" s="290"/>
      <c r="E21" s="290"/>
      <c r="F21" s="290"/>
      <c r="G21" s="290"/>
      <c r="H21" s="290"/>
      <c r="I21" s="290">
        <f t="shared" si="0"/>
        <v>0</v>
      </c>
    </row>
    <row r="22" spans="1:9" ht="15.75">
      <c r="A22" s="308"/>
      <c r="B22" s="308"/>
      <c r="C22" s="290"/>
      <c r="D22" s="290"/>
      <c r="E22" s="290"/>
      <c r="F22" s="290"/>
      <c r="G22" s="290"/>
      <c r="H22" s="290"/>
      <c r="I22" s="290">
        <f t="shared" si="0"/>
        <v>0</v>
      </c>
    </row>
    <row r="23" spans="1:9" ht="15.75">
      <c r="A23" s="304"/>
      <c r="B23" s="308"/>
      <c r="C23" s="290"/>
      <c r="D23" s="290"/>
      <c r="E23" s="290"/>
      <c r="F23" s="290"/>
      <c r="G23" s="290"/>
      <c r="H23" s="290"/>
      <c r="I23" s="290">
        <f t="shared" si="0"/>
        <v>0</v>
      </c>
    </row>
    <row r="24" spans="1:9" ht="15.75">
      <c r="A24" s="305"/>
      <c r="B24" s="308"/>
      <c r="C24" s="290"/>
      <c r="D24" s="290"/>
      <c r="E24" s="290"/>
      <c r="F24" s="290"/>
      <c r="G24" s="290"/>
      <c r="H24" s="290"/>
      <c r="I24" s="290">
        <f t="shared" si="0"/>
        <v>0</v>
      </c>
    </row>
    <row r="25" spans="1:9" s="100" customFormat="1" ht="15.75">
      <c r="A25" s="310" t="s">
        <v>817</v>
      </c>
      <c r="B25" s="310"/>
      <c r="C25" s="311">
        <f>SUM(C21:C24)</f>
        <v>0</v>
      </c>
      <c r="D25" s="311">
        <f aca="true" t="shared" si="4" ref="D25:I25">SUM(D21:D24)</f>
        <v>0</v>
      </c>
      <c r="E25" s="311">
        <f t="shared" si="4"/>
        <v>0</v>
      </c>
      <c r="F25" s="311">
        <f t="shared" si="4"/>
        <v>0</v>
      </c>
      <c r="G25" s="311">
        <f t="shared" si="4"/>
        <v>0</v>
      </c>
      <c r="H25" s="311">
        <f t="shared" si="4"/>
        <v>0</v>
      </c>
      <c r="I25" s="311">
        <f t="shared" si="4"/>
        <v>0</v>
      </c>
    </row>
    <row r="26" spans="1:9" s="100" customFormat="1" ht="15.75">
      <c r="A26" s="312" t="s">
        <v>818</v>
      </c>
      <c r="B26" s="313"/>
      <c r="C26" s="282">
        <f aca="true" t="shared" si="5" ref="C26:I26">+C25+C20+C15+C12</f>
        <v>0</v>
      </c>
      <c r="D26" s="282">
        <f t="shared" si="5"/>
        <v>0</v>
      </c>
      <c r="E26" s="282">
        <f t="shared" si="5"/>
        <v>0</v>
      </c>
      <c r="F26" s="282">
        <f t="shared" si="5"/>
        <v>0</v>
      </c>
      <c r="G26" s="282">
        <f t="shared" si="5"/>
        <v>0</v>
      </c>
      <c r="H26" s="282">
        <f t="shared" si="5"/>
        <v>0</v>
      </c>
      <c r="I26" s="282">
        <f t="shared" si="5"/>
        <v>0</v>
      </c>
    </row>
  </sheetData>
  <sheetProtection selectLockedCells="1" selectUnlockedCells="1"/>
  <mergeCells count="2">
    <mergeCell ref="A3:B3"/>
    <mergeCell ref="A4:I4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58.28125" style="12" customWidth="1"/>
    <col min="2" max="2" width="10.28125" style="13" customWidth="1"/>
    <col min="3" max="3" width="11.57421875" style="13" customWidth="1"/>
    <col min="4" max="4" width="12.421875" style="13" customWidth="1"/>
    <col min="5" max="16384" width="9.140625" style="12" customWidth="1"/>
  </cols>
  <sheetData>
    <row r="1" ht="15.75">
      <c r="D1" s="14" t="s">
        <v>87</v>
      </c>
    </row>
    <row r="2" ht="15.75">
      <c r="D2" s="14" t="s">
        <v>88</v>
      </c>
    </row>
    <row r="3" ht="15.75">
      <c r="D3" s="14"/>
    </row>
    <row r="4" ht="40.5">
      <c r="A4" s="15" t="s">
        <v>89</v>
      </c>
    </row>
    <row r="5" ht="20.25">
      <c r="A5" s="15"/>
    </row>
    <row r="6" ht="50.25" customHeight="1">
      <c r="A6" s="16" t="s">
        <v>90</v>
      </c>
    </row>
    <row r="7" ht="19.5">
      <c r="A7" s="16"/>
    </row>
    <row r="8" spans="2:4" ht="15.75">
      <c r="B8" s="402" t="s">
        <v>91</v>
      </c>
      <c r="C8" s="402"/>
      <c r="D8" s="402"/>
    </row>
    <row r="9" spans="1:4" s="20" customFormat="1" ht="47.25">
      <c r="A9" s="17" t="s">
        <v>92</v>
      </c>
      <c r="B9" s="18" t="s">
        <v>93</v>
      </c>
      <c r="C9" s="18" t="s">
        <v>94</v>
      </c>
      <c r="D9" s="19" t="s">
        <v>95</v>
      </c>
    </row>
    <row r="10" spans="1:7" ht="15.75">
      <c r="A10" s="21" t="s">
        <v>96</v>
      </c>
      <c r="B10" s="22">
        <f>+'2 Össz'!C9</f>
        <v>799740</v>
      </c>
      <c r="C10" s="22">
        <f>+'2 Össz'!D9</f>
        <v>263498</v>
      </c>
      <c r="D10" s="23">
        <f aca="true" t="shared" si="0" ref="D10:D17">SUM(B10:C10)</f>
        <v>1063238</v>
      </c>
      <c r="E10" s="13"/>
      <c r="F10" s="13"/>
      <c r="G10" s="13"/>
    </row>
    <row r="11" spans="1:7" ht="15.75">
      <c r="A11" s="21" t="s">
        <v>97</v>
      </c>
      <c r="B11" s="22">
        <f>+'2 Össz'!C10</f>
        <v>196662</v>
      </c>
      <c r="C11" s="22">
        <f>+'2 Össz'!D10</f>
        <v>56852</v>
      </c>
      <c r="D11" s="23">
        <f t="shared" si="0"/>
        <v>253514</v>
      </c>
      <c r="E11" s="13"/>
      <c r="F11" s="13"/>
      <c r="G11" s="13"/>
    </row>
    <row r="12" spans="1:7" ht="15.75">
      <c r="A12" s="21" t="s">
        <v>98</v>
      </c>
      <c r="B12" s="22">
        <f>+'2 Össz'!C16</f>
        <v>695972</v>
      </c>
      <c r="C12" s="22">
        <f>+'2 Össz'!D16</f>
        <v>311863.97</v>
      </c>
      <c r="D12" s="23">
        <f t="shared" si="0"/>
        <v>1007835.97</v>
      </c>
      <c r="E12" s="13"/>
      <c r="F12" s="13"/>
      <c r="G12" s="13"/>
    </row>
    <row r="13" spans="1:7" ht="15.75">
      <c r="A13" s="21" t="s">
        <v>99</v>
      </c>
      <c r="B13" s="22">
        <f>+'2 Össz'!C17</f>
        <v>105033</v>
      </c>
      <c r="C13" s="22">
        <f>+'2 Össz'!D17</f>
        <v>0</v>
      </c>
      <c r="D13" s="23">
        <f t="shared" si="0"/>
        <v>105033</v>
      </c>
      <c r="E13" s="13"/>
      <c r="F13" s="13"/>
      <c r="G13" s="13"/>
    </row>
    <row r="14" spans="1:7" ht="15.75">
      <c r="A14" s="21" t="s">
        <v>100</v>
      </c>
      <c r="B14" s="22">
        <f>+'2 Össz'!C32</f>
        <v>218859</v>
      </c>
      <c r="C14" s="22">
        <f>+'2 Össz'!D32</f>
        <v>30300</v>
      </c>
      <c r="D14" s="23">
        <f t="shared" si="0"/>
        <v>249159</v>
      </c>
      <c r="E14" s="13"/>
      <c r="F14" s="13"/>
      <c r="G14" s="13"/>
    </row>
    <row r="15" spans="1:7" ht="15.75">
      <c r="A15" s="21" t="s">
        <v>101</v>
      </c>
      <c r="B15" s="22">
        <f>+'2 Össz'!C41</f>
        <v>23801</v>
      </c>
      <c r="C15" s="22">
        <f>+'2 Össz'!D41</f>
        <v>62078</v>
      </c>
      <c r="D15" s="23">
        <f t="shared" si="0"/>
        <v>85879</v>
      </c>
      <c r="E15" s="13"/>
      <c r="F15" s="13"/>
      <c r="G15" s="13"/>
    </row>
    <row r="16" spans="1:7" ht="15.75">
      <c r="A16" s="21" t="s">
        <v>102</v>
      </c>
      <c r="B16" s="22">
        <f>+'2 Össz'!C46</f>
        <v>873815</v>
      </c>
      <c r="C16" s="22">
        <f>+'2 Össz'!D46</f>
        <v>699150</v>
      </c>
      <c r="D16" s="23">
        <f t="shared" si="0"/>
        <v>1572965</v>
      </c>
      <c r="E16" s="13"/>
      <c r="F16" s="13"/>
      <c r="G16" s="13"/>
    </row>
    <row r="17" spans="1:7" ht="15.75">
      <c r="A17" s="21" t="s">
        <v>103</v>
      </c>
      <c r="B17" s="22">
        <f>+'2 Össz'!C56</f>
        <v>59132</v>
      </c>
      <c r="C17" s="22">
        <f>+'2 Össz'!D56</f>
        <v>3000</v>
      </c>
      <c r="D17" s="23">
        <f t="shared" si="0"/>
        <v>62132</v>
      </c>
      <c r="E17" s="13"/>
      <c r="F17" s="13"/>
      <c r="G17" s="13"/>
    </row>
    <row r="18" spans="1:7" s="25" customFormat="1" ht="15.75">
      <c r="A18" s="24" t="s">
        <v>104</v>
      </c>
      <c r="B18" s="23">
        <f>SUM(B10:B17)</f>
        <v>2973014</v>
      </c>
      <c r="C18" s="23">
        <f>SUM(C10:C17)</f>
        <v>1426741.97</v>
      </c>
      <c r="D18" s="23">
        <f>SUM(D10:D17)</f>
        <v>4399755.97</v>
      </c>
      <c r="E18" s="13"/>
      <c r="F18" s="13"/>
      <c r="G18" s="13"/>
    </row>
    <row r="19" spans="1:7" s="25" customFormat="1" ht="15.75">
      <c r="A19" s="24" t="s">
        <v>105</v>
      </c>
      <c r="B19" s="23">
        <f>+'2 Össz'!C75</f>
        <v>88500</v>
      </c>
      <c r="C19" s="23">
        <f>+'2 Össz'!D75</f>
        <v>0</v>
      </c>
      <c r="D19" s="23">
        <f>SUM(B19:C19)</f>
        <v>88500</v>
      </c>
      <c r="E19" s="13"/>
      <c r="F19" s="13"/>
      <c r="G19" s="13"/>
    </row>
    <row r="20" spans="1:7" s="25" customFormat="1" ht="15.75">
      <c r="A20" s="26" t="s">
        <v>106</v>
      </c>
      <c r="B20" s="27">
        <f>+B19+B18</f>
        <v>3061514</v>
      </c>
      <c r="C20" s="27">
        <f>+C19+C18</f>
        <v>1426741.97</v>
      </c>
      <c r="D20" s="27">
        <f>+D19+D18</f>
        <v>4488255.97</v>
      </c>
      <c r="E20" s="13"/>
      <c r="F20" s="13"/>
      <c r="G20" s="13"/>
    </row>
    <row r="21" spans="1:7" ht="15.75">
      <c r="A21" s="21" t="s">
        <v>107</v>
      </c>
      <c r="B21" s="22">
        <f>+'2 Össz'!C92</f>
        <v>1225320</v>
      </c>
      <c r="C21" s="22">
        <f>+'2 Össz'!D92</f>
        <v>471417</v>
      </c>
      <c r="D21" s="23">
        <f aca="true" t="shared" si="1" ref="D21:D27">SUM(B21:C21)</f>
        <v>1696737</v>
      </c>
      <c r="E21" s="13"/>
      <c r="F21" s="13"/>
      <c r="G21" s="13"/>
    </row>
    <row r="22" spans="1:7" ht="15.75">
      <c r="A22" s="21" t="s">
        <v>108</v>
      </c>
      <c r="B22" s="22">
        <f>+'2 Össz'!C93</f>
        <v>899854</v>
      </c>
      <c r="C22" s="22">
        <f>+'2 Össz'!D93</f>
        <v>731252</v>
      </c>
      <c r="D22" s="23">
        <f t="shared" si="1"/>
        <v>1631106</v>
      </c>
      <c r="E22" s="13"/>
      <c r="F22" s="13"/>
      <c r="G22" s="13"/>
    </row>
    <row r="23" spans="1:7" ht="15.75">
      <c r="A23" s="21" t="s">
        <v>109</v>
      </c>
      <c r="B23" s="22">
        <f>+'2 Össz'!C100</f>
        <v>335673</v>
      </c>
      <c r="C23" s="22">
        <f>+'2 Össz'!D100</f>
        <v>22027</v>
      </c>
      <c r="D23" s="23">
        <f t="shared" si="1"/>
        <v>357700</v>
      </c>
      <c r="E23" s="13"/>
      <c r="F23" s="13"/>
      <c r="G23" s="13"/>
    </row>
    <row r="24" spans="1:7" ht="15.75">
      <c r="A24" s="21" t="s">
        <v>110</v>
      </c>
      <c r="B24" s="22">
        <f>+'2 Össz'!C112</f>
        <v>281519</v>
      </c>
      <c r="C24" s="22">
        <f>+'2 Össz'!D112</f>
        <v>157508</v>
      </c>
      <c r="D24" s="23">
        <f t="shared" si="1"/>
        <v>439027</v>
      </c>
      <c r="E24" s="13"/>
      <c r="F24" s="13"/>
      <c r="G24" s="13"/>
    </row>
    <row r="25" spans="1:7" ht="15.75">
      <c r="A25" s="21" t="s">
        <v>111</v>
      </c>
      <c r="B25" s="22">
        <f>+'2 Össz'!C118</f>
        <v>24632</v>
      </c>
      <c r="C25" s="22">
        <f>+'2 Össz'!D118</f>
        <v>32976</v>
      </c>
      <c r="D25" s="23">
        <f t="shared" si="1"/>
        <v>57608</v>
      </c>
      <c r="E25" s="13"/>
      <c r="F25" s="13"/>
      <c r="G25" s="13"/>
    </row>
    <row r="26" spans="1:7" ht="15.75">
      <c r="A26" s="21" t="s">
        <v>112</v>
      </c>
      <c r="B26" s="22">
        <f>+'2 Össz'!C119</f>
        <v>8301</v>
      </c>
      <c r="C26" s="22">
        <f>+'2 Össz'!D119</f>
        <v>8582</v>
      </c>
      <c r="D26" s="23">
        <f t="shared" si="1"/>
        <v>16883</v>
      </c>
      <c r="E26" s="13"/>
      <c r="F26" s="13"/>
      <c r="G26" s="13"/>
    </row>
    <row r="27" spans="1:7" ht="15.75">
      <c r="A27" s="21" t="s">
        <v>113</v>
      </c>
      <c r="B27" s="22">
        <f>+'2 Össz'!C125</f>
        <v>32262</v>
      </c>
      <c r="C27" s="22">
        <f>+'2 Össz'!D125</f>
        <v>0</v>
      </c>
      <c r="D27" s="23">
        <f t="shared" si="1"/>
        <v>32262</v>
      </c>
      <c r="E27" s="13"/>
      <c r="F27" s="13"/>
      <c r="G27" s="13"/>
    </row>
    <row r="28" spans="1:7" s="25" customFormat="1" ht="15.75">
      <c r="A28" s="24" t="s">
        <v>114</v>
      </c>
      <c r="B28" s="23">
        <f>SUM(B21:B27)</f>
        <v>2807561</v>
      </c>
      <c r="C28" s="23">
        <f>SUM(C21:C27)</f>
        <v>1423762</v>
      </c>
      <c r="D28" s="23">
        <f>SUM(D21:D27)</f>
        <v>4231323</v>
      </c>
      <c r="E28" s="13"/>
      <c r="F28" s="13"/>
      <c r="G28" s="13"/>
    </row>
    <row r="29" spans="1:7" s="25" customFormat="1" ht="15.75">
      <c r="A29" s="24" t="s">
        <v>115</v>
      </c>
      <c r="B29" s="23">
        <f>+'2 Össz'!C153</f>
        <v>253953</v>
      </c>
      <c r="C29" s="23">
        <f>+'2 Össz'!D153</f>
        <v>2980</v>
      </c>
      <c r="D29" s="23">
        <f>SUM(B29:C29)</f>
        <v>256933</v>
      </c>
      <c r="E29" s="13"/>
      <c r="F29" s="13"/>
      <c r="G29" s="13"/>
    </row>
    <row r="30" spans="1:7" s="25" customFormat="1" ht="15.75">
      <c r="A30" s="26" t="s">
        <v>116</v>
      </c>
      <c r="B30" s="27">
        <f>+B29+B28</f>
        <v>3061514</v>
      </c>
      <c r="C30" s="27">
        <f>+C29+C28</f>
        <v>1426742</v>
      </c>
      <c r="D30" s="27">
        <f>+D29+D28</f>
        <v>4488256</v>
      </c>
      <c r="E30" s="13"/>
      <c r="F30" s="13"/>
      <c r="G30" s="13"/>
    </row>
    <row r="33" spans="2:4" ht="15.75">
      <c r="B33" s="13">
        <f>+B30-B20</f>
        <v>0</v>
      </c>
      <c r="C33" s="13">
        <f>+C30-C20</f>
        <v>0.030000000027939677</v>
      </c>
      <c r="D33" s="13">
        <f>+D30-D20</f>
        <v>0.03000000026077032</v>
      </c>
    </row>
  </sheetData>
  <sheetProtection selectLockedCells="1" selectUnlockedCells="1"/>
  <mergeCells count="1">
    <mergeCell ref="B8:D8"/>
  </mergeCells>
  <printOptions/>
  <pageMargins left="0.7083333333333334" right="0.4097222222222222" top="0.7479166666666667" bottom="0.7486111111111111" header="0.5118055555555555" footer="0.31527777777777777"/>
  <pageSetup fitToHeight="1" fitToWidth="1" horizontalDpi="300" verticalDpi="300" orientation="portrait" paperSize="9" scale="98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G197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83.28125" style="12" customWidth="1"/>
    <col min="2" max="2" width="15.00390625" style="12" customWidth="1"/>
    <col min="3" max="5" width="9.140625" style="12" customWidth="1"/>
    <col min="6" max="6" width="38.8515625" style="12" customWidth="1"/>
    <col min="7" max="16384" width="9.140625" style="12" customWidth="1"/>
  </cols>
  <sheetData>
    <row r="1" ht="15.75">
      <c r="B1" s="30" t="s">
        <v>819</v>
      </c>
    </row>
    <row r="2" ht="15.75">
      <c r="B2" s="14" t="s">
        <v>88</v>
      </c>
    </row>
    <row r="4" spans="1:2" ht="12.75" customHeight="1">
      <c r="A4" s="400" t="s">
        <v>89</v>
      </c>
      <c r="B4" s="400"/>
    </row>
    <row r="5" spans="1:2" ht="18.75">
      <c r="A5" s="32"/>
      <c r="B5" s="90"/>
    </row>
    <row r="6" spans="1:7" ht="39.75" customHeight="1">
      <c r="A6" s="403" t="s">
        <v>820</v>
      </c>
      <c r="B6" s="403"/>
      <c r="C6" s="314"/>
      <c r="D6" s="314"/>
      <c r="E6" s="314"/>
      <c r="G6" s="314"/>
    </row>
    <row r="7" spans="1:7" ht="15.75">
      <c r="A7" s="36"/>
      <c r="B7" s="36"/>
      <c r="C7" s="314"/>
      <c r="D7" s="314"/>
      <c r="E7" s="314"/>
      <c r="G7" s="314"/>
    </row>
    <row r="9" spans="1:2" ht="15.75">
      <c r="A9" s="315" t="s">
        <v>523</v>
      </c>
      <c r="B9" s="316" t="s">
        <v>445</v>
      </c>
    </row>
    <row r="10" spans="1:2" ht="15.75">
      <c r="A10" s="317" t="s">
        <v>96</v>
      </c>
      <c r="B10" s="145"/>
    </row>
    <row r="11" spans="1:2" ht="15.75">
      <c r="A11" s="318" t="s">
        <v>97</v>
      </c>
      <c r="B11" s="145"/>
    </row>
    <row r="12" spans="1:2" ht="15.75">
      <c r="A12" s="317" t="s">
        <v>98</v>
      </c>
      <c r="B12" s="145"/>
    </row>
    <row r="13" spans="1:2" ht="15.75">
      <c r="A13" s="317" t="s">
        <v>99</v>
      </c>
      <c r="B13" s="145"/>
    </row>
    <row r="14" spans="1:2" ht="15.75">
      <c r="A14" s="317" t="s">
        <v>100</v>
      </c>
      <c r="B14" s="145"/>
    </row>
    <row r="15" spans="1:2" ht="15.75">
      <c r="A15" s="317" t="s">
        <v>101</v>
      </c>
      <c r="B15" s="145"/>
    </row>
    <row r="16" spans="1:2" ht="15.75">
      <c r="A16" s="317" t="s">
        <v>102</v>
      </c>
      <c r="B16" s="145">
        <v>164700</v>
      </c>
    </row>
    <row r="17" spans="1:2" ht="15.75">
      <c r="A17" s="317" t="s">
        <v>103</v>
      </c>
      <c r="B17" s="145"/>
    </row>
    <row r="18" spans="1:2" s="100" customFormat="1" ht="15.75">
      <c r="A18" s="316" t="s">
        <v>821</v>
      </c>
      <c r="B18" s="319">
        <f>SUM(B10:B17)</f>
        <v>164700</v>
      </c>
    </row>
    <row r="19" spans="1:2" ht="31.5">
      <c r="A19" s="59" t="s">
        <v>822</v>
      </c>
      <c r="B19" s="145"/>
    </row>
    <row r="20" spans="1:2" ht="31.5">
      <c r="A20" s="59" t="s">
        <v>823</v>
      </c>
      <c r="B20" s="145">
        <v>139995</v>
      </c>
    </row>
    <row r="21" spans="1:2" ht="15.75">
      <c r="A21" s="46" t="s">
        <v>824</v>
      </c>
      <c r="B21" s="145"/>
    </row>
    <row r="22" spans="1:2" ht="15.75">
      <c r="A22" s="46" t="s">
        <v>825</v>
      </c>
      <c r="B22" s="145"/>
    </row>
    <row r="23" spans="1:2" ht="15.75">
      <c r="A23" s="317" t="s">
        <v>826</v>
      </c>
      <c r="B23" s="145">
        <v>24705</v>
      </c>
    </row>
    <row r="24" spans="1:2" s="100" customFormat="1" ht="15.75">
      <c r="A24" s="50" t="s">
        <v>827</v>
      </c>
      <c r="B24" s="319">
        <f>SUM(B19:B23)</f>
        <v>164700</v>
      </c>
    </row>
    <row r="25" spans="1:2" ht="15.75">
      <c r="A25" s="306" t="s">
        <v>828</v>
      </c>
      <c r="B25" s="320"/>
    </row>
    <row r="26" spans="1:3" s="100" customFormat="1" ht="15.75">
      <c r="A26" s="316" t="s">
        <v>405</v>
      </c>
      <c r="B26" s="319">
        <f>+B25+B24</f>
        <v>164700</v>
      </c>
      <c r="C26" s="105"/>
    </row>
    <row r="27" spans="1:2" ht="15.75">
      <c r="A27" s="88"/>
      <c r="B27" s="88"/>
    </row>
    <row r="28" spans="1:2" ht="15.75">
      <c r="A28" s="321" t="s">
        <v>829</v>
      </c>
      <c r="B28" s="316" t="s">
        <v>445</v>
      </c>
    </row>
    <row r="29" spans="1:2" ht="15.75">
      <c r="A29" s="317" t="s">
        <v>96</v>
      </c>
      <c r="B29" s="145"/>
    </row>
    <row r="30" spans="1:2" ht="15.75">
      <c r="A30" s="318" t="s">
        <v>97</v>
      </c>
      <c r="B30" s="145"/>
    </row>
    <row r="31" spans="1:2" ht="15.75">
      <c r="A31" s="317" t="s">
        <v>98</v>
      </c>
      <c r="B31" s="145"/>
    </row>
    <row r="32" spans="1:2" ht="15.75">
      <c r="A32" s="317" t="s">
        <v>99</v>
      </c>
      <c r="B32" s="145"/>
    </row>
    <row r="33" spans="1:2" ht="15.75">
      <c r="A33" s="317" t="s">
        <v>100</v>
      </c>
      <c r="B33" s="145"/>
    </row>
    <row r="34" spans="1:2" ht="15.75">
      <c r="A34" s="317" t="s">
        <v>101</v>
      </c>
      <c r="B34" s="145">
        <v>115000</v>
      </c>
    </row>
    <row r="35" spans="1:2" ht="15.75">
      <c r="A35" s="317" t="s">
        <v>102</v>
      </c>
      <c r="B35" s="145">
        <v>150000</v>
      </c>
    </row>
    <row r="36" spans="1:2" ht="15.75">
      <c r="A36" s="317" t="s">
        <v>103</v>
      </c>
      <c r="B36" s="145"/>
    </row>
    <row r="37" spans="1:2" ht="15.75">
      <c r="A37" s="316" t="s">
        <v>821</v>
      </c>
      <c r="B37" s="319">
        <f>SUM(B29:B36)</f>
        <v>265000</v>
      </c>
    </row>
    <row r="38" spans="1:2" s="100" customFormat="1" ht="31.5">
      <c r="A38" s="59" t="s">
        <v>822</v>
      </c>
      <c r="B38" s="145"/>
    </row>
    <row r="39" spans="1:2" ht="31.5">
      <c r="A39" s="59" t="s">
        <v>823</v>
      </c>
      <c r="B39" s="145">
        <v>265000</v>
      </c>
    </row>
    <row r="40" spans="1:2" ht="15.75">
      <c r="A40" s="46" t="s">
        <v>824</v>
      </c>
      <c r="B40" s="145"/>
    </row>
    <row r="41" spans="1:2" ht="15.75">
      <c r="A41" s="46" t="s">
        <v>825</v>
      </c>
      <c r="B41" s="145"/>
    </row>
    <row r="42" spans="1:2" ht="15.75">
      <c r="A42" s="317" t="s">
        <v>826</v>
      </c>
      <c r="B42" s="145"/>
    </row>
    <row r="43" spans="1:2" ht="15.75">
      <c r="A43" s="50" t="s">
        <v>827</v>
      </c>
      <c r="B43" s="319">
        <f>SUM(B38:B42)</f>
        <v>265000</v>
      </c>
    </row>
    <row r="44" spans="1:2" s="100" customFormat="1" ht="15.75">
      <c r="A44" s="306" t="s">
        <v>828</v>
      </c>
      <c r="B44" s="320">
        <v>0</v>
      </c>
    </row>
    <row r="45" spans="1:2" ht="15.75">
      <c r="A45" s="316" t="s">
        <v>405</v>
      </c>
      <c r="B45" s="319">
        <f>+B44+B43</f>
        <v>265000</v>
      </c>
    </row>
    <row r="46" spans="1:2" s="100" customFormat="1" ht="15.75">
      <c r="A46" s="322"/>
      <c r="B46" s="323"/>
    </row>
    <row r="47" spans="1:2" ht="15.75">
      <c r="A47" s="321" t="s">
        <v>0</v>
      </c>
      <c r="B47" s="316" t="s">
        <v>445</v>
      </c>
    </row>
    <row r="48" spans="1:2" ht="15.75">
      <c r="A48" s="317" t="s">
        <v>96</v>
      </c>
      <c r="B48" s="145"/>
    </row>
    <row r="49" spans="1:2" ht="15.75">
      <c r="A49" s="318" t="s">
        <v>97</v>
      </c>
      <c r="B49" s="145"/>
    </row>
    <row r="50" spans="1:2" ht="15.75">
      <c r="A50" s="317" t="s">
        <v>98</v>
      </c>
      <c r="B50" s="145"/>
    </row>
    <row r="51" spans="1:2" ht="15.75">
      <c r="A51" s="317" t="s">
        <v>99</v>
      </c>
      <c r="B51" s="145"/>
    </row>
    <row r="52" spans="1:2" ht="15.75">
      <c r="A52" s="317" t="s">
        <v>100</v>
      </c>
      <c r="B52" s="145"/>
    </row>
    <row r="53" spans="1:2" ht="15.75">
      <c r="A53" s="317" t="s">
        <v>101</v>
      </c>
      <c r="B53" s="145">
        <v>77750</v>
      </c>
    </row>
    <row r="54" spans="1:2" ht="15.75">
      <c r="A54" s="317" t="s">
        <v>102</v>
      </c>
      <c r="B54" s="145"/>
    </row>
    <row r="55" spans="1:2" ht="15.75">
      <c r="A55" s="317" t="s">
        <v>103</v>
      </c>
      <c r="B55" s="145"/>
    </row>
    <row r="56" spans="1:2" ht="15.75">
      <c r="A56" s="316" t="s">
        <v>821</v>
      </c>
      <c r="B56" s="319">
        <f>SUM(B48:B55)</f>
        <v>77750</v>
      </c>
    </row>
    <row r="57" spans="1:2" ht="31.5">
      <c r="A57" s="59" t="s">
        <v>822</v>
      </c>
      <c r="B57" s="145"/>
    </row>
    <row r="58" spans="1:2" s="100" customFormat="1" ht="31.5">
      <c r="A58" s="59" t="s">
        <v>823</v>
      </c>
      <c r="B58" s="145">
        <v>60000</v>
      </c>
    </row>
    <row r="59" spans="1:2" ht="15.75">
      <c r="A59" s="46" t="s">
        <v>824</v>
      </c>
      <c r="B59" s="145"/>
    </row>
    <row r="60" spans="1:2" ht="15.75">
      <c r="A60" s="46" t="s">
        <v>825</v>
      </c>
      <c r="B60" s="145"/>
    </row>
    <row r="61" spans="1:2" ht="15.75">
      <c r="A61" s="317" t="s">
        <v>826</v>
      </c>
      <c r="B61" s="145">
        <v>17750</v>
      </c>
    </row>
    <row r="62" spans="1:2" ht="15.75">
      <c r="A62" s="50" t="s">
        <v>827</v>
      </c>
      <c r="B62" s="319">
        <f>SUM(B57:B61)</f>
        <v>77750</v>
      </c>
    </row>
    <row r="63" spans="1:2" ht="15.75">
      <c r="A63" s="306" t="s">
        <v>828</v>
      </c>
      <c r="B63" s="320">
        <v>0</v>
      </c>
    </row>
    <row r="64" spans="1:2" s="100" customFormat="1" ht="15.75">
      <c r="A64" s="316" t="s">
        <v>405</v>
      </c>
      <c r="B64" s="319">
        <f>+B63+B62</f>
        <v>77750</v>
      </c>
    </row>
    <row r="65" spans="1:2" ht="15.75">
      <c r="A65" s="322"/>
      <c r="B65" s="323"/>
    </row>
    <row r="66" spans="1:2" s="100" customFormat="1" ht="15.75">
      <c r="A66" s="321" t="s">
        <v>1</v>
      </c>
      <c r="B66" s="316" t="s">
        <v>445</v>
      </c>
    </row>
    <row r="67" spans="1:2" ht="15.75">
      <c r="A67" s="317" t="s">
        <v>96</v>
      </c>
      <c r="B67" s="145"/>
    </row>
    <row r="68" spans="1:2" ht="15.75">
      <c r="A68" s="318" t="s">
        <v>97</v>
      </c>
      <c r="B68" s="145"/>
    </row>
    <row r="69" spans="1:2" ht="15.75">
      <c r="A69" s="317" t="s">
        <v>98</v>
      </c>
      <c r="B69" s="145"/>
    </row>
    <row r="70" spans="1:2" ht="15.75">
      <c r="A70" s="317" t="s">
        <v>99</v>
      </c>
      <c r="B70" s="145"/>
    </row>
    <row r="71" spans="1:2" ht="15.75">
      <c r="A71" s="317" t="s">
        <v>100</v>
      </c>
      <c r="B71" s="145"/>
    </row>
    <row r="72" spans="1:2" ht="15.75">
      <c r="A72" s="317" t="s">
        <v>101</v>
      </c>
      <c r="B72" s="145">
        <v>311150</v>
      </c>
    </row>
    <row r="73" spans="1:2" ht="15.75">
      <c r="A73" s="317" t="s">
        <v>102</v>
      </c>
      <c r="B73" s="145">
        <v>85000</v>
      </c>
    </row>
    <row r="74" spans="1:2" ht="15.75">
      <c r="A74" s="317" t="s">
        <v>103</v>
      </c>
      <c r="B74" s="145"/>
    </row>
    <row r="75" spans="1:2" ht="15.75">
      <c r="A75" s="316" t="s">
        <v>821</v>
      </c>
      <c r="B75" s="319">
        <f>SUM(B67:B74)</f>
        <v>396150</v>
      </c>
    </row>
    <row r="76" spans="1:2" ht="31.5">
      <c r="A76" s="59" t="s">
        <v>822</v>
      </c>
      <c r="B76" s="145"/>
    </row>
    <row r="77" spans="1:2" ht="31.5">
      <c r="A77" s="59" t="s">
        <v>823</v>
      </c>
      <c r="B77" s="145">
        <v>297113</v>
      </c>
    </row>
    <row r="78" spans="1:2" s="100" customFormat="1" ht="15.75">
      <c r="A78" s="46" t="s">
        <v>824</v>
      </c>
      <c r="B78" s="145"/>
    </row>
    <row r="79" spans="1:2" ht="15.75">
      <c r="A79" s="46" t="s">
        <v>825</v>
      </c>
      <c r="B79" s="145"/>
    </row>
    <row r="80" spans="1:2" ht="15.75">
      <c r="A80" s="317" t="s">
        <v>826</v>
      </c>
      <c r="B80" s="145">
        <v>99037</v>
      </c>
    </row>
    <row r="81" spans="1:2" ht="15.75">
      <c r="A81" s="50" t="s">
        <v>827</v>
      </c>
      <c r="B81" s="319">
        <f>SUM(B76:B80)</f>
        <v>396150</v>
      </c>
    </row>
    <row r="82" spans="1:2" ht="15.75">
      <c r="A82" s="306" t="s">
        <v>828</v>
      </c>
      <c r="B82" s="320">
        <v>0</v>
      </c>
    </row>
    <row r="83" spans="1:2" ht="15.75">
      <c r="A83" s="316" t="s">
        <v>405</v>
      </c>
      <c r="B83" s="319">
        <f>+B82+B81</f>
        <v>396150</v>
      </c>
    </row>
    <row r="84" spans="1:2" s="100" customFormat="1" ht="15.75">
      <c r="A84" s="322"/>
      <c r="B84" s="323"/>
    </row>
    <row r="85" spans="1:2" s="100" customFormat="1" ht="15.75">
      <c r="A85" s="321" t="s">
        <v>521</v>
      </c>
      <c r="B85" s="316" t="s">
        <v>445</v>
      </c>
    </row>
    <row r="86" spans="1:2" ht="15.75">
      <c r="A86" s="317" t="s">
        <v>96</v>
      </c>
      <c r="B86" s="145"/>
    </row>
    <row r="87" spans="1:2" ht="15.75">
      <c r="A87" s="318" t="s">
        <v>97</v>
      </c>
      <c r="B87" s="145"/>
    </row>
    <row r="88" spans="1:2" ht="15.75">
      <c r="A88" s="317" t="s">
        <v>98</v>
      </c>
      <c r="B88" s="145"/>
    </row>
    <row r="89" spans="1:2" ht="15.75">
      <c r="A89" s="317" t="s">
        <v>99</v>
      </c>
      <c r="B89" s="145"/>
    </row>
    <row r="90" spans="1:2" ht="15.75">
      <c r="A90" s="317" t="s">
        <v>100</v>
      </c>
      <c r="B90" s="145"/>
    </row>
    <row r="91" spans="1:2" ht="15.75">
      <c r="A91" s="317" t="s">
        <v>101</v>
      </c>
      <c r="B91" s="145"/>
    </row>
    <row r="92" spans="1:2" ht="15.75">
      <c r="A92" s="317" t="s">
        <v>102</v>
      </c>
      <c r="B92" s="145">
        <v>37680</v>
      </c>
    </row>
    <row r="93" spans="1:2" ht="15.75">
      <c r="A93" s="317" t="s">
        <v>103</v>
      </c>
      <c r="B93" s="145"/>
    </row>
    <row r="94" spans="1:2" ht="15.75">
      <c r="A94" s="316" t="s">
        <v>821</v>
      </c>
      <c r="B94" s="319">
        <f>SUM(B86:B93)</f>
        <v>37680</v>
      </c>
    </row>
    <row r="95" spans="1:2" ht="31.5">
      <c r="A95" s="59" t="s">
        <v>822</v>
      </c>
      <c r="B95" s="145"/>
    </row>
    <row r="96" spans="1:2" ht="31.5">
      <c r="A96" s="59" t="s">
        <v>823</v>
      </c>
      <c r="B96" s="145">
        <v>37680</v>
      </c>
    </row>
    <row r="97" spans="1:2" ht="15.75">
      <c r="A97" s="46" t="s">
        <v>824</v>
      </c>
      <c r="B97" s="145"/>
    </row>
    <row r="98" spans="1:2" ht="15.75">
      <c r="A98" s="46" t="s">
        <v>825</v>
      </c>
      <c r="B98" s="145"/>
    </row>
    <row r="99" spans="1:2" ht="15.75">
      <c r="A99" s="317" t="s">
        <v>826</v>
      </c>
      <c r="B99" s="145"/>
    </row>
    <row r="100" spans="1:2" ht="15.75">
      <c r="A100" s="50" t="s">
        <v>827</v>
      </c>
      <c r="B100" s="319">
        <f>SUM(B95:B99)</f>
        <v>37680</v>
      </c>
    </row>
    <row r="101" spans="1:2" ht="15.75">
      <c r="A101" s="306" t="s">
        <v>828</v>
      </c>
      <c r="B101" s="320">
        <v>0</v>
      </c>
    </row>
    <row r="102" spans="1:2" ht="15.75">
      <c r="A102" s="316" t="s">
        <v>405</v>
      </c>
      <c r="B102" s="319">
        <f>+B101+B100</f>
        <v>37680</v>
      </c>
    </row>
    <row r="103" spans="1:2" ht="15.75">
      <c r="A103" s="88"/>
      <c r="B103" s="88"/>
    </row>
    <row r="104" spans="1:2" ht="15.75">
      <c r="A104" s="321" t="s">
        <v>2</v>
      </c>
      <c r="B104" s="316" t="s">
        <v>445</v>
      </c>
    </row>
    <row r="105" spans="1:2" ht="15.75">
      <c r="A105" s="317" t="s">
        <v>96</v>
      </c>
      <c r="B105" s="145"/>
    </row>
    <row r="106" spans="1:2" ht="15.75">
      <c r="A106" s="318" t="s">
        <v>97</v>
      </c>
      <c r="B106" s="145"/>
    </row>
    <row r="107" spans="1:2" ht="15.75">
      <c r="A107" s="317" t="s">
        <v>98</v>
      </c>
      <c r="B107" s="145"/>
    </row>
    <row r="108" spans="1:2" ht="15.75">
      <c r="A108" s="317" t="s">
        <v>99</v>
      </c>
      <c r="B108" s="145"/>
    </row>
    <row r="109" spans="1:2" ht="15.75">
      <c r="A109" s="317" t="s">
        <v>100</v>
      </c>
      <c r="B109" s="145"/>
    </row>
    <row r="110" spans="1:2" ht="15.75">
      <c r="A110" s="317" t="s">
        <v>101</v>
      </c>
      <c r="B110" s="145">
        <v>49143</v>
      </c>
    </row>
    <row r="111" spans="1:2" ht="15.75">
      <c r="A111" s="317" t="s">
        <v>102</v>
      </c>
      <c r="B111" s="145"/>
    </row>
    <row r="112" spans="1:2" ht="15.75">
      <c r="A112" s="317" t="s">
        <v>103</v>
      </c>
      <c r="B112" s="145"/>
    </row>
    <row r="113" spans="1:2" ht="15.75">
      <c r="A113" s="316" t="s">
        <v>821</v>
      </c>
      <c r="B113" s="319">
        <f>SUM(B105:B112)</f>
        <v>49143</v>
      </c>
    </row>
    <row r="114" spans="1:2" ht="31.5">
      <c r="A114" s="59" t="s">
        <v>822</v>
      </c>
      <c r="B114" s="145"/>
    </row>
    <row r="115" spans="1:2" ht="31.5">
      <c r="A115" s="59" t="s">
        <v>823</v>
      </c>
      <c r="B115" s="145">
        <v>35102</v>
      </c>
    </row>
    <row r="116" spans="1:2" ht="15.75">
      <c r="A116" s="46" t="s">
        <v>824</v>
      </c>
      <c r="B116" s="145"/>
    </row>
    <row r="117" spans="1:2" ht="15.75">
      <c r="A117" s="46" t="s">
        <v>825</v>
      </c>
      <c r="B117" s="145"/>
    </row>
    <row r="118" spans="1:2" ht="15.75">
      <c r="A118" s="317" t="s">
        <v>826</v>
      </c>
      <c r="B118" s="145">
        <v>14041</v>
      </c>
    </row>
    <row r="119" spans="1:2" ht="15.75">
      <c r="A119" s="50" t="s">
        <v>827</v>
      </c>
      <c r="B119" s="319">
        <f>SUM(B114:B118)</f>
        <v>49143</v>
      </c>
    </row>
    <row r="120" spans="1:2" ht="15.75">
      <c r="A120" s="306" t="s">
        <v>828</v>
      </c>
      <c r="B120" s="320">
        <v>0</v>
      </c>
    </row>
    <row r="121" spans="1:2" ht="15.75">
      <c r="A121" s="316" t="s">
        <v>405</v>
      </c>
      <c r="B121" s="319">
        <f>+B120+B119</f>
        <v>49143</v>
      </c>
    </row>
    <row r="122" spans="1:2" ht="15.75">
      <c r="A122" s="88"/>
      <c r="B122" s="88"/>
    </row>
    <row r="123" spans="1:2" ht="15.75">
      <c r="A123" s="321" t="s">
        <v>3</v>
      </c>
      <c r="B123" s="316" t="s">
        <v>445</v>
      </c>
    </row>
    <row r="124" spans="1:2" ht="15.75">
      <c r="A124" s="317" t="s">
        <v>96</v>
      </c>
      <c r="B124" s="145"/>
    </row>
    <row r="125" spans="1:2" ht="15.75">
      <c r="A125" s="318" t="s">
        <v>97</v>
      </c>
      <c r="B125" s="145"/>
    </row>
    <row r="126" spans="1:2" ht="15.75">
      <c r="A126" s="324" t="s">
        <v>98</v>
      </c>
      <c r="B126" s="145"/>
    </row>
    <row r="127" spans="1:2" ht="15.75">
      <c r="A127" s="317" t="s">
        <v>99</v>
      </c>
      <c r="B127" s="145"/>
    </row>
    <row r="128" spans="1:2" ht="15.75">
      <c r="A128" s="317" t="s">
        <v>100</v>
      </c>
      <c r="B128" s="145"/>
    </row>
    <row r="129" spans="1:2" ht="15.75">
      <c r="A129" s="317" t="s">
        <v>101</v>
      </c>
      <c r="B129" s="145"/>
    </row>
    <row r="130" spans="1:2" ht="15.75">
      <c r="A130" s="317" t="s">
        <v>102</v>
      </c>
      <c r="B130" s="145">
        <v>131074</v>
      </c>
    </row>
    <row r="131" spans="1:2" ht="15.75">
      <c r="A131" s="317" t="s">
        <v>103</v>
      </c>
      <c r="B131" s="145"/>
    </row>
    <row r="132" spans="1:2" ht="15.75">
      <c r="A132" s="316" t="s">
        <v>821</v>
      </c>
      <c r="B132" s="319">
        <f>SUM(B124:B131)</f>
        <v>131074</v>
      </c>
    </row>
    <row r="133" spans="1:2" ht="31.5">
      <c r="A133" s="59" t="s">
        <v>822</v>
      </c>
      <c r="B133" s="145"/>
    </row>
    <row r="134" spans="1:2" ht="31.5">
      <c r="A134" s="59" t="s">
        <v>823</v>
      </c>
      <c r="B134" s="145">
        <v>131074</v>
      </c>
    </row>
    <row r="135" spans="1:2" ht="15.75">
      <c r="A135" s="46" t="s">
        <v>824</v>
      </c>
      <c r="B135" s="145"/>
    </row>
    <row r="136" spans="1:2" ht="15.75">
      <c r="A136" s="46" t="s">
        <v>825</v>
      </c>
      <c r="B136" s="145"/>
    </row>
    <row r="137" spans="1:2" ht="15.75">
      <c r="A137" s="317" t="s">
        <v>826</v>
      </c>
      <c r="B137" s="145"/>
    </row>
    <row r="138" spans="1:2" ht="15.75">
      <c r="A138" s="50" t="s">
        <v>827</v>
      </c>
      <c r="B138" s="319">
        <f>SUM(B133:B137)</f>
        <v>131074</v>
      </c>
    </row>
    <row r="139" spans="1:2" ht="15.75">
      <c r="A139" s="306" t="s">
        <v>828</v>
      </c>
      <c r="B139" s="320">
        <v>0</v>
      </c>
    </row>
    <row r="140" spans="1:2" ht="15.75">
      <c r="A140" s="316" t="s">
        <v>405</v>
      </c>
      <c r="B140" s="319">
        <f>+B139+B138</f>
        <v>131074</v>
      </c>
    </row>
    <row r="141" spans="1:2" ht="15.75">
      <c r="A141" s="88"/>
      <c r="B141" s="88"/>
    </row>
    <row r="142" spans="1:2" ht="15.75">
      <c r="A142" s="321" t="s">
        <v>4</v>
      </c>
      <c r="B142" s="316" t="s">
        <v>445</v>
      </c>
    </row>
    <row r="143" spans="1:2" ht="15.75">
      <c r="A143" s="317" t="s">
        <v>96</v>
      </c>
      <c r="B143" s="145"/>
    </row>
    <row r="144" spans="1:2" ht="15.75">
      <c r="A144" s="318" t="s">
        <v>97</v>
      </c>
      <c r="B144" s="145"/>
    </row>
    <row r="145" spans="1:2" ht="15.75">
      <c r="A145" s="317" t="s">
        <v>98</v>
      </c>
      <c r="B145" s="145"/>
    </row>
    <row r="146" spans="1:2" ht="15.75">
      <c r="A146" s="317" t="s">
        <v>99</v>
      </c>
      <c r="B146" s="145"/>
    </row>
    <row r="147" spans="1:2" ht="15.75">
      <c r="A147" s="317" t="s">
        <v>100</v>
      </c>
      <c r="B147" s="145"/>
    </row>
    <row r="148" spans="1:2" ht="15.75">
      <c r="A148" s="317" t="s">
        <v>101</v>
      </c>
      <c r="B148" s="145">
        <v>112395</v>
      </c>
    </row>
    <row r="149" spans="1:2" ht="15.75">
      <c r="A149" s="317" t="s">
        <v>102</v>
      </c>
      <c r="B149" s="145"/>
    </row>
    <row r="150" spans="1:2" ht="15.75">
      <c r="A150" s="317" t="s">
        <v>103</v>
      </c>
      <c r="B150" s="145"/>
    </row>
    <row r="151" spans="1:2" ht="15.75">
      <c r="A151" s="316" t="s">
        <v>821</v>
      </c>
      <c r="B151" s="319">
        <f>SUM(B143:B150)</f>
        <v>112395</v>
      </c>
    </row>
    <row r="152" spans="1:2" ht="31.5">
      <c r="A152" s="59" t="s">
        <v>822</v>
      </c>
      <c r="B152" s="145"/>
    </row>
    <row r="153" spans="1:2" ht="31.5">
      <c r="A153" s="59" t="s">
        <v>823</v>
      </c>
      <c r="B153" s="145">
        <v>84296</v>
      </c>
    </row>
    <row r="154" spans="1:2" ht="15.75">
      <c r="A154" s="46" t="s">
        <v>824</v>
      </c>
      <c r="B154" s="145"/>
    </row>
    <row r="155" spans="1:2" ht="15.75">
      <c r="A155" s="46" t="s">
        <v>825</v>
      </c>
      <c r="B155" s="145"/>
    </row>
    <row r="156" spans="1:2" ht="15.75">
      <c r="A156" s="317" t="s">
        <v>826</v>
      </c>
      <c r="B156" s="145">
        <v>28099</v>
      </c>
    </row>
    <row r="157" spans="1:2" ht="15.75">
      <c r="A157" s="50" t="s">
        <v>827</v>
      </c>
      <c r="B157" s="319">
        <f>SUM(B152:B156)</f>
        <v>112395</v>
      </c>
    </row>
    <row r="158" spans="1:2" ht="15.75">
      <c r="A158" s="306" t="s">
        <v>828</v>
      </c>
      <c r="B158" s="320">
        <v>0</v>
      </c>
    </row>
    <row r="159" spans="1:2" ht="15.75">
      <c r="A159" s="316" t="s">
        <v>405</v>
      </c>
      <c r="B159" s="319">
        <f>+B158+B157</f>
        <v>112395</v>
      </c>
    </row>
    <row r="160" spans="1:2" s="75" customFormat="1" ht="15.75">
      <c r="A160" s="322"/>
      <c r="B160" s="323"/>
    </row>
    <row r="161" spans="1:2" ht="15.75">
      <c r="A161" s="321" t="s">
        <v>5</v>
      </c>
      <c r="B161" s="316" t="s">
        <v>445</v>
      </c>
    </row>
    <row r="162" spans="1:2" ht="15.75">
      <c r="A162" s="317" t="s">
        <v>96</v>
      </c>
      <c r="B162" s="145"/>
    </row>
    <row r="163" spans="1:2" ht="15.75">
      <c r="A163" s="318" t="s">
        <v>97</v>
      </c>
      <c r="B163" s="145"/>
    </row>
    <row r="164" spans="1:2" ht="15.75">
      <c r="A164" s="317" t="s">
        <v>98</v>
      </c>
      <c r="B164" s="145"/>
    </row>
    <row r="165" spans="1:2" ht="15.75">
      <c r="A165" s="317" t="s">
        <v>99</v>
      </c>
      <c r="B165" s="145"/>
    </row>
    <row r="166" spans="1:2" ht="15.75">
      <c r="A166" s="317" t="s">
        <v>100</v>
      </c>
      <c r="B166" s="145"/>
    </row>
    <row r="167" spans="1:2" ht="15.75">
      <c r="A167" s="317" t="s">
        <v>101</v>
      </c>
      <c r="B167" s="145">
        <v>300000</v>
      </c>
    </row>
    <row r="168" spans="1:2" ht="15.75">
      <c r="A168" s="317" t="s">
        <v>102</v>
      </c>
      <c r="B168" s="145"/>
    </row>
    <row r="169" spans="1:2" ht="15.75">
      <c r="A169" s="317" t="s">
        <v>103</v>
      </c>
      <c r="B169" s="145"/>
    </row>
    <row r="170" spans="1:2" ht="15.75">
      <c r="A170" s="316" t="s">
        <v>821</v>
      </c>
      <c r="B170" s="319">
        <f>SUM(B162:B169)</f>
        <v>300000</v>
      </c>
    </row>
    <row r="171" spans="1:2" ht="31.5">
      <c r="A171" s="59" t="s">
        <v>822</v>
      </c>
      <c r="B171" s="145"/>
    </row>
    <row r="172" spans="1:2" ht="31.5">
      <c r="A172" s="59" t="s">
        <v>823</v>
      </c>
      <c r="B172" s="145">
        <v>285000</v>
      </c>
    </row>
    <row r="173" spans="1:2" ht="15.75">
      <c r="A173" s="46" t="s">
        <v>824</v>
      </c>
      <c r="B173" s="145"/>
    </row>
    <row r="174" spans="1:2" ht="15.75">
      <c r="A174" s="46" t="s">
        <v>825</v>
      </c>
      <c r="B174" s="145"/>
    </row>
    <row r="175" spans="1:2" ht="15.75">
      <c r="A175" s="317" t="s">
        <v>826</v>
      </c>
      <c r="B175" s="145">
        <f>300000-285000</f>
        <v>15000</v>
      </c>
    </row>
    <row r="176" spans="1:2" ht="15.75">
      <c r="A176" s="50" t="s">
        <v>827</v>
      </c>
      <c r="B176" s="319">
        <f>SUM(B171:B175)</f>
        <v>300000</v>
      </c>
    </row>
    <row r="177" spans="1:2" ht="15.75">
      <c r="A177" s="306" t="s">
        <v>828</v>
      </c>
      <c r="B177" s="320">
        <v>0</v>
      </c>
    </row>
    <row r="178" spans="1:2" ht="15.75">
      <c r="A178" s="316" t="s">
        <v>405</v>
      </c>
      <c r="B178" s="319">
        <f>+B177+B176</f>
        <v>300000</v>
      </c>
    </row>
    <row r="180" spans="1:2" ht="15.75">
      <c r="A180" s="321" t="s">
        <v>6</v>
      </c>
      <c r="B180" s="316" t="s">
        <v>445</v>
      </c>
    </row>
    <row r="181" spans="1:2" ht="15.75">
      <c r="A181" s="317" t="s">
        <v>96</v>
      </c>
      <c r="B181" s="145"/>
    </row>
    <row r="182" spans="1:2" ht="15.75">
      <c r="A182" s="318" t="s">
        <v>97</v>
      </c>
      <c r="B182" s="145"/>
    </row>
    <row r="183" spans="1:2" ht="15.75">
      <c r="A183" s="317" t="s">
        <v>98</v>
      </c>
      <c r="B183" s="145">
        <f>5264+1947</f>
        <v>7211</v>
      </c>
    </row>
    <row r="184" spans="1:2" ht="15.75">
      <c r="A184" s="317" t="s">
        <v>99</v>
      </c>
      <c r="B184" s="145"/>
    </row>
    <row r="185" spans="1:2" ht="15.75">
      <c r="A185" s="317" t="s">
        <v>100</v>
      </c>
      <c r="B185" s="145"/>
    </row>
    <row r="186" spans="1:2" ht="15.75">
      <c r="A186" s="317" t="s">
        <v>101</v>
      </c>
      <c r="B186" s="145">
        <f>40+120+43</f>
        <v>203</v>
      </c>
    </row>
    <row r="187" spans="1:2" ht="15.75">
      <c r="A187" s="317" t="s">
        <v>102</v>
      </c>
      <c r="B187" s="145"/>
    </row>
    <row r="188" spans="1:2" ht="15.75">
      <c r="A188" s="317" t="s">
        <v>103</v>
      </c>
      <c r="B188" s="145"/>
    </row>
    <row r="189" spans="1:2" ht="15.75">
      <c r="A189" s="316" t="s">
        <v>821</v>
      </c>
      <c r="B189" s="319">
        <f>SUM(B181:B188)</f>
        <v>7414</v>
      </c>
    </row>
    <row r="190" spans="1:2" ht="31.5">
      <c r="A190" s="59" t="s">
        <v>822</v>
      </c>
      <c r="B190" s="145">
        <v>7043</v>
      </c>
    </row>
    <row r="191" spans="1:2" ht="31.5">
      <c r="A191" s="59" t="s">
        <v>823</v>
      </c>
      <c r="B191" s="145"/>
    </row>
    <row r="192" spans="1:2" ht="15.75">
      <c r="A192" s="46" t="s">
        <v>824</v>
      </c>
      <c r="B192" s="145"/>
    </row>
    <row r="193" spans="1:2" ht="15.75">
      <c r="A193" s="46" t="s">
        <v>825</v>
      </c>
      <c r="B193" s="145"/>
    </row>
    <row r="194" spans="1:2" ht="15.75">
      <c r="A194" s="317" t="s">
        <v>826</v>
      </c>
      <c r="B194" s="145">
        <v>371</v>
      </c>
    </row>
    <row r="195" spans="1:2" ht="15.75">
      <c r="A195" s="50" t="s">
        <v>827</v>
      </c>
      <c r="B195" s="319">
        <f>SUM(B190:B194)</f>
        <v>7414</v>
      </c>
    </row>
    <row r="196" spans="1:2" ht="15.75">
      <c r="A196" s="306" t="s">
        <v>828</v>
      </c>
      <c r="B196" s="320">
        <v>0</v>
      </c>
    </row>
    <row r="197" spans="1:2" ht="15.75">
      <c r="A197" s="316" t="s">
        <v>405</v>
      </c>
      <c r="B197" s="319">
        <f>+B196+B195</f>
        <v>7414</v>
      </c>
    </row>
  </sheetData>
  <sheetProtection selectLockedCells="1" selectUnlockedCells="1"/>
  <mergeCells count="2">
    <mergeCell ref="A4:B4"/>
    <mergeCell ref="A6:B6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88" r:id="rId1"/>
  <headerFooter alignWithMargins="0">
    <oddFooter>&amp;R&amp;P</oddFooter>
  </headerFooter>
  <rowBreaks count="4" manualBreakCount="4">
    <brk id="45" max="255" man="1"/>
    <brk id="83" max="255" man="1"/>
    <brk id="121" max="255" man="1"/>
    <brk id="15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tabSelected="1"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21.00390625" style="325" customWidth="1"/>
    <col min="2" max="2" width="29.140625" style="325" customWidth="1"/>
    <col min="3" max="3" width="18.421875" style="325" customWidth="1"/>
    <col min="4" max="4" width="9.28125" style="325" customWidth="1"/>
    <col min="5" max="5" width="12.57421875" style="325" customWidth="1"/>
    <col min="6" max="16384" width="9.140625" style="325" customWidth="1"/>
  </cols>
  <sheetData>
    <row r="1" ht="15.75">
      <c r="E1" s="30" t="s">
        <v>7</v>
      </c>
    </row>
    <row r="2" spans="4:5" ht="15.75">
      <c r="D2" s="326"/>
      <c r="E2" s="14" t="s">
        <v>88</v>
      </c>
    </row>
    <row r="3" ht="12.75">
      <c r="E3" s="327"/>
    </row>
    <row r="4" spans="1:5" ht="15.75">
      <c r="A4" s="414" t="s">
        <v>8</v>
      </c>
      <c r="B4" s="414"/>
      <c r="C4" s="414"/>
      <c r="D4" s="414"/>
      <c r="E4" s="414"/>
    </row>
    <row r="8" spans="1:5" ht="12.75" customHeight="1">
      <c r="A8" s="415" t="s">
        <v>9</v>
      </c>
      <c r="B8" s="416" t="s">
        <v>600</v>
      </c>
      <c r="C8" s="417" t="s">
        <v>10</v>
      </c>
      <c r="D8" s="417"/>
      <c r="E8" s="417"/>
    </row>
    <row r="9" spans="1:5" ht="25.5">
      <c r="A9" s="415"/>
      <c r="B9" s="416"/>
      <c r="C9" s="328" t="s">
        <v>11</v>
      </c>
      <c r="D9" s="328" t="s">
        <v>12</v>
      </c>
      <c r="E9" s="329" t="s">
        <v>13</v>
      </c>
    </row>
    <row r="10" spans="1:5" ht="12.75">
      <c r="A10" s="330">
        <v>1</v>
      </c>
      <c r="B10" s="331">
        <v>2</v>
      </c>
      <c r="C10" s="331">
        <v>3</v>
      </c>
      <c r="D10" s="331">
        <v>4</v>
      </c>
      <c r="E10" s="332">
        <v>5</v>
      </c>
    </row>
    <row r="11" spans="1:5" s="337" customFormat="1" ht="47.25">
      <c r="A11" s="333" t="s">
        <v>14</v>
      </c>
      <c r="B11" s="334" t="s">
        <v>15</v>
      </c>
      <c r="C11" s="334" t="s">
        <v>16</v>
      </c>
      <c r="D11" s="335">
        <f>62+89+5</f>
        <v>156</v>
      </c>
      <c r="E11" s="336">
        <f>199+786+2062</f>
        <v>3047</v>
      </c>
    </row>
    <row r="12" spans="1:5" s="337" customFormat="1" ht="31.5">
      <c r="A12" s="338" t="s">
        <v>14</v>
      </c>
      <c r="B12" s="339" t="s">
        <v>17</v>
      </c>
      <c r="C12" s="334" t="s">
        <v>18</v>
      </c>
      <c r="D12" s="340">
        <f>2+2</f>
        <v>4</v>
      </c>
      <c r="E12" s="341">
        <f>96+83</f>
        <v>179</v>
      </c>
    </row>
    <row r="13" spans="1:5" s="337" customFormat="1" ht="31.5">
      <c r="A13" s="338" t="s">
        <v>14</v>
      </c>
      <c r="B13" s="339" t="s">
        <v>19</v>
      </c>
      <c r="C13" s="334" t="s">
        <v>18</v>
      </c>
      <c r="D13" s="340">
        <f>4+1</f>
        <v>5</v>
      </c>
      <c r="E13" s="341">
        <f>13+3</f>
        <v>16</v>
      </c>
    </row>
    <row r="14" spans="1:5" s="337" customFormat="1" ht="31.5">
      <c r="A14" s="338" t="s">
        <v>14</v>
      </c>
      <c r="B14" s="339" t="s">
        <v>20</v>
      </c>
      <c r="C14" s="334" t="s">
        <v>18</v>
      </c>
      <c r="D14" s="340">
        <v>3</v>
      </c>
      <c r="E14" s="341">
        <v>85</v>
      </c>
    </row>
    <row r="15" spans="1:5" s="337" customFormat="1" ht="31.5">
      <c r="A15" s="342"/>
      <c r="B15" s="339" t="s">
        <v>21</v>
      </c>
      <c r="C15" s="334" t="s">
        <v>18</v>
      </c>
      <c r="D15" s="340">
        <v>5</v>
      </c>
      <c r="E15" s="341">
        <f>26+27</f>
        <v>53</v>
      </c>
    </row>
    <row r="16" spans="1:5" s="337" customFormat="1" ht="31.5">
      <c r="A16" s="342"/>
      <c r="B16" s="339" t="s">
        <v>22</v>
      </c>
      <c r="C16" s="334" t="s">
        <v>18</v>
      </c>
      <c r="D16" s="340"/>
      <c r="E16" s="341">
        <v>0</v>
      </c>
    </row>
    <row r="17" spans="1:5" s="337" customFormat="1" ht="50.25" customHeight="1">
      <c r="A17" s="343"/>
      <c r="B17" s="344" t="s">
        <v>23</v>
      </c>
      <c r="C17" s="334" t="s">
        <v>24</v>
      </c>
      <c r="D17" s="345">
        <v>537</v>
      </c>
      <c r="E17" s="346">
        <v>6150</v>
      </c>
    </row>
    <row r="18" spans="1:5" ht="18.75">
      <c r="A18" s="413" t="s">
        <v>25</v>
      </c>
      <c r="B18" s="413"/>
      <c r="C18" s="413"/>
      <c r="D18" s="413"/>
      <c r="E18" s="347">
        <f>SUM(E11:E17)</f>
        <v>9530</v>
      </c>
    </row>
  </sheetData>
  <sheetProtection selectLockedCells="1" selectUnlockedCells="1"/>
  <mergeCells count="5">
    <mergeCell ref="A18:D18"/>
    <mergeCell ref="A4:E4"/>
    <mergeCell ref="A8:A9"/>
    <mergeCell ref="B8:B9"/>
    <mergeCell ref="C8:E8"/>
  </mergeCells>
  <printOptions horizontalCentered="1"/>
  <pageMargins left="0.5513888888888889" right="0.42986111111111114" top="0.9840277777777777" bottom="0.9840277777777777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F157"/>
  <sheetViews>
    <sheetView view="pageBreakPreview" zoomScale="75" zoomScaleSheetLayoutView="75" workbookViewId="0" topLeftCell="A1">
      <selection activeCell="G143" sqref="G143"/>
    </sheetView>
  </sheetViews>
  <sheetFormatPr defaultColWidth="9.140625" defaultRowHeight="15"/>
  <cols>
    <col min="1" max="1" width="78.00390625" style="12" customWidth="1"/>
    <col min="2" max="2" width="10.421875" style="12" customWidth="1"/>
    <col min="3" max="4" width="11.57421875" style="12" customWidth="1"/>
    <col min="5" max="5" width="11.57421875" style="87" customWidth="1"/>
    <col min="6" max="16384" width="9.140625" style="12" customWidth="1"/>
  </cols>
  <sheetData>
    <row r="1" ht="15.75">
      <c r="E1" s="30" t="s">
        <v>26</v>
      </c>
    </row>
    <row r="2" ht="15.75">
      <c r="E2" s="14" t="s">
        <v>88</v>
      </c>
    </row>
    <row r="3" spans="1:5" ht="26.25" customHeight="1">
      <c r="A3" s="32" t="s">
        <v>89</v>
      </c>
      <c r="B3" s="89"/>
      <c r="C3" s="89"/>
      <c r="D3" s="89"/>
      <c r="E3" s="348"/>
    </row>
    <row r="4" spans="1:5" ht="12.75" customHeight="1">
      <c r="A4" s="403" t="s">
        <v>27</v>
      </c>
      <c r="B4" s="403"/>
      <c r="C4" s="403"/>
      <c r="D4" s="403"/>
      <c r="E4" s="403"/>
    </row>
    <row r="6" spans="1:5" ht="47.25">
      <c r="A6" s="17" t="s">
        <v>92</v>
      </c>
      <c r="B6" s="40" t="s">
        <v>119</v>
      </c>
      <c r="C6" s="41" t="s">
        <v>28</v>
      </c>
      <c r="D6" s="41" t="s">
        <v>29</v>
      </c>
      <c r="E6" s="349" t="s">
        <v>30</v>
      </c>
    </row>
    <row r="7" spans="1:5" ht="15.75">
      <c r="A7" s="43" t="s">
        <v>120</v>
      </c>
      <c r="B7" s="44" t="s">
        <v>121</v>
      </c>
      <c r="C7" s="22">
        <v>927899</v>
      </c>
      <c r="D7" s="22">
        <v>1014719</v>
      </c>
      <c r="E7" s="108">
        <f>+'2 Össz'!E7</f>
        <v>1022524</v>
      </c>
    </row>
    <row r="8" spans="1:5" ht="15.75">
      <c r="A8" s="46" t="s">
        <v>122</v>
      </c>
      <c r="B8" s="44" t="s">
        <v>123</v>
      </c>
      <c r="C8" s="22"/>
      <c r="D8" s="22">
        <v>65286</v>
      </c>
      <c r="E8" s="108">
        <f>+'2 Össz'!E8</f>
        <v>40714</v>
      </c>
    </row>
    <row r="9" spans="1:5" s="113" customFormat="1" ht="15.75">
      <c r="A9" s="111" t="s">
        <v>124</v>
      </c>
      <c r="B9" s="350" t="s">
        <v>125</v>
      </c>
      <c r="C9" s="98">
        <f>SUM(C7:C8)</f>
        <v>927899</v>
      </c>
      <c r="D9" s="98">
        <f>SUM(D7:D8)</f>
        <v>1080005</v>
      </c>
      <c r="E9" s="98">
        <f>SUM(E7:E8)</f>
        <v>1063238</v>
      </c>
    </row>
    <row r="10" spans="1:5" s="25" customFormat="1" ht="15.75">
      <c r="A10" s="49" t="s">
        <v>126</v>
      </c>
      <c r="B10" s="48" t="s">
        <v>127</v>
      </c>
      <c r="C10" s="23">
        <v>229028</v>
      </c>
      <c r="D10" s="23">
        <v>274218</v>
      </c>
      <c r="E10" s="351">
        <f>+'2 Össz'!E10</f>
        <v>253514</v>
      </c>
    </row>
    <row r="11" spans="1:5" ht="15.75">
      <c r="A11" s="46" t="s">
        <v>128</v>
      </c>
      <c r="B11" s="44" t="s">
        <v>129</v>
      </c>
      <c r="C11" s="22"/>
      <c r="D11" s="22">
        <v>294981</v>
      </c>
      <c r="E11" s="108">
        <f>+'2 Össz'!E11</f>
        <v>265156</v>
      </c>
    </row>
    <row r="12" spans="1:5" ht="15.75">
      <c r="A12" s="46" t="s">
        <v>130</v>
      </c>
      <c r="B12" s="44" t="s">
        <v>131</v>
      </c>
      <c r="C12" s="22"/>
      <c r="D12" s="22">
        <v>19187</v>
      </c>
      <c r="E12" s="108">
        <f>+'2 Össz'!E12</f>
        <v>15495</v>
      </c>
    </row>
    <row r="13" spans="1:5" ht="15.75">
      <c r="A13" s="46" t="s">
        <v>132</v>
      </c>
      <c r="B13" s="44" t="s">
        <v>133</v>
      </c>
      <c r="C13" s="22"/>
      <c r="D13" s="22">
        <v>444444</v>
      </c>
      <c r="E13" s="108">
        <f>+'2 Össz'!E13</f>
        <v>418371</v>
      </c>
    </row>
    <row r="14" spans="1:5" ht="15.75">
      <c r="A14" s="46" t="s">
        <v>134</v>
      </c>
      <c r="B14" s="44" t="s">
        <v>135</v>
      </c>
      <c r="C14" s="22"/>
      <c r="D14" s="22">
        <v>8892</v>
      </c>
      <c r="E14" s="108">
        <f>+'2 Össz'!E14</f>
        <v>8080</v>
      </c>
    </row>
    <row r="15" spans="1:5" ht="15.75">
      <c r="A15" s="46" t="s">
        <v>136</v>
      </c>
      <c r="B15" s="44" t="s">
        <v>137</v>
      </c>
      <c r="C15" s="22"/>
      <c r="D15" s="22">
        <v>238152</v>
      </c>
      <c r="E15" s="108">
        <f>+'2 Össz'!E15</f>
        <v>300733.97</v>
      </c>
    </row>
    <row r="16" spans="1:5" s="113" customFormat="1" ht="15.75">
      <c r="A16" s="96" t="s">
        <v>138</v>
      </c>
      <c r="B16" s="350" t="s">
        <v>139</v>
      </c>
      <c r="C16" s="98">
        <v>947201</v>
      </c>
      <c r="D16" s="98">
        <f>SUM(D11:D15)</f>
        <v>1005656</v>
      </c>
      <c r="E16" s="98">
        <f>SUM(E11:E15)</f>
        <v>1007835.97</v>
      </c>
    </row>
    <row r="17" spans="1:5" s="25" customFormat="1" ht="15.75">
      <c r="A17" s="50" t="s">
        <v>140</v>
      </c>
      <c r="B17" s="48" t="s">
        <v>141</v>
      </c>
      <c r="C17" s="23">
        <v>249443</v>
      </c>
      <c r="D17" s="23">
        <v>279362</v>
      </c>
      <c r="E17" s="351">
        <f>+'2 Össz'!E17</f>
        <v>105033</v>
      </c>
    </row>
    <row r="18" spans="1:5" ht="15.75">
      <c r="A18" s="51" t="s">
        <v>142</v>
      </c>
      <c r="B18" s="44" t="s">
        <v>143</v>
      </c>
      <c r="C18" s="22"/>
      <c r="D18" s="22"/>
      <c r="E18" s="108">
        <f>+'2 Össz'!E18</f>
        <v>0</v>
      </c>
    </row>
    <row r="19" spans="1:5" ht="15.75">
      <c r="A19" s="51" t="s">
        <v>144</v>
      </c>
      <c r="B19" s="44" t="s">
        <v>145</v>
      </c>
      <c r="C19" s="22"/>
      <c r="D19" s="22">
        <v>14284</v>
      </c>
      <c r="E19" s="108">
        <f>+'2 Össz'!E19</f>
        <v>12806</v>
      </c>
    </row>
    <row r="20" spans="1:5" ht="15.75">
      <c r="A20" s="51" t="s">
        <v>146</v>
      </c>
      <c r="B20" s="44" t="s">
        <v>147</v>
      </c>
      <c r="C20" s="22"/>
      <c r="D20" s="22"/>
      <c r="E20" s="108">
        <f>+'2 Össz'!E20</f>
        <v>0</v>
      </c>
    </row>
    <row r="21" spans="1:5" ht="15.75">
      <c r="A21" s="51" t="s">
        <v>148</v>
      </c>
      <c r="B21" s="44" t="s">
        <v>149</v>
      </c>
      <c r="C21" s="22"/>
      <c r="D21" s="22"/>
      <c r="E21" s="108">
        <f>+'2 Össz'!E21</f>
        <v>0</v>
      </c>
    </row>
    <row r="22" spans="1:5" ht="15.75">
      <c r="A22" s="51" t="s">
        <v>150</v>
      </c>
      <c r="B22" s="44" t="s">
        <v>151</v>
      </c>
      <c r="C22" s="22"/>
      <c r="D22" s="22"/>
      <c r="E22" s="108">
        <f>+'2 Össz'!E22</f>
        <v>0</v>
      </c>
    </row>
    <row r="23" spans="1:5" ht="15.75">
      <c r="A23" s="51" t="s">
        <v>152</v>
      </c>
      <c r="B23" s="44" t="s">
        <v>153</v>
      </c>
      <c r="C23" s="22">
        <v>304545</v>
      </c>
      <c r="D23" s="22">
        <v>154125</v>
      </c>
      <c r="E23" s="108">
        <f>+'2 Össz'!E23</f>
        <v>152060</v>
      </c>
    </row>
    <row r="24" spans="1:5" ht="15.75">
      <c r="A24" s="51" t="s">
        <v>154</v>
      </c>
      <c r="B24" s="44" t="s">
        <v>155</v>
      </c>
      <c r="C24" s="22"/>
      <c r="D24" s="22"/>
      <c r="E24" s="108">
        <f>+'2 Össz'!E24</f>
        <v>0</v>
      </c>
    </row>
    <row r="25" spans="1:5" ht="15.75">
      <c r="A25" s="51" t="s">
        <v>156</v>
      </c>
      <c r="B25" s="44" t="s">
        <v>157</v>
      </c>
      <c r="C25" s="22"/>
      <c r="D25" s="22"/>
      <c r="E25" s="108">
        <f>+'2 Össz'!E25</f>
        <v>0</v>
      </c>
    </row>
    <row r="26" spans="1:5" ht="15.75">
      <c r="A26" s="51" t="s">
        <v>158</v>
      </c>
      <c r="B26" s="44" t="s">
        <v>159</v>
      </c>
      <c r="C26" s="22"/>
      <c r="D26" s="22"/>
      <c r="E26" s="108">
        <f>+'2 Össz'!E26</f>
        <v>0</v>
      </c>
    </row>
    <row r="27" spans="1:5" ht="15.75">
      <c r="A27" s="52" t="s">
        <v>160</v>
      </c>
      <c r="B27" s="44" t="s">
        <v>161</v>
      </c>
      <c r="C27" s="22"/>
      <c r="D27" s="22"/>
      <c r="E27" s="108">
        <f>+'2 Össz'!E27</f>
        <v>0</v>
      </c>
    </row>
    <row r="28" spans="1:5" ht="15.75">
      <c r="A28" s="51" t="s">
        <v>162</v>
      </c>
      <c r="B28" s="44" t="s">
        <v>163</v>
      </c>
      <c r="C28" s="22"/>
      <c r="D28" s="22"/>
      <c r="E28" s="108">
        <f>+'2 Össz'!E28</f>
        <v>0</v>
      </c>
    </row>
    <row r="29" spans="1:5" ht="15.75">
      <c r="A29" s="51" t="s">
        <v>164</v>
      </c>
      <c r="B29" s="44" t="s">
        <v>165</v>
      </c>
      <c r="C29" s="22">
        <f>63626+20427</f>
        <v>84053</v>
      </c>
      <c r="D29" s="22">
        <v>155687</v>
      </c>
      <c r="E29" s="108">
        <f>+'2 Össz'!E29</f>
        <v>39993</v>
      </c>
    </row>
    <row r="30" spans="1:5" ht="15.75">
      <c r="A30" s="52" t="s">
        <v>166</v>
      </c>
      <c r="B30" s="44" t="s">
        <v>167</v>
      </c>
      <c r="C30" s="22"/>
      <c r="D30" s="22">
        <v>6897</v>
      </c>
      <c r="E30" s="108">
        <f>+'2 Össz'!E30</f>
        <v>40000</v>
      </c>
    </row>
    <row r="31" spans="1:5" ht="15.75">
      <c r="A31" s="52" t="s">
        <v>168</v>
      </c>
      <c r="B31" s="44" t="s">
        <v>167</v>
      </c>
      <c r="C31" s="22"/>
      <c r="D31" s="22">
        <v>340</v>
      </c>
      <c r="E31" s="108">
        <f>+'2 Össz'!E31</f>
        <v>4300</v>
      </c>
    </row>
    <row r="32" spans="1:5" s="113" customFormat="1" ht="15.75">
      <c r="A32" s="150" t="s">
        <v>169</v>
      </c>
      <c r="B32" s="350" t="s">
        <v>170</v>
      </c>
      <c r="C32" s="98">
        <f>SUM(C18:C31)</f>
        <v>388598</v>
      </c>
      <c r="D32" s="98">
        <f>SUM(D18:D31)</f>
        <v>331333</v>
      </c>
      <c r="E32" s="98">
        <f>SUM(E18:E31)</f>
        <v>249159</v>
      </c>
    </row>
    <row r="33" spans="1:5" s="113" customFormat="1" ht="15.75">
      <c r="A33" s="352" t="s">
        <v>171</v>
      </c>
      <c r="B33" s="350" t="s">
        <v>172</v>
      </c>
      <c r="C33" s="98">
        <f>+C32+C17+C16+C10+C9</f>
        <v>2742169</v>
      </c>
      <c r="D33" s="98">
        <f>+D32+D17+D16+D10+D9</f>
        <v>2970574</v>
      </c>
      <c r="E33" s="98">
        <f>+E32+E17+E16+E10+E9</f>
        <v>2678779.9699999997</v>
      </c>
    </row>
    <row r="34" spans="1:5" ht="15.75">
      <c r="A34" s="56" t="s">
        <v>173</v>
      </c>
      <c r="B34" s="44" t="s">
        <v>174</v>
      </c>
      <c r="C34" s="22"/>
      <c r="D34" s="22">
        <v>8052</v>
      </c>
      <c r="E34" s="108">
        <f>+'2 Össz'!E34</f>
        <v>843</v>
      </c>
    </row>
    <row r="35" spans="1:5" ht="15.75">
      <c r="A35" s="56" t="s">
        <v>175</v>
      </c>
      <c r="B35" s="44" t="s">
        <v>176</v>
      </c>
      <c r="C35" s="22">
        <v>71855</v>
      </c>
      <c r="D35" s="22">
        <v>27471</v>
      </c>
      <c r="E35" s="108">
        <f>+'2 Össz'!E35</f>
        <v>3150</v>
      </c>
    </row>
    <row r="36" spans="1:5" ht="15.75">
      <c r="A36" s="56" t="s">
        <v>177</v>
      </c>
      <c r="B36" s="44" t="s">
        <v>178</v>
      </c>
      <c r="C36" s="22"/>
      <c r="D36" s="22">
        <v>4869</v>
      </c>
      <c r="E36" s="108">
        <f>+'2 Össz'!E36</f>
        <v>2199</v>
      </c>
    </row>
    <row r="37" spans="1:5" ht="15.75">
      <c r="A37" s="56" t="s">
        <v>179</v>
      </c>
      <c r="B37" s="44" t="s">
        <v>180</v>
      </c>
      <c r="C37" s="22"/>
      <c r="D37" s="22">
        <v>48496</v>
      </c>
      <c r="E37" s="108">
        <f>+'2 Össz'!E37</f>
        <v>61256</v>
      </c>
    </row>
    <row r="38" spans="1:5" ht="15.75">
      <c r="A38" s="57" t="s">
        <v>181</v>
      </c>
      <c r="B38" s="44" t="s">
        <v>182</v>
      </c>
      <c r="C38" s="22"/>
      <c r="D38" s="22"/>
      <c r="E38" s="108">
        <f>+'2 Össz'!E38</f>
        <v>0</v>
      </c>
    </row>
    <row r="39" spans="1:5" ht="15.75">
      <c r="A39" s="57" t="s">
        <v>183</v>
      </c>
      <c r="B39" s="44" t="s">
        <v>184</v>
      </c>
      <c r="C39" s="22"/>
      <c r="D39" s="22">
        <v>16767</v>
      </c>
      <c r="E39" s="108">
        <f>+'2 Össz'!E39</f>
        <v>0</v>
      </c>
    </row>
    <row r="40" spans="1:5" ht="15.75">
      <c r="A40" s="57" t="s">
        <v>185</v>
      </c>
      <c r="B40" s="44" t="s">
        <v>186</v>
      </c>
      <c r="C40" s="22"/>
      <c r="D40" s="22"/>
      <c r="E40" s="108">
        <f>+'2 Össz'!E40</f>
        <v>18431</v>
      </c>
    </row>
    <row r="41" spans="1:5" s="113" customFormat="1" ht="15.75">
      <c r="A41" s="97" t="s">
        <v>187</v>
      </c>
      <c r="B41" s="350" t="s">
        <v>188</v>
      </c>
      <c r="C41" s="98">
        <f>SUM(C34:C40)</f>
        <v>71855</v>
      </c>
      <c r="D41" s="98">
        <f>SUM(D34:D40)</f>
        <v>105655</v>
      </c>
      <c r="E41" s="98">
        <f>SUM(E34:E40)</f>
        <v>85879</v>
      </c>
    </row>
    <row r="42" spans="1:5" ht="15.75">
      <c r="A42" s="59" t="s">
        <v>189</v>
      </c>
      <c r="B42" s="44" t="s">
        <v>190</v>
      </c>
      <c r="C42" s="22">
        <v>34240</v>
      </c>
      <c r="D42" s="22">
        <v>40058</v>
      </c>
      <c r="E42" s="108">
        <f>+'2 Össz'!E42</f>
        <v>1067608</v>
      </c>
    </row>
    <row r="43" spans="1:5" ht="15.75">
      <c r="A43" s="59" t="s">
        <v>191</v>
      </c>
      <c r="B43" s="44" t="s">
        <v>192</v>
      </c>
      <c r="C43" s="22"/>
      <c r="D43" s="22"/>
      <c r="E43" s="108">
        <f>+'2 Össz'!E43</f>
        <v>0</v>
      </c>
    </row>
    <row r="44" spans="1:5" ht="15.75">
      <c r="A44" s="59" t="s">
        <v>193</v>
      </c>
      <c r="B44" s="44" t="s">
        <v>194</v>
      </c>
      <c r="C44" s="22"/>
      <c r="D44" s="22">
        <v>5876</v>
      </c>
      <c r="E44" s="108">
        <f>+'2 Össz'!E44</f>
        <v>149685</v>
      </c>
    </row>
    <row r="45" spans="1:5" ht="15.75">
      <c r="A45" s="59" t="s">
        <v>195</v>
      </c>
      <c r="B45" s="44" t="s">
        <v>196</v>
      </c>
      <c r="C45" s="22"/>
      <c r="D45" s="22">
        <v>13877</v>
      </c>
      <c r="E45" s="108">
        <f>+'2 Össz'!E45</f>
        <v>355672</v>
      </c>
    </row>
    <row r="46" spans="1:5" s="113" customFormat="1" ht="15.75">
      <c r="A46" s="96" t="s">
        <v>197</v>
      </c>
      <c r="B46" s="350" t="s">
        <v>198</v>
      </c>
      <c r="C46" s="98">
        <f>SUM(C42:C45)</f>
        <v>34240</v>
      </c>
      <c r="D46" s="98">
        <f>SUM(D42:D45)</f>
        <v>59811</v>
      </c>
      <c r="E46" s="98">
        <f>SUM(E42:E45)</f>
        <v>1572965</v>
      </c>
    </row>
    <row r="47" spans="1:5" ht="15.75">
      <c r="A47" s="59" t="s">
        <v>199</v>
      </c>
      <c r="B47" s="44" t="s">
        <v>200</v>
      </c>
      <c r="C47" s="22"/>
      <c r="D47" s="22"/>
      <c r="E47" s="108">
        <f>+'2 Össz'!E47</f>
        <v>0</v>
      </c>
    </row>
    <row r="48" spans="1:5" ht="15.75">
      <c r="A48" s="59" t="s">
        <v>201</v>
      </c>
      <c r="B48" s="44" t="s">
        <v>202</v>
      </c>
      <c r="C48" s="22"/>
      <c r="D48" s="22"/>
      <c r="E48" s="108">
        <f>+'2 Össz'!E48</f>
        <v>0</v>
      </c>
    </row>
    <row r="49" spans="1:5" ht="15.75">
      <c r="A49" s="59" t="s">
        <v>203</v>
      </c>
      <c r="B49" s="44" t="s">
        <v>204</v>
      </c>
      <c r="C49" s="22"/>
      <c r="D49" s="22"/>
      <c r="E49" s="108">
        <f>+'2 Össz'!E49</f>
        <v>0</v>
      </c>
    </row>
    <row r="50" spans="1:5" ht="15.75">
      <c r="A50" s="59" t="s">
        <v>205</v>
      </c>
      <c r="B50" s="44" t="s">
        <v>206</v>
      </c>
      <c r="C50" s="22">
        <v>4885</v>
      </c>
      <c r="D50" s="22">
        <v>77816</v>
      </c>
      <c r="E50" s="108">
        <f>+'2 Össz'!E50</f>
        <v>59132</v>
      </c>
    </row>
    <row r="51" spans="1:5" ht="15.75">
      <c r="A51" s="59" t="s">
        <v>207</v>
      </c>
      <c r="B51" s="44" t="s">
        <v>208</v>
      </c>
      <c r="C51" s="22"/>
      <c r="D51" s="22"/>
      <c r="E51" s="108">
        <f>+'2 Össz'!E51</f>
        <v>0</v>
      </c>
    </row>
    <row r="52" spans="1:5" ht="15.75">
      <c r="A52" s="59" t="s">
        <v>209</v>
      </c>
      <c r="B52" s="44" t="s">
        <v>210</v>
      </c>
      <c r="C52" s="22"/>
      <c r="D52" s="22"/>
      <c r="E52" s="108">
        <f>+'2 Össz'!E52</f>
        <v>0</v>
      </c>
    </row>
    <row r="53" spans="1:5" ht="15.75">
      <c r="A53" s="59" t="s">
        <v>211</v>
      </c>
      <c r="B53" s="44" t="s">
        <v>212</v>
      </c>
      <c r="C53" s="22"/>
      <c r="D53" s="22"/>
      <c r="E53" s="108">
        <f>+'2 Össz'!E53</f>
        <v>0</v>
      </c>
    </row>
    <row r="54" spans="1:5" ht="15.75">
      <c r="A54" s="59" t="s">
        <v>213</v>
      </c>
      <c r="B54" s="44" t="s">
        <v>214</v>
      </c>
      <c r="C54" s="22"/>
      <c r="D54" s="22"/>
      <c r="E54" s="108">
        <f>+'2 Össz'!E54</f>
        <v>0</v>
      </c>
    </row>
    <row r="55" spans="1:5" ht="15.75">
      <c r="A55" s="59" t="s">
        <v>215</v>
      </c>
      <c r="B55" s="44" t="s">
        <v>216</v>
      </c>
      <c r="C55" s="22"/>
      <c r="D55" s="22">
        <v>3000</v>
      </c>
      <c r="E55" s="108">
        <f>+'2 Össz'!E55</f>
        <v>3000</v>
      </c>
    </row>
    <row r="56" spans="1:5" s="113" customFormat="1" ht="15.75">
      <c r="A56" s="150" t="s">
        <v>217</v>
      </c>
      <c r="B56" s="350" t="s">
        <v>218</v>
      </c>
      <c r="C56" s="98">
        <f>SUM(C47:C55)</f>
        <v>4885</v>
      </c>
      <c r="D56" s="98">
        <f>SUM(D47:D55)</f>
        <v>80816</v>
      </c>
      <c r="E56" s="98">
        <f>SUM(E47:E55)</f>
        <v>62132</v>
      </c>
    </row>
    <row r="57" spans="1:5" s="113" customFormat="1" ht="15.75">
      <c r="A57" s="352" t="s">
        <v>219</v>
      </c>
      <c r="B57" s="350" t="s">
        <v>220</v>
      </c>
      <c r="C57" s="98">
        <f>+C56+C46+C41</f>
        <v>110980</v>
      </c>
      <c r="D57" s="98">
        <f>+D56+D46+D41</f>
        <v>246282</v>
      </c>
      <c r="E57" s="98">
        <f>+E56+E46+E41</f>
        <v>1720976</v>
      </c>
    </row>
    <row r="58" spans="1:5" s="113" customFormat="1" ht="15.75">
      <c r="A58" s="97" t="s">
        <v>221</v>
      </c>
      <c r="B58" s="350" t="s">
        <v>222</v>
      </c>
      <c r="C58" s="98">
        <f>+C56+C46+C41+C32+C17+C16+C10+C9</f>
        <v>2853149</v>
      </c>
      <c r="D58" s="98">
        <f>+D56+D46+D41+D32+D17+D16+D10+D9</f>
        <v>3216856</v>
      </c>
      <c r="E58" s="98">
        <f>+E56+E46+E41+E32+E17+E16+E10+E9</f>
        <v>4399755.97</v>
      </c>
    </row>
    <row r="59" spans="1:5" ht="15.75">
      <c r="A59" s="59" t="s">
        <v>223</v>
      </c>
      <c r="B59" s="46" t="s">
        <v>224</v>
      </c>
      <c r="C59" s="22">
        <f>32976+20125</f>
        <v>53101</v>
      </c>
      <c r="D59" s="22">
        <v>105887</v>
      </c>
      <c r="E59" s="108">
        <f>+'2 Össz'!E59</f>
        <v>0</v>
      </c>
    </row>
    <row r="60" spans="1:5" ht="15.75">
      <c r="A60" s="59" t="s">
        <v>225</v>
      </c>
      <c r="B60" s="46" t="s">
        <v>226</v>
      </c>
      <c r="C60" s="22"/>
      <c r="D60" s="22"/>
      <c r="E60" s="108">
        <f>+'2 Össz'!E60</f>
        <v>0</v>
      </c>
    </row>
    <row r="61" spans="1:5" ht="15.75">
      <c r="A61" s="59" t="s">
        <v>227</v>
      </c>
      <c r="B61" s="46" t="s">
        <v>228</v>
      </c>
      <c r="C61" s="22">
        <f>4320+617691-8930</f>
        <v>613081</v>
      </c>
      <c r="D61" s="22">
        <v>205809</v>
      </c>
      <c r="E61" s="108">
        <f>+'2 Össz'!E61</f>
        <v>88500</v>
      </c>
    </row>
    <row r="62" spans="1:5" s="113" customFormat="1" ht="15.75">
      <c r="A62" s="150" t="s">
        <v>229</v>
      </c>
      <c r="B62" s="96" t="s">
        <v>230</v>
      </c>
      <c r="C62" s="353">
        <f>SUM(C59:C61)</f>
        <v>666182</v>
      </c>
      <c r="D62" s="353">
        <f>SUM(D59:D61)</f>
        <v>311696</v>
      </c>
      <c r="E62" s="353">
        <f>SUM(E59:E61)</f>
        <v>88500</v>
      </c>
    </row>
    <row r="63" spans="1:5" ht="15.75">
      <c r="A63" s="67" t="s">
        <v>231</v>
      </c>
      <c r="B63" s="46" t="s">
        <v>232</v>
      </c>
      <c r="C63" s="22"/>
      <c r="D63" s="22"/>
      <c r="E63" s="108">
        <f>+'2 Össz'!E63</f>
        <v>0</v>
      </c>
    </row>
    <row r="64" spans="1:5" ht="15.75">
      <c r="A64" s="67" t="s">
        <v>233</v>
      </c>
      <c r="B64" s="46" t="s">
        <v>234</v>
      </c>
      <c r="C64" s="22"/>
      <c r="D64" s="22"/>
      <c r="E64" s="108">
        <f>+'2 Össz'!E64</f>
        <v>0</v>
      </c>
    </row>
    <row r="65" spans="1:5" ht="15.75">
      <c r="A65" s="67" t="s">
        <v>235</v>
      </c>
      <c r="B65" s="46" t="s">
        <v>236</v>
      </c>
      <c r="C65" s="22"/>
      <c r="D65" s="22"/>
      <c r="E65" s="108">
        <f>+'2 Össz'!E65</f>
        <v>0</v>
      </c>
    </row>
    <row r="66" spans="1:5" ht="15.75">
      <c r="A66" s="67" t="s">
        <v>237</v>
      </c>
      <c r="B66" s="46" t="s">
        <v>238</v>
      </c>
      <c r="C66" s="22"/>
      <c r="D66" s="22"/>
      <c r="E66" s="108">
        <f>+'2 Össz'!E66</f>
        <v>0</v>
      </c>
    </row>
    <row r="67" spans="1:5" s="113" customFormat="1" ht="15.75">
      <c r="A67" s="67" t="s">
        <v>239</v>
      </c>
      <c r="B67" s="46" t="s">
        <v>240</v>
      </c>
      <c r="C67" s="22"/>
      <c r="D67" s="22"/>
      <c r="E67" s="108">
        <f>+'2 Össz'!E67</f>
        <v>0</v>
      </c>
    </row>
    <row r="68" spans="1:5" ht="15.75">
      <c r="A68" s="67" t="s">
        <v>241</v>
      </c>
      <c r="B68" s="46" t="s">
        <v>242</v>
      </c>
      <c r="C68" s="22"/>
      <c r="D68" s="22"/>
      <c r="E68" s="108">
        <f>+'2 Össz'!E68</f>
        <v>0</v>
      </c>
    </row>
    <row r="69" spans="1:5" ht="15.75">
      <c r="A69" s="67" t="s">
        <v>243</v>
      </c>
      <c r="B69" s="46" t="s">
        <v>244</v>
      </c>
      <c r="C69" s="22"/>
      <c r="D69" s="22"/>
      <c r="E69" s="108">
        <f>+'2 Össz'!E69</f>
        <v>0</v>
      </c>
    </row>
    <row r="70" spans="1:5" ht="15.75">
      <c r="A70" s="67" t="s">
        <v>245</v>
      </c>
      <c r="B70" s="46" t="s">
        <v>246</v>
      </c>
      <c r="C70" s="22"/>
      <c r="D70" s="22"/>
      <c r="E70" s="108">
        <f>+'2 Össz'!E70</f>
        <v>0</v>
      </c>
    </row>
    <row r="71" spans="1:5" ht="15.75">
      <c r="A71" s="354" t="s">
        <v>247</v>
      </c>
      <c r="B71" s="96" t="s">
        <v>248</v>
      </c>
      <c r="C71" s="112">
        <f>SUM(C62:C70)</f>
        <v>666182</v>
      </c>
      <c r="D71" s="112">
        <f>SUM(D62:D70)</f>
        <v>311696</v>
      </c>
      <c r="E71" s="112">
        <f>SUM(E62:E70)</f>
        <v>88500</v>
      </c>
    </row>
    <row r="72" spans="1:5" ht="15.75">
      <c r="A72" s="67" t="s">
        <v>249</v>
      </c>
      <c r="B72" s="46" t="s">
        <v>250</v>
      </c>
      <c r="C72" s="22"/>
      <c r="D72" s="22"/>
      <c r="E72" s="108">
        <f>+'2 Össz'!E72</f>
        <v>0</v>
      </c>
    </row>
    <row r="73" spans="1:5" ht="15.75">
      <c r="A73" s="59" t="s">
        <v>251</v>
      </c>
      <c r="B73" s="46" t="s">
        <v>252</v>
      </c>
      <c r="C73" s="22"/>
      <c r="D73" s="22"/>
      <c r="E73" s="108">
        <f>+'2 Össz'!E73</f>
        <v>0</v>
      </c>
    </row>
    <row r="74" spans="1:5" s="113" customFormat="1" ht="15.75">
      <c r="A74" s="59" t="s">
        <v>253</v>
      </c>
      <c r="B74" s="46" t="s">
        <v>254</v>
      </c>
      <c r="C74" s="22"/>
      <c r="D74" s="22"/>
      <c r="E74" s="108">
        <f>+'2 Össz'!E74</f>
        <v>0</v>
      </c>
    </row>
    <row r="75" spans="1:5" s="113" customFormat="1" ht="15.75">
      <c r="A75" s="354" t="s">
        <v>255</v>
      </c>
      <c r="B75" s="96" t="s">
        <v>256</v>
      </c>
      <c r="C75" s="355">
        <f>+C73+C72+C71+C74</f>
        <v>666182</v>
      </c>
      <c r="D75" s="355">
        <f>+D73+D72+D71+D74</f>
        <v>311696</v>
      </c>
      <c r="E75" s="355">
        <f>+E73+E72+E71+E74</f>
        <v>88500</v>
      </c>
    </row>
    <row r="76" spans="1:5" s="113" customFormat="1" ht="15.75">
      <c r="A76" s="121" t="s">
        <v>257</v>
      </c>
      <c r="B76" s="121" t="s">
        <v>258</v>
      </c>
      <c r="C76" s="98">
        <f>+C58+C75</f>
        <v>3519331</v>
      </c>
      <c r="D76" s="98">
        <f>+D58+D75</f>
        <v>3528552</v>
      </c>
      <c r="E76" s="98">
        <f>+E58+E75</f>
        <v>4488255.97</v>
      </c>
    </row>
    <row r="77" spans="2:5" ht="15.75">
      <c r="B77" s="75"/>
      <c r="C77" s="76"/>
      <c r="D77" s="76"/>
      <c r="E77" s="356"/>
    </row>
    <row r="78" spans="2:5" ht="15.75">
      <c r="B78" s="75"/>
      <c r="C78" s="76"/>
      <c r="D78" s="76"/>
      <c r="E78" s="356"/>
    </row>
    <row r="79" spans="1:5" ht="47.25">
      <c r="A79" s="17" t="s">
        <v>92</v>
      </c>
      <c r="B79" s="40" t="s">
        <v>260</v>
      </c>
      <c r="C79" s="41" t="s">
        <v>28</v>
      </c>
      <c r="D79" s="41" t="s">
        <v>29</v>
      </c>
      <c r="E79" s="349" t="s">
        <v>30</v>
      </c>
    </row>
    <row r="80" spans="1:5" ht="15.75">
      <c r="A80" s="43" t="s">
        <v>261</v>
      </c>
      <c r="B80" s="57" t="s">
        <v>262</v>
      </c>
      <c r="C80" s="22">
        <f>168427+167677</f>
        <v>336104</v>
      </c>
      <c r="D80" s="22">
        <v>269625</v>
      </c>
      <c r="E80" s="108">
        <f>+'2 Össz'!E80</f>
        <v>242088</v>
      </c>
    </row>
    <row r="81" spans="1:5" ht="15.75">
      <c r="A81" s="46" t="s">
        <v>263</v>
      </c>
      <c r="B81" s="57" t="s">
        <v>264</v>
      </c>
      <c r="C81" s="22">
        <v>286473</v>
      </c>
      <c r="D81" s="22">
        <v>168485</v>
      </c>
      <c r="E81" s="108">
        <f>+'2 Össz'!E81</f>
        <v>270670</v>
      </c>
    </row>
    <row r="82" spans="1:5" ht="15.75">
      <c r="A82" s="46" t="s">
        <v>265</v>
      </c>
      <c r="B82" s="57" t="s">
        <v>266</v>
      </c>
      <c r="C82" s="22">
        <f>138936+178972</f>
        <v>317908</v>
      </c>
      <c r="D82" s="22">
        <v>518748</v>
      </c>
      <c r="E82" s="108">
        <f>+'2 Össz'!E82</f>
        <v>356931</v>
      </c>
    </row>
    <row r="83" spans="1:5" ht="15.75">
      <c r="A83" s="46" t="s">
        <v>267</v>
      </c>
      <c r="B83" s="57" t="s">
        <v>268</v>
      </c>
      <c r="C83" s="22">
        <v>13194</v>
      </c>
      <c r="D83" s="22">
        <v>13093</v>
      </c>
      <c r="E83" s="108">
        <f>+'2 Össz'!E83</f>
        <v>13012</v>
      </c>
    </row>
    <row r="84" spans="1:5" ht="15.75">
      <c r="A84" s="46" t="s">
        <v>31</v>
      </c>
      <c r="B84" s="57" t="s">
        <v>270</v>
      </c>
      <c r="C84" s="22">
        <f>231378-C83</f>
        <v>218184</v>
      </c>
      <c r="D84" s="22">
        <v>149310</v>
      </c>
      <c r="E84" s="108">
        <f>+'2 Össz'!E84</f>
        <v>180671</v>
      </c>
    </row>
    <row r="85" spans="1:5" ht="15.75">
      <c r="A85" s="46" t="s">
        <v>32</v>
      </c>
      <c r="B85" s="57" t="s">
        <v>272</v>
      </c>
      <c r="C85" s="22">
        <v>109000</v>
      </c>
      <c r="D85" s="22">
        <v>208296</v>
      </c>
      <c r="E85" s="108">
        <f>+'2 Össz'!E85</f>
        <v>0</v>
      </c>
    </row>
    <row r="86" spans="1:5" s="113" customFormat="1" ht="15.75">
      <c r="A86" s="96" t="s">
        <v>273</v>
      </c>
      <c r="B86" s="97" t="s">
        <v>274</v>
      </c>
      <c r="C86" s="98">
        <f>SUM(C80:C85)</f>
        <v>1280863</v>
      </c>
      <c r="D86" s="98">
        <f>SUM(D80:D85)</f>
        <v>1327557</v>
      </c>
      <c r="E86" s="98">
        <f>SUM(E80:E85)</f>
        <v>1063372</v>
      </c>
    </row>
    <row r="87" spans="1:5" ht="15.75">
      <c r="A87" s="46" t="s">
        <v>275</v>
      </c>
      <c r="B87" s="57" t="s">
        <v>276</v>
      </c>
      <c r="C87" s="22"/>
      <c r="D87" s="22">
        <v>3004</v>
      </c>
      <c r="E87" s="108">
        <f>+'2 Össz'!E87</f>
        <v>0</v>
      </c>
    </row>
    <row r="88" spans="1:5" ht="15.75">
      <c r="A88" s="46" t="s">
        <v>277</v>
      </c>
      <c r="B88" s="57" t="s">
        <v>278</v>
      </c>
      <c r="C88" s="22"/>
      <c r="D88" s="22"/>
      <c r="E88" s="108">
        <f>+'2 Össz'!E88</f>
        <v>0</v>
      </c>
    </row>
    <row r="89" spans="1:5" ht="15.75">
      <c r="A89" s="46" t="s">
        <v>279</v>
      </c>
      <c r="B89" s="57" t="s">
        <v>280</v>
      </c>
      <c r="C89" s="22"/>
      <c r="D89" s="22"/>
      <c r="E89" s="108">
        <f>+'2 Össz'!E89</f>
        <v>0</v>
      </c>
    </row>
    <row r="90" spans="1:5" ht="15.75">
      <c r="A90" s="46" t="s">
        <v>281</v>
      </c>
      <c r="B90" s="57" t="s">
        <v>282</v>
      </c>
      <c r="C90" s="22"/>
      <c r="D90" s="22"/>
      <c r="E90" s="108">
        <f>+'2 Össz'!E90</f>
        <v>0</v>
      </c>
    </row>
    <row r="91" spans="1:5" ht="15.75">
      <c r="A91" s="46" t="s">
        <v>283</v>
      </c>
      <c r="B91" s="57" t="s">
        <v>284</v>
      </c>
      <c r="C91" s="22">
        <v>593635</v>
      </c>
      <c r="D91" s="22">
        <v>671550</v>
      </c>
      <c r="E91" s="108">
        <f>+'2 Össz'!E91</f>
        <v>633365</v>
      </c>
    </row>
    <row r="92" spans="1:5" s="113" customFormat="1" ht="15.75">
      <c r="A92" s="96" t="s">
        <v>285</v>
      </c>
      <c r="B92" s="97" t="s">
        <v>286</v>
      </c>
      <c r="C92" s="98">
        <f>+C91+C90+C89+C88+C87+C86</f>
        <v>1874498</v>
      </c>
      <c r="D92" s="98">
        <f>+D91+D90+D89+D88+D87+D86</f>
        <v>2002111</v>
      </c>
      <c r="E92" s="98">
        <f>+E91+E90+E89+E88+E87+E86</f>
        <v>1696737</v>
      </c>
    </row>
    <row r="93" spans="1:5" s="25" customFormat="1" ht="15.75">
      <c r="A93" s="49" t="s">
        <v>287</v>
      </c>
      <c r="B93" s="58" t="s">
        <v>288</v>
      </c>
      <c r="C93" s="23">
        <f>64851-7645-19862</f>
        <v>37344</v>
      </c>
      <c r="D93" s="23">
        <v>180678</v>
      </c>
      <c r="E93" s="351">
        <f>+'2 Össz'!E93</f>
        <v>1631106</v>
      </c>
    </row>
    <row r="94" spans="1:5" ht="15.75">
      <c r="A94" s="46" t="s">
        <v>289</v>
      </c>
      <c r="B94" s="57" t="s">
        <v>290</v>
      </c>
      <c r="C94" s="22"/>
      <c r="D94" s="22"/>
      <c r="E94" s="108">
        <f>+'2 Össz'!E94</f>
        <v>0</v>
      </c>
    </row>
    <row r="95" spans="1:5" ht="15.75">
      <c r="A95" s="46" t="s">
        <v>291</v>
      </c>
      <c r="B95" s="57" t="s">
        <v>292</v>
      </c>
      <c r="C95" s="22"/>
      <c r="D95" s="22"/>
      <c r="E95" s="108">
        <f>+'2 Össz'!E95</f>
        <v>0</v>
      </c>
    </row>
    <row r="96" spans="1:5" ht="15.75">
      <c r="A96" s="46" t="s">
        <v>293</v>
      </c>
      <c r="B96" s="57" t="s">
        <v>294</v>
      </c>
      <c r="C96" s="22"/>
      <c r="D96" s="22"/>
      <c r="E96" s="108">
        <f>+'2 Össz'!E96</f>
        <v>0</v>
      </c>
    </row>
    <row r="97" spans="1:5" ht="15.75">
      <c r="A97" s="46" t="s">
        <v>295</v>
      </c>
      <c r="B97" s="57" t="s">
        <v>296</v>
      </c>
      <c r="C97" s="22">
        <v>99618</v>
      </c>
      <c r="D97" s="22">
        <v>103044</v>
      </c>
      <c r="E97" s="108">
        <f>+'2 Össz'!E97</f>
        <v>96750</v>
      </c>
    </row>
    <row r="98" spans="1:5" ht="15.75">
      <c r="A98" s="46" t="s">
        <v>297</v>
      </c>
      <c r="B98" s="57" t="s">
        <v>298</v>
      </c>
      <c r="C98" s="22">
        <v>285050</v>
      </c>
      <c r="D98" s="22">
        <v>282232</v>
      </c>
      <c r="E98" s="108">
        <f>+'2 Össz'!E98</f>
        <v>257450</v>
      </c>
    </row>
    <row r="99" spans="1:5" ht="15.75">
      <c r="A99" s="46" t="s">
        <v>299</v>
      </c>
      <c r="B99" s="57" t="s">
        <v>300</v>
      </c>
      <c r="C99" s="22">
        <f>3181+150+2203</f>
        <v>5534</v>
      </c>
      <c r="D99" s="22">
        <v>5787</v>
      </c>
      <c r="E99" s="108">
        <f>+'2 Össz'!E99</f>
        <v>3500</v>
      </c>
    </row>
    <row r="100" spans="1:5" s="113" customFormat="1" ht="15.75">
      <c r="A100" s="96" t="s">
        <v>301</v>
      </c>
      <c r="B100" s="97" t="s">
        <v>302</v>
      </c>
      <c r="C100" s="98">
        <f>SUM(C94:C99)</f>
        <v>390202</v>
      </c>
      <c r="D100" s="98">
        <f>SUM(D94:D99)</f>
        <v>391063</v>
      </c>
      <c r="E100" s="98">
        <f>SUM(E94:E99)</f>
        <v>357700</v>
      </c>
    </row>
    <row r="101" spans="1:5" ht="15.75">
      <c r="A101" s="59" t="s">
        <v>656</v>
      </c>
      <c r="B101" s="57" t="s">
        <v>304</v>
      </c>
      <c r="C101" s="22"/>
      <c r="D101" s="22">
        <v>46</v>
      </c>
      <c r="E101" s="108">
        <f>+'2 Össz'!E101</f>
        <v>850</v>
      </c>
    </row>
    <row r="102" spans="1:5" ht="15.75">
      <c r="A102" s="59" t="s">
        <v>305</v>
      </c>
      <c r="B102" s="57" t="s">
        <v>306</v>
      </c>
      <c r="C102" s="22">
        <f>405507-C105</f>
        <v>159958</v>
      </c>
      <c r="D102" s="22">
        <v>260693</v>
      </c>
      <c r="E102" s="108">
        <f>+'2 Össz'!E102</f>
        <v>229662</v>
      </c>
    </row>
    <row r="103" spans="1:5" ht="15.75">
      <c r="A103" s="59" t="s">
        <v>307</v>
      </c>
      <c r="B103" s="57" t="s">
        <v>308</v>
      </c>
      <c r="C103" s="22"/>
      <c r="D103" s="22">
        <v>824</v>
      </c>
      <c r="E103" s="108">
        <f>+'2 Össz'!E103</f>
        <v>1670</v>
      </c>
    </row>
    <row r="104" spans="1:5" ht="15.75">
      <c r="A104" s="59" t="s">
        <v>309</v>
      </c>
      <c r="B104" s="57" t="s">
        <v>310</v>
      </c>
      <c r="C104" s="22"/>
      <c r="D104" s="22">
        <v>25425</v>
      </c>
      <c r="E104" s="108">
        <f>+'2 Össz'!E104</f>
        <v>5173</v>
      </c>
    </row>
    <row r="105" spans="1:5" ht="15.75">
      <c r="A105" s="59" t="s">
        <v>311</v>
      </c>
      <c r="B105" s="57" t="s">
        <v>312</v>
      </c>
      <c r="C105" s="22">
        <v>245549</v>
      </c>
      <c r="D105" s="22">
        <v>159626</v>
      </c>
      <c r="E105" s="108">
        <f>+'2 Össz'!E105</f>
        <v>168655</v>
      </c>
    </row>
    <row r="106" spans="1:5" ht="15.75">
      <c r="A106" s="59" t="s">
        <v>313</v>
      </c>
      <c r="B106" s="57" t="s">
        <v>314</v>
      </c>
      <c r="C106" s="22"/>
      <c r="D106" s="22">
        <v>34881</v>
      </c>
      <c r="E106" s="108">
        <f>+'2 Össz'!E106</f>
        <v>30627</v>
      </c>
    </row>
    <row r="107" spans="1:5" ht="15.75">
      <c r="A107" s="59" t="s">
        <v>315</v>
      </c>
      <c r="B107" s="57" t="s">
        <v>316</v>
      </c>
      <c r="C107" s="22"/>
      <c r="D107" s="22"/>
      <c r="E107" s="108">
        <f>+'2 Össz'!E107</f>
        <v>0</v>
      </c>
    </row>
    <row r="108" spans="1:5" ht="15.75">
      <c r="A108" s="59" t="s">
        <v>317</v>
      </c>
      <c r="B108" s="57" t="s">
        <v>318</v>
      </c>
      <c r="C108" s="22">
        <v>3011</v>
      </c>
      <c r="D108" s="22">
        <v>33</v>
      </c>
      <c r="E108" s="108">
        <f>+'2 Össz'!E108</f>
        <v>2050</v>
      </c>
    </row>
    <row r="109" spans="1:5" ht="15.75">
      <c r="A109" s="59" t="s">
        <v>319</v>
      </c>
      <c r="B109" s="57" t="s">
        <v>320</v>
      </c>
      <c r="C109" s="22"/>
      <c r="D109" s="22"/>
      <c r="E109" s="108">
        <f>+'2 Össz'!E109</f>
        <v>0</v>
      </c>
    </row>
    <row r="110" spans="1:5" ht="15.75">
      <c r="A110" s="59" t="s">
        <v>321</v>
      </c>
      <c r="B110" s="57" t="s">
        <v>322</v>
      </c>
      <c r="C110" s="22"/>
      <c r="D110" s="22"/>
      <c r="E110" s="108">
        <f>+'2 Össz'!E110</f>
        <v>0</v>
      </c>
    </row>
    <row r="111" spans="1:5" ht="15.75">
      <c r="A111" s="59" t="s">
        <v>323</v>
      </c>
      <c r="B111" s="57" t="s">
        <v>324</v>
      </c>
      <c r="C111" s="22"/>
      <c r="D111" s="22">
        <v>4456</v>
      </c>
      <c r="E111" s="108">
        <f>+'2 Össz'!E111</f>
        <v>340</v>
      </c>
    </row>
    <row r="112" spans="1:5" s="113" customFormat="1" ht="15.75">
      <c r="A112" s="150" t="s">
        <v>325</v>
      </c>
      <c r="B112" s="97" t="s">
        <v>326</v>
      </c>
      <c r="C112" s="98">
        <f>SUM(C101:C111)</f>
        <v>408518</v>
      </c>
      <c r="D112" s="98">
        <f>SUM(D101:D111)</f>
        <v>485984</v>
      </c>
      <c r="E112" s="98">
        <f>SUM(E101:E111)</f>
        <v>439027</v>
      </c>
    </row>
    <row r="113" spans="1:5" ht="15.75">
      <c r="A113" s="59" t="s">
        <v>327</v>
      </c>
      <c r="B113" s="57" t="s">
        <v>328</v>
      </c>
      <c r="C113" s="22"/>
      <c r="D113" s="22"/>
      <c r="E113" s="108">
        <f>+'2 Össz'!E113</f>
        <v>0</v>
      </c>
    </row>
    <row r="114" spans="1:5" ht="15.75">
      <c r="A114" s="59" t="s">
        <v>329</v>
      </c>
      <c r="B114" s="57" t="s">
        <v>330</v>
      </c>
      <c r="C114" s="22">
        <v>7645</v>
      </c>
      <c r="D114" s="22">
        <v>23428</v>
      </c>
      <c r="E114" s="108">
        <f>+'2 Össz'!E114</f>
        <v>57608</v>
      </c>
    </row>
    <row r="115" spans="1:5" ht="15.75">
      <c r="A115" s="59" t="s">
        <v>331</v>
      </c>
      <c r="B115" s="57" t="s">
        <v>332</v>
      </c>
      <c r="C115" s="22"/>
      <c r="D115" s="22">
        <v>278</v>
      </c>
      <c r="E115" s="108">
        <f>+'2 Össz'!E115</f>
        <v>0</v>
      </c>
    </row>
    <row r="116" spans="1:5" ht="15.75">
      <c r="A116" s="59" t="s">
        <v>333</v>
      </c>
      <c r="B116" s="57" t="s">
        <v>334</v>
      </c>
      <c r="C116" s="22"/>
      <c r="D116" s="22"/>
      <c r="E116" s="108">
        <f>+'2 Össz'!E116</f>
        <v>0</v>
      </c>
    </row>
    <row r="117" spans="1:5" ht="15.75">
      <c r="A117" s="59" t="s">
        <v>335</v>
      </c>
      <c r="B117" s="57" t="s">
        <v>336</v>
      </c>
      <c r="C117" s="22"/>
      <c r="D117" s="22"/>
      <c r="E117" s="108">
        <f>+'2 Össz'!E117</f>
        <v>0</v>
      </c>
    </row>
    <row r="118" spans="1:5" s="113" customFormat="1" ht="15.75">
      <c r="A118" s="96" t="s">
        <v>337</v>
      </c>
      <c r="B118" s="97" t="s">
        <v>338</v>
      </c>
      <c r="C118" s="98">
        <f>SUM(C113:C117)</f>
        <v>7645</v>
      </c>
      <c r="D118" s="98">
        <f>SUM(D113:D117)</f>
        <v>23706</v>
      </c>
      <c r="E118" s="98">
        <f>SUM(E113:E117)</f>
        <v>57608</v>
      </c>
    </row>
    <row r="119" spans="1:5" s="25" customFormat="1" ht="15.75">
      <c r="A119" s="49" t="s">
        <v>339</v>
      </c>
      <c r="B119" s="58" t="s">
        <v>340</v>
      </c>
      <c r="C119" s="23">
        <v>161752</v>
      </c>
      <c r="D119" s="23">
        <v>17366</v>
      </c>
      <c r="E119" s="351">
        <f>+'2 Össz'!E119</f>
        <v>16883</v>
      </c>
    </row>
    <row r="120" spans="1:5" ht="15.75">
      <c r="A120" s="59" t="s">
        <v>341</v>
      </c>
      <c r="B120" s="57" t="s">
        <v>342</v>
      </c>
      <c r="C120" s="22"/>
      <c r="D120" s="22"/>
      <c r="E120" s="108">
        <f>+'2 Össz'!E120</f>
        <v>0</v>
      </c>
    </row>
    <row r="121" spans="1:5" ht="15.75">
      <c r="A121" s="46" t="s">
        <v>347</v>
      </c>
      <c r="B121" s="57" t="s">
        <v>344</v>
      </c>
      <c r="C121" s="22"/>
      <c r="D121" s="22">
        <v>2877</v>
      </c>
      <c r="E121" s="108">
        <f>+'2 Össz'!E121</f>
        <v>0</v>
      </c>
    </row>
    <row r="122" spans="1:5" ht="31.5">
      <c r="A122" s="59" t="s">
        <v>345</v>
      </c>
      <c r="B122" s="57" t="s">
        <v>346</v>
      </c>
      <c r="C122" s="22"/>
      <c r="D122" s="22"/>
      <c r="E122" s="108">
        <f>+'2 Össz'!E122</f>
        <v>0</v>
      </c>
    </row>
    <row r="123" spans="1:5" ht="15.75">
      <c r="A123" s="59" t="s">
        <v>347</v>
      </c>
      <c r="B123" s="57" t="s">
        <v>348</v>
      </c>
      <c r="C123" s="22"/>
      <c r="D123" s="22"/>
      <c r="E123" s="108">
        <f>+'2 Össz'!E123</f>
        <v>0</v>
      </c>
    </row>
    <row r="124" spans="1:5" ht="15.75">
      <c r="A124" s="59" t="s">
        <v>349</v>
      </c>
      <c r="B124" s="57" t="s">
        <v>350</v>
      </c>
      <c r="C124" s="22">
        <v>19862</v>
      </c>
      <c r="D124" s="22">
        <v>0</v>
      </c>
      <c r="E124" s="108">
        <f>+'2 Össz'!E124</f>
        <v>32262</v>
      </c>
    </row>
    <row r="125" spans="1:5" s="113" customFormat="1" ht="15.75">
      <c r="A125" s="96" t="s">
        <v>351</v>
      </c>
      <c r="B125" s="97" t="s">
        <v>352</v>
      </c>
      <c r="C125" s="98">
        <f>SUM(C120:C124)</f>
        <v>19862</v>
      </c>
      <c r="D125" s="98">
        <f>SUM(D120:D124)</f>
        <v>2877</v>
      </c>
      <c r="E125" s="98">
        <f>SUM(E120:E124)</f>
        <v>32262</v>
      </c>
    </row>
    <row r="126" spans="1:5" s="113" customFormat="1" ht="15.75">
      <c r="A126" s="150" t="s">
        <v>353</v>
      </c>
      <c r="B126" s="97" t="s">
        <v>354</v>
      </c>
      <c r="C126" s="98">
        <f>+C125+C119+C118+C112+C100+C93+C92</f>
        <v>2899821</v>
      </c>
      <c r="D126" s="98">
        <f>+D125+D119+D118+D112+D100+D93+D92</f>
        <v>3103785</v>
      </c>
      <c r="E126" s="98">
        <f>+E125+E119+E118+E112+E100+E93+E92</f>
        <v>4231323</v>
      </c>
    </row>
    <row r="127" spans="1:5" s="113" customFormat="1" ht="15.75">
      <c r="A127" s="357" t="s">
        <v>355</v>
      </c>
      <c r="B127" s="129"/>
      <c r="C127" s="130">
        <f>+C119+C112+C100+C92-C33</f>
        <v>92801</v>
      </c>
      <c r="D127" s="130">
        <f>+D119+D112+D100+D92-D33</f>
        <v>-74050</v>
      </c>
      <c r="E127" s="130">
        <f>+E119+E112+E100+E92-E33</f>
        <v>-168432.96999999974</v>
      </c>
    </row>
    <row r="128" spans="1:5" s="113" customFormat="1" ht="15.75">
      <c r="A128" s="357" t="s">
        <v>356</v>
      </c>
      <c r="B128" s="129"/>
      <c r="C128" s="130">
        <f>+C125+C118+C93-C57</f>
        <v>-46129</v>
      </c>
      <c r="D128" s="130">
        <f>+D125+D118+D93-D57</f>
        <v>-39021</v>
      </c>
      <c r="E128" s="130">
        <f>+E125+E118+E93-E57</f>
        <v>0</v>
      </c>
    </row>
    <row r="129" spans="1:5" ht="15.75">
      <c r="A129" s="67" t="s">
        <v>357</v>
      </c>
      <c r="B129" s="46" t="s">
        <v>358</v>
      </c>
      <c r="C129" s="22"/>
      <c r="D129" s="22">
        <v>33038</v>
      </c>
      <c r="E129" s="108">
        <f>+'2 Össz'!E129</f>
        <v>0</v>
      </c>
    </row>
    <row r="130" spans="1:5" ht="15.75">
      <c r="A130" s="59" t="s">
        <v>783</v>
      </c>
      <c r="B130" s="46" t="s">
        <v>360</v>
      </c>
      <c r="C130" s="22"/>
      <c r="D130" s="22"/>
      <c r="E130" s="108">
        <f>+'2 Össz'!E130</f>
        <v>0</v>
      </c>
    </row>
    <row r="131" spans="1:5" ht="15.75">
      <c r="A131" s="67" t="s">
        <v>361</v>
      </c>
      <c r="B131" s="46" t="s">
        <v>362</v>
      </c>
      <c r="C131" s="22">
        <f>735000+9286</f>
        <v>744286</v>
      </c>
      <c r="D131" s="22">
        <v>88500</v>
      </c>
      <c r="E131" s="108">
        <f>+'2 Össz'!E131</f>
        <v>88500</v>
      </c>
    </row>
    <row r="132" spans="1:5" s="113" customFormat="1" ht="15.75">
      <c r="A132" s="150" t="s">
        <v>787</v>
      </c>
      <c r="B132" s="96" t="s">
        <v>364</v>
      </c>
      <c r="C132" s="98">
        <f>SUM(C129:C131)</f>
        <v>744286</v>
      </c>
      <c r="D132" s="98">
        <f>SUM(D129:D131)</f>
        <v>121538</v>
      </c>
      <c r="E132" s="98">
        <f>SUM(E129:E131)</f>
        <v>88500</v>
      </c>
    </row>
    <row r="133" spans="1:5" ht="15.75">
      <c r="A133" s="59" t="s">
        <v>365</v>
      </c>
      <c r="B133" s="46" t="s">
        <v>366</v>
      </c>
      <c r="C133" s="22"/>
      <c r="D133" s="22"/>
      <c r="E133" s="108">
        <f>+'2 Össz'!E133</f>
        <v>0</v>
      </c>
    </row>
    <row r="134" spans="1:5" ht="15.75">
      <c r="A134" s="67" t="s">
        <v>789</v>
      </c>
      <c r="B134" s="46" t="s">
        <v>368</v>
      </c>
      <c r="C134" s="22"/>
      <c r="D134" s="22"/>
      <c r="E134" s="108">
        <f>+'2 Össz'!E134</f>
        <v>0</v>
      </c>
    </row>
    <row r="135" spans="1:5" ht="15.75">
      <c r="A135" s="59" t="s">
        <v>369</v>
      </c>
      <c r="B135" s="46" t="s">
        <v>370</v>
      </c>
      <c r="C135" s="22"/>
      <c r="D135" s="22"/>
      <c r="E135" s="108">
        <f>+'2 Össz'!E135</f>
        <v>0</v>
      </c>
    </row>
    <row r="136" spans="1:5" ht="15.75">
      <c r="A136" s="67" t="s">
        <v>791</v>
      </c>
      <c r="B136" s="46" t="s">
        <v>372</v>
      </c>
      <c r="C136" s="22"/>
      <c r="D136" s="22"/>
      <c r="E136" s="108">
        <f>+'2 Össz'!E136</f>
        <v>0</v>
      </c>
    </row>
    <row r="137" spans="1:5" s="113" customFormat="1" ht="15.75">
      <c r="A137" s="354" t="s">
        <v>373</v>
      </c>
      <c r="B137" s="96" t="s">
        <v>374</v>
      </c>
      <c r="C137" s="98">
        <f>SUM(C133:C136)</f>
        <v>0</v>
      </c>
      <c r="D137" s="98">
        <f>SUM(D133:D136)</f>
        <v>0</v>
      </c>
      <c r="E137" s="98">
        <f>SUM(E133:E136)</f>
        <v>0</v>
      </c>
    </row>
    <row r="138" spans="1:5" ht="15.75">
      <c r="A138" s="46" t="s">
        <v>375</v>
      </c>
      <c r="B138" s="46" t="s">
        <v>376</v>
      </c>
      <c r="C138" s="22">
        <v>129791</v>
      </c>
      <c r="D138" s="22">
        <v>250731</v>
      </c>
      <c r="E138" s="108">
        <f>+'2 Össz'!E138</f>
        <v>168433</v>
      </c>
    </row>
    <row r="139" spans="1:5" ht="15.75">
      <c r="A139" s="46" t="s">
        <v>377</v>
      </c>
      <c r="B139" s="46" t="s">
        <v>376</v>
      </c>
      <c r="C139" s="22">
        <v>63000</v>
      </c>
      <c r="D139" s="22">
        <v>26502</v>
      </c>
      <c r="E139" s="108">
        <f>+'2 Össz'!E139</f>
        <v>0</v>
      </c>
    </row>
    <row r="140" spans="1:5" ht="15.75">
      <c r="A140" s="46" t="s">
        <v>378</v>
      </c>
      <c r="B140" s="46" t="s">
        <v>379</v>
      </c>
      <c r="C140" s="22"/>
      <c r="D140" s="22"/>
      <c r="E140" s="108">
        <f>+'2 Össz'!E140</f>
        <v>0</v>
      </c>
    </row>
    <row r="141" spans="1:5" ht="15.75">
      <c r="A141" s="46" t="s">
        <v>380</v>
      </c>
      <c r="B141" s="46" t="s">
        <v>379</v>
      </c>
      <c r="C141" s="22"/>
      <c r="D141" s="22"/>
      <c r="E141" s="108">
        <f>+'2 Össz'!E141</f>
        <v>0</v>
      </c>
    </row>
    <row r="142" spans="1:5" s="113" customFormat="1" ht="15.75">
      <c r="A142" s="96" t="s">
        <v>381</v>
      </c>
      <c r="B142" s="96" t="s">
        <v>382</v>
      </c>
      <c r="C142" s="98">
        <f>SUM(C138:C141)</f>
        <v>192791</v>
      </c>
      <c r="D142" s="98">
        <f>SUM(D138:D141)</f>
        <v>277233</v>
      </c>
      <c r="E142" s="98">
        <f>SUM(E138:E141)</f>
        <v>168433</v>
      </c>
    </row>
    <row r="143" spans="1:5" ht="15.75">
      <c r="A143" s="67" t="s">
        <v>383</v>
      </c>
      <c r="B143" s="46" t="s">
        <v>384</v>
      </c>
      <c r="C143" s="22"/>
      <c r="D143" s="22">
        <v>25996</v>
      </c>
      <c r="E143" s="108">
        <f>+'2 Össz'!E143</f>
        <v>0</v>
      </c>
    </row>
    <row r="144" spans="1:5" ht="15.75">
      <c r="A144" s="67" t="s">
        <v>385</v>
      </c>
      <c r="B144" s="46" t="s">
        <v>386</v>
      </c>
      <c r="C144" s="22"/>
      <c r="D144" s="22"/>
      <c r="E144" s="108">
        <f>+'2 Össz'!E144</f>
        <v>0</v>
      </c>
    </row>
    <row r="145" spans="1:5" ht="15.75">
      <c r="A145" s="67" t="s">
        <v>387</v>
      </c>
      <c r="B145" s="46" t="s">
        <v>388</v>
      </c>
      <c r="C145" s="22"/>
      <c r="D145" s="22"/>
      <c r="E145" s="108">
        <f>+'2 Össz'!E145</f>
        <v>0</v>
      </c>
    </row>
    <row r="146" spans="1:5" ht="15.75">
      <c r="A146" s="67" t="s">
        <v>792</v>
      </c>
      <c r="B146" s="46" t="s">
        <v>390</v>
      </c>
      <c r="C146" s="22"/>
      <c r="D146" s="22"/>
      <c r="E146" s="108">
        <f>+'2 Össz'!E146</f>
        <v>0</v>
      </c>
    </row>
    <row r="147" spans="1:5" ht="15.75">
      <c r="A147" s="59" t="s">
        <v>391</v>
      </c>
      <c r="B147" s="46" t="s">
        <v>392</v>
      </c>
      <c r="C147" s="22"/>
      <c r="D147" s="22"/>
      <c r="E147" s="108">
        <f>+'2 Össz'!E147</f>
        <v>0</v>
      </c>
    </row>
    <row r="148" spans="1:5" ht="15.75">
      <c r="A148" s="59" t="s">
        <v>393</v>
      </c>
      <c r="B148" s="46" t="s">
        <v>394</v>
      </c>
      <c r="C148" s="22"/>
      <c r="D148" s="22"/>
      <c r="E148" s="108">
        <f>+'2 Össz'!E148</f>
        <v>0</v>
      </c>
    </row>
    <row r="149" spans="1:5" s="113" customFormat="1" ht="15.75">
      <c r="A149" s="150" t="s">
        <v>395</v>
      </c>
      <c r="B149" s="96" t="s">
        <v>396</v>
      </c>
      <c r="C149" s="98">
        <f>+C142+C137+C132</f>
        <v>937077</v>
      </c>
      <c r="D149" s="98">
        <f>+D142+D137+D132+D143+D144</f>
        <v>424767</v>
      </c>
      <c r="E149" s="98">
        <f>+E142+E137+E132+E143+E144</f>
        <v>256933</v>
      </c>
    </row>
    <row r="150" spans="1:5" ht="15.75" hidden="1">
      <c r="A150" s="67" t="s">
        <v>397</v>
      </c>
      <c r="B150" s="46" t="s">
        <v>398</v>
      </c>
      <c r="C150" s="22"/>
      <c r="D150" s="22"/>
      <c r="E150" s="108">
        <f>+'2 Össz'!E150</f>
        <v>0</v>
      </c>
    </row>
    <row r="151" spans="1:5" ht="15.75" hidden="1">
      <c r="A151" s="59" t="s">
        <v>399</v>
      </c>
      <c r="B151" s="46" t="s">
        <v>400</v>
      </c>
      <c r="C151" s="22"/>
      <c r="D151" s="22"/>
      <c r="E151" s="108">
        <f>+'2 Össz'!E151</f>
        <v>0</v>
      </c>
    </row>
    <row r="152" spans="1:5" ht="15.75" hidden="1">
      <c r="A152" s="59" t="s">
        <v>401</v>
      </c>
      <c r="B152" s="46" t="s">
        <v>402</v>
      </c>
      <c r="C152" s="22"/>
      <c r="D152" s="22"/>
      <c r="E152" s="108">
        <f>+'2 Össz'!E152</f>
        <v>0</v>
      </c>
    </row>
    <row r="153" spans="1:5" s="113" customFormat="1" ht="15.75">
      <c r="A153" s="354" t="s">
        <v>403</v>
      </c>
      <c r="B153" s="96" t="s">
        <v>404</v>
      </c>
      <c r="C153" s="98">
        <f>+C152+C150+C149</f>
        <v>937077</v>
      </c>
      <c r="D153" s="98">
        <f>+D152+D150+D149</f>
        <v>424767</v>
      </c>
      <c r="E153" s="98">
        <f>+E152+E150+E149</f>
        <v>256933</v>
      </c>
    </row>
    <row r="154" spans="1:5" s="113" customFormat="1" ht="15.75">
      <c r="A154" s="121" t="s">
        <v>405</v>
      </c>
      <c r="B154" s="121" t="s">
        <v>406</v>
      </c>
      <c r="C154" s="98">
        <f>+C126+C153</f>
        <v>3836898</v>
      </c>
      <c r="D154" s="98">
        <f>+D126+D153</f>
        <v>3528552</v>
      </c>
      <c r="E154" s="98">
        <f>+E126+E153</f>
        <v>4488256</v>
      </c>
    </row>
    <row r="155" spans="3:6" ht="15.75">
      <c r="C155" s="13">
        <f>+C154-C76</f>
        <v>317567</v>
      </c>
      <c r="D155" s="13">
        <f>+D154-D76</f>
        <v>0</v>
      </c>
      <c r="E155" s="13">
        <f>+E154-E76</f>
        <v>0.03000000026077032</v>
      </c>
      <c r="F155" s="13"/>
    </row>
    <row r="156" spans="1:5" ht="15.75">
      <c r="A156" s="87"/>
      <c r="C156" s="13"/>
      <c r="D156" s="13"/>
      <c r="E156" s="13"/>
    </row>
    <row r="157" ht="15.75">
      <c r="C157" s="13"/>
    </row>
  </sheetData>
  <sheetProtection selectLockedCells="1" selectUnlockedCells="1"/>
  <mergeCells count="1">
    <mergeCell ref="A4:E4"/>
  </mergeCells>
  <printOptions horizontalCentered="1"/>
  <pageMargins left="0.7083333333333334" right="0.7083333333333334" top="0.5118055555555555" bottom="0.5909722222222222" header="0.5118055555555555" footer="0.31527777777777777"/>
  <pageSetup horizontalDpi="300" verticalDpi="300" orientation="portrait" paperSize="9" scale="60" r:id="rId1"/>
  <headerFooter alignWithMargins="0">
    <oddFooter>&amp;R&amp;P</oddFooter>
  </headerFooter>
  <rowBreaks count="1" manualBreakCount="1">
    <brk id="7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Q156"/>
  <sheetViews>
    <sheetView view="pageBreakPreview" zoomScale="75" zoomScaleSheetLayoutView="75" workbookViewId="0" topLeftCell="C1">
      <selection activeCell="G143" sqref="G143"/>
    </sheetView>
  </sheetViews>
  <sheetFormatPr defaultColWidth="9.140625" defaultRowHeight="15"/>
  <cols>
    <col min="1" max="1" width="80.421875" style="0" customWidth="1"/>
    <col min="2" max="2" width="10.28125" style="0" customWidth="1"/>
    <col min="3" max="3" width="11.8515625" style="0" customWidth="1"/>
    <col min="4" max="4" width="14.140625" style="358" customWidth="1"/>
    <col min="5" max="15" width="14.140625" style="0" customWidth="1"/>
    <col min="16" max="16" width="10.57421875" style="0" customWidth="1"/>
  </cols>
  <sheetData>
    <row r="1" ht="15.75">
      <c r="O1" s="30" t="s">
        <v>33</v>
      </c>
    </row>
    <row r="2" ht="15.75">
      <c r="O2" s="14" t="s">
        <v>88</v>
      </c>
    </row>
    <row r="3" spans="1:15" ht="18.75">
      <c r="A3" s="32" t="s">
        <v>89</v>
      </c>
      <c r="B3" s="359"/>
      <c r="C3" s="359"/>
      <c r="D3" s="360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ht="18">
      <c r="A4" s="361" t="s">
        <v>34</v>
      </c>
      <c r="B4" s="362"/>
      <c r="C4" s="362"/>
      <c r="D4" s="363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</row>
    <row r="6" ht="15">
      <c r="A6" s="364"/>
    </row>
    <row r="7" spans="1:17" s="368" customFormat="1" ht="31.5">
      <c r="A7" s="17" t="s">
        <v>92</v>
      </c>
      <c r="B7" s="40" t="s">
        <v>119</v>
      </c>
      <c r="C7" s="40" t="s">
        <v>601</v>
      </c>
      <c r="D7" s="365" t="s">
        <v>35</v>
      </c>
      <c r="E7" s="366" t="s">
        <v>36</v>
      </c>
      <c r="F7" s="366" t="s">
        <v>37</v>
      </c>
      <c r="G7" s="366" t="s">
        <v>38</v>
      </c>
      <c r="H7" s="366" t="s">
        <v>39</v>
      </c>
      <c r="I7" s="366" t="s">
        <v>40</v>
      </c>
      <c r="J7" s="366" t="s">
        <v>41</v>
      </c>
      <c r="K7" s="366" t="s">
        <v>42</v>
      </c>
      <c r="L7" s="366" t="s">
        <v>43</v>
      </c>
      <c r="M7" s="366" t="s">
        <v>44</v>
      </c>
      <c r="N7" s="366" t="s">
        <v>45</v>
      </c>
      <c r="O7" s="366" t="s">
        <v>46</v>
      </c>
      <c r="P7" s="367"/>
      <c r="Q7" s="367"/>
    </row>
    <row r="8" spans="1:17" ht="15.75">
      <c r="A8" s="43" t="s">
        <v>120</v>
      </c>
      <c r="B8" s="44" t="s">
        <v>121</v>
      </c>
      <c r="C8" s="369">
        <f>+'2 Össz'!E7</f>
        <v>1022524</v>
      </c>
      <c r="D8" s="22">
        <f>+ROUND($C$8/12,0)</f>
        <v>85210</v>
      </c>
      <c r="E8" s="22">
        <f aca="true" t="shared" si="0" ref="E8:N8">+ROUND($C$8/12,0)</f>
        <v>85210</v>
      </c>
      <c r="F8" s="22">
        <f t="shared" si="0"/>
        <v>85210</v>
      </c>
      <c r="G8" s="22">
        <f t="shared" si="0"/>
        <v>85210</v>
      </c>
      <c r="H8" s="22">
        <f t="shared" si="0"/>
        <v>85210</v>
      </c>
      <c r="I8" s="22">
        <f t="shared" si="0"/>
        <v>85210</v>
      </c>
      <c r="J8" s="22">
        <f t="shared" si="0"/>
        <v>85210</v>
      </c>
      <c r="K8" s="22">
        <f t="shared" si="0"/>
        <v>85210</v>
      </c>
      <c r="L8" s="22">
        <f t="shared" si="0"/>
        <v>85210</v>
      </c>
      <c r="M8" s="22">
        <f t="shared" si="0"/>
        <v>85210</v>
      </c>
      <c r="N8" s="22">
        <f t="shared" si="0"/>
        <v>85210</v>
      </c>
      <c r="O8" s="22">
        <f>+ROUND($C$8/12,0)+4</f>
        <v>85214</v>
      </c>
      <c r="P8" s="370"/>
      <c r="Q8" s="364"/>
    </row>
    <row r="9" spans="1:17" ht="15.75">
      <c r="A9" s="46" t="s">
        <v>122</v>
      </c>
      <c r="B9" s="44" t="s">
        <v>123</v>
      </c>
      <c r="C9" s="369">
        <f>+'2 Össz'!E8</f>
        <v>40714</v>
      </c>
      <c r="D9" s="22">
        <f>+ROUND($C$9/12,0)</f>
        <v>3393</v>
      </c>
      <c r="E9" s="22">
        <f aca="true" t="shared" si="1" ref="E9:N9">+ROUND($C$9/12,0)</f>
        <v>3393</v>
      </c>
      <c r="F9" s="22">
        <f t="shared" si="1"/>
        <v>3393</v>
      </c>
      <c r="G9" s="22">
        <f t="shared" si="1"/>
        <v>3393</v>
      </c>
      <c r="H9" s="22">
        <f t="shared" si="1"/>
        <v>3393</v>
      </c>
      <c r="I9" s="22">
        <f t="shared" si="1"/>
        <v>3393</v>
      </c>
      <c r="J9" s="22">
        <f t="shared" si="1"/>
        <v>3393</v>
      </c>
      <c r="K9" s="22">
        <f t="shared" si="1"/>
        <v>3393</v>
      </c>
      <c r="L9" s="22">
        <f t="shared" si="1"/>
        <v>3393</v>
      </c>
      <c r="M9" s="22">
        <f t="shared" si="1"/>
        <v>3393</v>
      </c>
      <c r="N9" s="22">
        <f t="shared" si="1"/>
        <v>3393</v>
      </c>
      <c r="O9" s="22">
        <f>+ROUND($C$9/12,0)-2</f>
        <v>3391</v>
      </c>
      <c r="P9" s="370"/>
      <c r="Q9" s="364"/>
    </row>
    <row r="10" spans="1:17" s="374" customFormat="1" ht="15.75">
      <c r="A10" s="111" t="s">
        <v>124</v>
      </c>
      <c r="B10" s="350" t="s">
        <v>125</v>
      </c>
      <c r="C10" s="371">
        <f>+'2 Össz'!E9</f>
        <v>1063238</v>
      </c>
      <c r="D10" s="98">
        <f>SUM(D8:D9)</f>
        <v>88603</v>
      </c>
      <c r="E10" s="98">
        <f aca="true" t="shared" si="2" ref="E10:O10">SUM(E8:E9)</f>
        <v>88603</v>
      </c>
      <c r="F10" s="98">
        <f t="shared" si="2"/>
        <v>88603</v>
      </c>
      <c r="G10" s="98">
        <f t="shared" si="2"/>
        <v>88603</v>
      </c>
      <c r="H10" s="98">
        <f t="shared" si="2"/>
        <v>88603</v>
      </c>
      <c r="I10" s="98">
        <f t="shared" si="2"/>
        <v>88603</v>
      </c>
      <c r="J10" s="98">
        <f t="shared" si="2"/>
        <v>88603</v>
      </c>
      <c r="K10" s="98">
        <f t="shared" si="2"/>
        <v>88603</v>
      </c>
      <c r="L10" s="98">
        <f t="shared" si="2"/>
        <v>88603</v>
      </c>
      <c r="M10" s="98">
        <f t="shared" si="2"/>
        <v>88603</v>
      </c>
      <c r="N10" s="98">
        <f t="shared" si="2"/>
        <v>88603</v>
      </c>
      <c r="O10" s="98">
        <f t="shared" si="2"/>
        <v>88605</v>
      </c>
      <c r="P10" s="372"/>
      <c r="Q10" s="373"/>
    </row>
    <row r="11" spans="1:17" s="377" customFormat="1" ht="15.75">
      <c r="A11" s="49" t="s">
        <v>126</v>
      </c>
      <c r="B11" s="48" t="s">
        <v>127</v>
      </c>
      <c r="C11" s="369">
        <f>+'2 Össz'!E10</f>
        <v>253514</v>
      </c>
      <c r="D11" s="145">
        <f>+ROUND($C$11/12,0)</f>
        <v>21126</v>
      </c>
      <c r="E11" s="145">
        <f aca="true" t="shared" si="3" ref="E11:N11">+ROUND($C$11/12,0)</f>
        <v>21126</v>
      </c>
      <c r="F11" s="145">
        <f t="shared" si="3"/>
        <v>21126</v>
      </c>
      <c r="G11" s="145">
        <f t="shared" si="3"/>
        <v>21126</v>
      </c>
      <c r="H11" s="145">
        <f t="shared" si="3"/>
        <v>21126</v>
      </c>
      <c r="I11" s="145">
        <f t="shared" si="3"/>
        <v>21126</v>
      </c>
      <c r="J11" s="145">
        <f t="shared" si="3"/>
        <v>21126</v>
      </c>
      <c r="K11" s="145">
        <f t="shared" si="3"/>
        <v>21126</v>
      </c>
      <c r="L11" s="145">
        <f t="shared" si="3"/>
        <v>21126</v>
      </c>
      <c r="M11" s="145">
        <f t="shared" si="3"/>
        <v>21126</v>
      </c>
      <c r="N11" s="145">
        <f t="shared" si="3"/>
        <v>21126</v>
      </c>
      <c r="O11" s="145">
        <f>+ROUND($C$11/12,0)+2</f>
        <v>21128</v>
      </c>
      <c r="P11" s="375"/>
      <c r="Q11" s="376"/>
    </row>
    <row r="12" spans="1:17" ht="15.75">
      <c r="A12" s="46" t="s">
        <v>128</v>
      </c>
      <c r="B12" s="44" t="s">
        <v>129</v>
      </c>
      <c r="C12" s="369">
        <f>+'2 Össz'!E11</f>
        <v>265156</v>
      </c>
      <c r="D12" s="22">
        <f>+ROUND($C$12/12,0)</f>
        <v>22096</v>
      </c>
      <c r="E12" s="22">
        <f aca="true" t="shared" si="4" ref="E12:N12">+ROUND($C$12/12,0)</f>
        <v>22096</v>
      </c>
      <c r="F12" s="22">
        <f t="shared" si="4"/>
        <v>22096</v>
      </c>
      <c r="G12" s="22">
        <f t="shared" si="4"/>
        <v>22096</v>
      </c>
      <c r="H12" s="22">
        <f t="shared" si="4"/>
        <v>22096</v>
      </c>
      <c r="I12" s="22">
        <f t="shared" si="4"/>
        <v>22096</v>
      </c>
      <c r="J12" s="22">
        <f t="shared" si="4"/>
        <v>22096</v>
      </c>
      <c r="K12" s="22">
        <f t="shared" si="4"/>
        <v>22096</v>
      </c>
      <c r="L12" s="22">
        <f t="shared" si="4"/>
        <v>22096</v>
      </c>
      <c r="M12" s="22">
        <f t="shared" si="4"/>
        <v>22096</v>
      </c>
      <c r="N12" s="22">
        <f t="shared" si="4"/>
        <v>22096</v>
      </c>
      <c r="O12" s="22">
        <f>+ROUND($C$12/12,0)+4</f>
        <v>22100</v>
      </c>
      <c r="P12" s="370"/>
      <c r="Q12" s="364"/>
    </row>
    <row r="13" spans="1:17" ht="15.75">
      <c r="A13" s="46" t="s">
        <v>130</v>
      </c>
      <c r="B13" s="44" t="s">
        <v>131</v>
      </c>
      <c r="C13" s="369">
        <f>+'2 Össz'!E12</f>
        <v>15495</v>
      </c>
      <c r="D13" s="22">
        <f>+ROUND($C$13/12,0)</f>
        <v>1291</v>
      </c>
      <c r="E13" s="22">
        <f aca="true" t="shared" si="5" ref="E13:N13">+ROUND($C$13/12,0)</f>
        <v>1291</v>
      </c>
      <c r="F13" s="22">
        <f t="shared" si="5"/>
        <v>1291</v>
      </c>
      <c r="G13" s="22">
        <f t="shared" si="5"/>
        <v>1291</v>
      </c>
      <c r="H13" s="22">
        <f t="shared" si="5"/>
        <v>1291</v>
      </c>
      <c r="I13" s="22">
        <f t="shared" si="5"/>
        <v>1291</v>
      </c>
      <c r="J13" s="22">
        <f t="shared" si="5"/>
        <v>1291</v>
      </c>
      <c r="K13" s="22">
        <f t="shared" si="5"/>
        <v>1291</v>
      </c>
      <c r="L13" s="22">
        <f t="shared" si="5"/>
        <v>1291</v>
      </c>
      <c r="M13" s="22">
        <f t="shared" si="5"/>
        <v>1291</v>
      </c>
      <c r="N13" s="22">
        <f t="shared" si="5"/>
        <v>1291</v>
      </c>
      <c r="O13" s="22">
        <f>+ROUND($C$13/12,0)+3</f>
        <v>1294</v>
      </c>
      <c r="P13" s="370"/>
      <c r="Q13" s="364"/>
    </row>
    <row r="14" spans="1:17" ht="15.75">
      <c r="A14" s="46" t="s">
        <v>132</v>
      </c>
      <c r="B14" s="44" t="s">
        <v>133</v>
      </c>
      <c r="C14" s="369">
        <f>+'2 Össz'!E13</f>
        <v>418371</v>
      </c>
      <c r="D14" s="22">
        <f>+ROUND($C$14/12,0)</f>
        <v>34864</v>
      </c>
      <c r="E14" s="22">
        <f aca="true" t="shared" si="6" ref="E14:N14">+ROUND($C$14/12,0)</f>
        <v>34864</v>
      </c>
      <c r="F14" s="22">
        <f t="shared" si="6"/>
        <v>34864</v>
      </c>
      <c r="G14" s="22">
        <f t="shared" si="6"/>
        <v>34864</v>
      </c>
      <c r="H14" s="22">
        <f t="shared" si="6"/>
        <v>34864</v>
      </c>
      <c r="I14" s="22">
        <f t="shared" si="6"/>
        <v>34864</v>
      </c>
      <c r="J14" s="22">
        <f t="shared" si="6"/>
        <v>34864</v>
      </c>
      <c r="K14" s="22">
        <f t="shared" si="6"/>
        <v>34864</v>
      </c>
      <c r="L14" s="22">
        <f t="shared" si="6"/>
        <v>34864</v>
      </c>
      <c r="M14" s="22">
        <f t="shared" si="6"/>
        <v>34864</v>
      </c>
      <c r="N14" s="22">
        <f t="shared" si="6"/>
        <v>34864</v>
      </c>
      <c r="O14" s="22">
        <f>+ROUND($C$14/12,0)+3</f>
        <v>34867</v>
      </c>
      <c r="P14" s="370"/>
      <c r="Q14" s="364"/>
    </row>
    <row r="15" spans="1:17" ht="15.75">
      <c r="A15" s="46" t="s">
        <v>134</v>
      </c>
      <c r="B15" s="44" t="s">
        <v>135</v>
      </c>
      <c r="C15" s="369">
        <f>+'2 Össz'!E14</f>
        <v>8080</v>
      </c>
      <c r="D15" s="22">
        <f>+ROUND($C$15/12,0)</f>
        <v>673</v>
      </c>
      <c r="E15" s="22">
        <f aca="true" t="shared" si="7" ref="E15:N15">+ROUND($C$15/12,0)</f>
        <v>673</v>
      </c>
      <c r="F15" s="22">
        <f t="shared" si="7"/>
        <v>673</v>
      </c>
      <c r="G15" s="22">
        <f t="shared" si="7"/>
        <v>673</v>
      </c>
      <c r="H15" s="22">
        <f t="shared" si="7"/>
        <v>673</v>
      </c>
      <c r="I15" s="22">
        <f t="shared" si="7"/>
        <v>673</v>
      </c>
      <c r="J15" s="22">
        <f t="shared" si="7"/>
        <v>673</v>
      </c>
      <c r="K15" s="22">
        <f t="shared" si="7"/>
        <v>673</v>
      </c>
      <c r="L15" s="22">
        <f t="shared" si="7"/>
        <v>673</v>
      </c>
      <c r="M15" s="22">
        <f t="shared" si="7"/>
        <v>673</v>
      </c>
      <c r="N15" s="22">
        <f t="shared" si="7"/>
        <v>673</v>
      </c>
      <c r="O15" s="22">
        <f>+ROUND($C$15/12,0)+4</f>
        <v>677</v>
      </c>
      <c r="P15" s="370"/>
      <c r="Q15" s="364"/>
    </row>
    <row r="16" spans="1:17" ht="15.75">
      <c r="A16" s="46" t="s">
        <v>136</v>
      </c>
      <c r="B16" s="44" t="s">
        <v>137</v>
      </c>
      <c r="C16" s="369">
        <f>+'2 Össz'!E15</f>
        <v>300733.97</v>
      </c>
      <c r="D16" s="22">
        <f>+ROUND($C$16/12,0)</f>
        <v>25061</v>
      </c>
      <c r="E16" s="22">
        <f aca="true" t="shared" si="8" ref="E16:N16">+ROUND($C$16/12,0)</f>
        <v>25061</v>
      </c>
      <c r="F16" s="22">
        <f t="shared" si="8"/>
        <v>25061</v>
      </c>
      <c r="G16" s="22">
        <f t="shared" si="8"/>
        <v>25061</v>
      </c>
      <c r="H16" s="22">
        <f t="shared" si="8"/>
        <v>25061</v>
      </c>
      <c r="I16" s="22">
        <f t="shared" si="8"/>
        <v>25061</v>
      </c>
      <c r="J16" s="22">
        <f t="shared" si="8"/>
        <v>25061</v>
      </c>
      <c r="K16" s="22">
        <f t="shared" si="8"/>
        <v>25061</v>
      </c>
      <c r="L16" s="22">
        <f t="shared" si="8"/>
        <v>25061</v>
      </c>
      <c r="M16" s="22">
        <f t="shared" si="8"/>
        <v>25061</v>
      </c>
      <c r="N16" s="22">
        <f t="shared" si="8"/>
        <v>25061</v>
      </c>
      <c r="O16" s="22">
        <f>+ROUND($C$16/12,0)+2</f>
        <v>25063</v>
      </c>
      <c r="P16" s="370"/>
      <c r="Q16" s="364"/>
    </row>
    <row r="17" spans="1:17" s="374" customFormat="1" ht="15.75">
      <c r="A17" s="96" t="s">
        <v>138</v>
      </c>
      <c r="B17" s="350" t="s">
        <v>139</v>
      </c>
      <c r="C17" s="371">
        <f>+'2 Össz'!E16</f>
        <v>1007835.97</v>
      </c>
      <c r="D17" s="98">
        <f>SUM(D12:D16)</f>
        <v>83985</v>
      </c>
      <c r="E17" s="98">
        <f aca="true" t="shared" si="9" ref="E17:O17">SUM(E12:E16)</f>
        <v>83985</v>
      </c>
      <c r="F17" s="98">
        <f t="shared" si="9"/>
        <v>83985</v>
      </c>
      <c r="G17" s="98">
        <f t="shared" si="9"/>
        <v>83985</v>
      </c>
      <c r="H17" s="98">
        <f t="shared" si="9"/>
        <v>83985</v>
      </c>
      <c r="I17" s="98">
        <f t="shared" si="9"/>
        <v>83985</v>
      </c>
      <c r="J17" s="98">
        <f t="shared" si="9"/>
        <v>83985</v>
      </c>
      <c r="K17" s="98">
        <f t="shared" si="9"/>
        <v>83985</v>
      </c>
      <c r="L17" s="98">
        <f t="shared" si="9"/>
        <v>83985</v>
      </c>
      <c r="M17" s="98">
        <f t="shared" si="9"/>
        <v>83985</v>
      </c>
      <c r="N17" s="98">
        <f t="shared" si="9"/>
        <v>83985</v>
      </c>
      <c r="O17" s="98">
        <f t="shared" si="9"/>
        <v>84001</v>
      </c>
      <c r="P17" s="372"/>
      <c r="Q17" s="373"/>
    </row>
    <row r="18" spans="1:17" s="377" customFormat="1" ht="15.75">
      <c r="A18" s="50" t="s">
        <v>140</v>
      </c>
      <c r="B18" s="48" t="s">
        <v>141</v>
      </c>
      <c r="C18" s="369">
        <f>+'2 Össz'!E17</f>
        <v>105033</v>
      </c>
      <c r="D18" s="145">
        <f>+ROUND($C$18/12,0)</f>
        <v>8753</v>
      </c>
      <c r="E18" s="145">
        <f aca="true" t="shared" si="10" ref="E18:N18">+ROUND($C$18/12,0)</f>
        <v>8753</v>
      </c>
      <c r="F18" s="145">
        <f t="shared" si="10"/>
        <v>8753</v>
      </c>
      <c r="G18" s="145">
        <f t="shared" si="10"/>
        <v>8753</v>
      </c>
      <c r="H18" s="145">
        <f t="shared" si="10"/>
        <v>8753</v>
      </c>
      <c r="I18" s="145">
        <f t="shared" si="10"/>
        <v>8753</v>
      </c>
      <c r="J18" s="145">
        <f t="shared" si="10"/>
        <v>8753</v>
      </c>
      <c r="K18" s="145">
        <f t="shared" si="10"/>
        <v>8753</v>
      </c>
      <c r="L18" s="145">
        <f t="shared" si="10"/>
        <v>8753</v>
      </c>
      <c r="M18" s="145">
        <f t="shared" si="10"/>
        <v>8753</v>
      </c>
      <c r="N18" s="145">
        <f t="shared" si="10"/>
        <v>8753</v>
      </c>
      <c r="O18" s="145">
        <f>+ROUND($C$18/12,0)-3</f>
        <v>8750</v>
      </c>
      <c r="P18" s="375"/>
      <c r="Q18" s="376"/>
    </row>
    <row r="19" spans="1:17" ht="15.75">
      <c r="A19" s="51" t="s">
        <v>142</v>
      </c>
      <c r="B19" s="44" t="s">
        <v>143</v>
      </c>
      <c r="C19" s="369">
        <f>+'2 Össz'!E18</f>
        <v>0</v>
      </c>
      <c r="D19" s="22">
        <f>+ROUND($C$19/12,0)</f>
        <v>0</v>
      </c>
      <c r="E19" s="22">
        <f aca="true" t="shared" si="11" ref="E19:O19">+ROUND($C$19/12,0)</f>
        <v>0</v>
      </c>
      <c r="F19" s="22">
        <f t="shared" si="11"/>
        <v>0</v>
      </c>
      <c r="G19" s="22">
        <f t="shared" si="11"/>
        <v>0</v>
      </c>
      <c r="H19" s="22">
        <f t="shared" si="11"/>
        <v>0</v>
      </c>
      <c r="I19" s="22">
        <f t="shared" si="11"/>
        <v>0</v>
      </c>
      <c r="J19" s="22">
        <f t="shared" si="11"/>
        <v>0</v>
      </c>
      <c r="K19" s="22">
        <f t="shared" si="11"/>
        <v>0</v>
      </c>
      <c r="L19" s="22">
        <f t="shared" si="11"/>
        <v>0</v>
      </c>
      <c r="M19" s="22">
        <f t="shared" si="11"/>
        <v>0</v>
      </c>
      <c r="N19" s="22">
        <f t="shared" si="11"/>
        <v>0</v>
      </c>
      <c r="O19" s="22">
        <f t="shared" si="11"/>
        <v>0</v>
      </c>
      <c r="P19" s="370"/>
      <c r="Q19" s="364"/>
    </row>
    <row r="20" spans="1:17" ht="15.75">
      <c r="A20" s="51" t="s">
        <v>144</v>
      </c>
      <c r="B20" s="44" t="s">
        <v>145</v>
      </c>
      <c r="C20" s="369">
        <f>+'2 Össz'!E19</f>
        <v>12806</v>
      </c>
      <c r="D20" s="22">
        <f>+ROUND($C$20/12,0)</f>
        <v>1067</v>
      </c>
      <c r="E20" s="22">
        <f aca="true" t="shared" si="12" ref="E20:N20">+ROUND($C$20/12,0)</f>
        <v>1067</v>
      </c>
      <c r="F20" s="22">
        <f t="shared" si="12"/>
        <v>1067</v>
      </c>
      <c r="G20" s="22">
        <f t="shared" si="12"/>
        <v>1067</v>
      </c>
      <c r="H20" s="22">
        <f t="shared" si="12"/>
        <v>1067</v>
      </c>
      <c r="I20" s="22">
        <f t="shared" si="12"/>
        <v>1067</v>
      </c>
      <c r="J20" s="22">
        <f t="shared" si="12"/>
        <v>1067</v>
      </c>
      <c r="K20" s="22">
        <f t="shared" si="12"/>
        <v>1067</v>
      </c>
      <c r="L20" s="22">
        <f t="shared" si="12"/>
        <v>1067</v>
      </c>
      <c r="M20" s="22">
        <f t="shared" si="12"/>
        <v>1067</v>
      </c>
      <c r="N20" s="22">
        <f t="shared" si="12"/>
        <v>1067</v>
      </c>
      <c r="O20" s="22">
        <f>+ROUND($C$20/12,0)+2</f>
        <v>1069</v>
      </c>
      <c r="P20" s="370"/>
      <c r="Q20" s="364"/>
    </row>
    <row r="21" spans="1:17" ht="15.75">
      <c r="A21" s="51" t="s">
        <v>146</v>
      </c>
      <c r="B21" s="44" t="s">
        <v>147</v>
      </c>
      <c r="C21" s="369">
        <f>+'2 Össz'!E20</f>
        <v>0</v>
      </c>
      <c r="D21" s="22">
        <f>+ROUND($C$21/12,0)</f>
        <v>0</v>
      </c>
      <c r="E21" s="22">
        <f aca="true" t="shared" si="13" ref="E21:O21">+ROUND($C$21/12,0)</f>
        <v>0</v>
      </c>
      <c r="F21" s="22">
        <f t="shared" si="13"/>
        <v>0</v>
      </c>
      <c r="G21" s="22">
        <f t="shared" si="13"/>
        <v>0</v>
      </c>
      <c r="H21" s="22">
        <f t="shared" si="13"/>
        <v>0</v>
      </c>
      <c r="I21" s="22">
        <f t="shared" si="13"/>
        <v>0</v>
      </c>
      <c r="J21" s="22">
        <f t="shared" si="13"/>
        <v>0</v>
      </c>
      <c r="K21" s="22">
        <f t="shared" si="13"/>
        <v>0</v>
      </c>
      <c r="L21" s="22">
        <f t="shared" si="13"/>
        <v>0</v>
      </c>
      <c r="M21" s="22">
        <f t="shared" si="13"/>
        <v>0</v>
      </c>
      <c r="N21" s="22">
        <f t="shared" si="13"/>
        <v>0</v>
      </c>
      <c r="O21" s="22">
        <f t="shared" si="13"/>
        <v>0</v>
      </c>
      <c r="P21" s="370"/>
      <c r="Q21" s="364"/>
    </row>
    <row r="22" spans="1:17" ht="15.75">
      <c r="A22" s="51" t="s">
        <v>148</v>
      </c>
      <c r="B22" s="44" t="s">
        <v>149</v>
      </c>
      <c r="C22" s="369">
        <f>+'2 Össz'!E21</f>
        <v>0</v>
      </c>
      <c r="D22" s="22">
        <f>+ROUND($C$22/12,0)</f>
        <v>0</v>
      </c>
      <c r="E22" s="22">
        <f aca="true" t="shared" si="14" ref="E22:O22">+ROUND($C$22/12,0)</f>
        <v>0</v>
      </c>
      <c r="F22" s="22">
        <f t="shared" si="14"/>
        <v>0</v>
      </c>
      <c r="G22" s="22">
        <f t="shared" si="14"/>
        <v>0</v>
      </c>
      <c r="H22" s="22">
        <f t="shared" si="14"/>
        <v>0</v>
      </c>
      <c r="I22" s="22">
        <f t="shared" si="14"/>
        <v>0</v>
      </c>
      <c r="J22" s="22">
        <f t="shared" si="14"/>
        <v>0</v>
      </c>
      <c r="K22" s="22">
        <f t="shared" si="14"/>
        <v>0</v>
      </c>
      <c r="L22" s="22">
        <f t="shared" si="14"/>
        <v>0</v>
      </c>
      <c r="M22" s="22">
        <f t="shared" si="14"/>
        <v>0</v>
      </c>
      <c r="N22" s="22">
        <f t="shared" si="14"/>
        <v>0</v>
      </c>
      <c r="O22" s="22">
        <f t="shared" si="14"/>
        <v>0</v>
      </c>
      <c r="P22" s="370"/>
      <c r="Q22" s="364"/>
    </row>
    <row r="23" spans="1:17" ht="15.75">
      <c r="A23" s="51" t="s">
        <v>150</v>
      </c>
      <c r="B23" s="44" t="s">
        <v>151</v>
      </c>
      <c r="C23" s="369">
        <f>+'2 Össz'!E22</f>
        <v>0</v>
      </c>
      <c r="D23" s="22">
        <f>+ROUND($C$23/12,0)</f>
        <v>0</v>
      </c>
      <c r="E23" s="22">
        <f aca="true" t="shared" si="15" ref="E23:O23">+ROUND($C$23/12,0)</f>
        <v>0</v>
      </c>
      <c r="F23" s="22">
        <f t="shared" si="15"/>
        <v>0</v>
      </c>
      <c r="G23" s="22">
        <f t="shared" si="15"/>
        <v>0</v>
      </c>
      <c r="H23" s="22">
        <f t="shared" si="15"/>
        <v>0</v>
      </c>
      <c r="I23" s="22">
        <f t="shared" si="15"/>
        <v>0</v>
      </c>
      <c r="J23" s="22">
        <f t="shared" si="15"/>
        <v>0</v>
      </c>
      <c r="K23" s="22">
        <f t="shared" si="15"/>
        <v>0</v>
      </c>
      <c r="L23" s="22">
        <f t="shared" si="15"/>
        <v>0</v>
      </c>
      <c r="M23" s="22">
        <f t="shared" si="15"/>
        <v>0</v>
      </c>
      <c r="N23" s="22">
        <f t="shared" si="15"/>
        <v>0</v>
      </c>
      <c r="O23" s="22">
        <f t="shared" si="15"/>
        <v>0</v>
      </c>
      <c r="P23" s="370"/>
      <c r="Q23" s="364"/>
    </row>
    <row r="24" spans="1:17" ht="15.75">
      <c r="A24" s="51" t="s">
        <v>152</v>
      </c>
      <c r="B24" s="44" t="s">
        <v>153</v>
      </c>
      <c r="C24" s="369">
        <f>+'2 Össz'!E23</f>
        <v>152060</v>
      </c>
      <c r="D24" s="22">
        <f>+ROUND($C$24/12,0)</f>
        <v>12672</v>
      </c>
      <c r="E24" s="22">
        <f aca="true" t="shared" si="16" ref="E24:N24">+ROUND($C$24/12,0)</f>
        <v>12672</v>
      </c>
      <c r="F24" s="22">
        <f t="shared" si="16"/>
        <v>12672</v>
      </c>
      <c r="G24" s="22">
        <f t="shared" si="16"/>
        <v>12672</v>
      </c>
      <c r="H24" s="22">
        <f t="shared" si="16"/>
        <v>12672</v>
      </c>
      <c r="I24" s="22">
        <f t="shared" si="16"/>
        <v>12672</v>
      </c>
      <c r="J24" s="22">
        <f t="shared" si="16"/>
        <v>12672</v>
      </c>
      <c r="K24" s="22">
        <f t="shared" si="16"/>
        <v>12672</v>
      </c>
      <c r="L24" s="22">
        <f t="shared" si="16"/>
        <v>12672</v>
      </c>
      <c r="M24" s="22">
        <f t="shared" si="16"/>
        <v>12672</v>
      </c>
      <c r="N24" s="22">
        <f t="shared" si="16"/>
        <v>12672</v>
      </c>
      <c r="O24" s="22">
        <f>+ROUND($C$24/12,0)-4</f>
        <v>12668</v>
      </c>
      <c r="P24" s="370"/>
      <c r="Q24" s="364"/>
    </row>
    <row r="25" spans="1:17" ht="15.75">
      <c r="A25" s="51" t="s">
        <v>154</v>
      </c>
      <c r="B25" s="44" t="s">
        <v>155</v>
      </c>
      <c r="C25" s="369">
        <f>+'2 Össz'!E24</f>
        <v>0</v>
      </c>
      <c r="D25" s="22">
        <f>+ROUND($C$25/12,0)</f>
        <v>0</v>
      </c>
      <c r="E25" s="22">
        <f aca="true" t="shared" si="17" ref="E25:O25">+ROUND($C$25/12,0)</f>
        <v>0</v>
      </c>
      <c r="F25" s="22">
        <f t="shared" si="17"/>
        <v>0</v>
      </c>
      <c r="G25" s="22">
        <f t="shared" si="17"/>
        <v>0</v>
      </c>
      <c r="H25" s="22">
        <f t="shared" si="17"/>
        <v>0</v>
      </c>
      <c r="I25" s="22">
        <f t="shared" si="17"/>
        <v>0</v>
      </c>
      <c r="J25" s="22">
        <f t="shared" si="17"/>
        <v>0</v>
      </c>
      <c r="K25" s="22">
        <f t="shared" si="17"/>
        <v>0</v>
      </c>
      <c r="L25" s="22">
        <f t="shared" si="17"/>
        <v>0</v>
      </c>
      <c r="M25" s="22">
        <f t="shared" si="17"/>
        <v>0</v>
      </c>
      <c r="N25" s="22">
        <f t="shared" si="17"/>
        <v>0</v>
      </c>
      <c r="O25" s="22">
        <f t="shared" si="17"/>
        <v>0</v>
      </c>
      <c r="P25" s="370"/>
      <c r="Q25" s="364"/>
    </row>
    <row r="26" spans="1:17" ht="15.75">
      <c r="A26" s="51" t="s">
        <v>156</v>
      </c>
      <c r="B26" s="44" t="s">
        <v>157</v>
      </c>
      <c r="C26" s="369">
        <f>+'2 Össz'!E25</f>
        <v>0</v>
      </c>
      <c r="D26" s="22">
        <f>+ROUND($C$26/12,0)</f>
        <v>0</v>
      </c>
      <c r="E26" s="22">
        <f aca="true" t="shared" si="18" ref="E26:O26">+ROUND($C$26/12,0)</f>
        <v>0</v>
      </c>
      <c r="F26" s="22">
        <f t="shared" si="18"/>
        <v>0</v>
      </c>
      <c r="G26" s="22">
        <f t="shared" si="18"/>
        <v>0</v>
      </c>
      <c r="H26" s="22">
        <f t="shared" si="18"/>
        <v>0</v>
      </c>
      <c r="I26" s="22">
        <f t="shared" si="18"/>
        <v>0</v>
      </c>
      <c r="J26" s="22">
        <f t="shared" si="18"/>
        <v>0</v>
      </c>
      <c r="K26" s="22">
        <f t="shared" si="18"/>
        <v>0</v>
      </c>
      <c r="L26" s="22">
        <f t="shared" si="18"/>
        <v>0</v>
      </c>
      <c r="M26" s="22">
        <f t="shared" si="18"/>
        <v>0</v>
      </c>
      <c r="N26" s="22">
        <f t="shared" si="18"/>
        <v>0</v>
      </c>
      <c r="O26" s="22">
        <f t="shared" si="18"/>
        <v>0</v>
      </c>
      <c r="P26" s="370"/>
      <c r="Q26" s="364"/>
    </row>
    <row r="27" spans="1:17" ht="15.75">
      <c r="A27" s="51" t="s">
        <v>158</v>
      </c>
      <c r="B27" s="44" t="s">
        <v>159</v>
      </c>
      <c r="C27" s="369">
        <f>+'2 Össz'!E26</f>
        <v>0</v>
      </c>
      <c r="D27" s="22">
        <f>+ROUND($C$27/12,0)</f>
        <v>0</v>
      </c>
      <c r="E27" s="22">
        <f aca="true" t="shared" si="19" ref="E27:O27">+ROUND($C$27/12,0)</f>
        <v>0</v>
      </c>
      <c r="F27" s="22">
        <f t="shared" si="19"/>
        <v>0</v>
      </c>
      <c r="G27" s="22">
        <f t="shared" si="19"/>
        <v>0</v>
      </c>
      <c r="H27" s="22">
        <f t="shared" si="19"/>
        <v>0</v>
      </c>
      <c r="I27" s="22">
        <f t="shared" si="19"/>
        <v>0</v>
      </c>
      <c r="J27" s="22">
        <f t="shared" si="19"/>
        <v>0</v>
      </c>
      <c r="K27" s="22">
        <f t="shared" si="19"/>
        <v>0</v>
      </c>
      <c r="L27" s="22">
        <f t="shared" si="19"/>
        <v>0</v>
      </c>
      <c r="M27" s="22">
        <f t="shared" si="19"/>
        <v>0</v>
      </c>
      <c r="N27" s="22">
        <f t="shared" si="19"/>
        <v>0</v>
      </c>
      <c r="O27" s="22">
        <f t="shared" si="19"/>
        <v>0</v>
      </c>
      <c r="P27" s="370"/>
      <c r="Q27" s="364"/>
    </row>
    <row r="28" spans="1:17" ht="15.75">
      <c r="A28" s="52" t="s">
        <v>160</v>
      </c>
      <c r="B28" s="44" t="s">
        <v>161</v>
      </c>
      <c r="C28" s="369">
        <f>+'2 Össz'!E27</f>
        <v>0</v>
      </c>
      <c r="D28" s="22">
        <f>+ROUND($C$28/12,0)</f>
        <v>0</v>
      </c>
      <c r="E28" s="22">
        <f aca="true" t="shared" si="20" ref="E28:O29">+ROUND($C$28/12,0)</f>
        <v>0</v>
      </c>
      <c r="F28" s="22">
        <f t="shared" si="20"/>
        <v>0</v>
      </c>
      <c r="G28" s="22">
        <f t="shared" si="20"/>
        <v>0</v>
      </c>
      <c r="H28" s="22">
        <f t="shared" si="20"/>
        <v>0</v>
      </c>
      <c r="I28" s="22">
        <f t="shared" si="20"/>
        <v>0</v>
      </c>
      <c r="J28" s="22">
        <f t="shared" si="20"/>
        <v>0</v>
      </c>
      <c r="K28" s="22">
        <f t="shared" si="20"/>
        <v>0</v>
      </c>
      <c r="L28" s="22">
        <f t="shared" si="20"/>
        <v>0</v>
      </c>
      <c r="M28" s="22">
        <f t="shared" si="20"/>
        <v>0</v>
      </c>
      <c r="N28" s="22">
        <f t="shared" si="20"/>
        <v>0</v>
      </c>
      <c r="O28" s="22">
        <f t="shared" si="20"/>
        <v>0</v>
      </c>
      <c r="P28" s="370"/>
      <c r="Q28" s="364"/>
    </row>
    <row r="29" spans="1:17" ht="15.75">
      <c r="A29" s="51" t="s">
        <v>162</v>
      </c>
      <c r="B29" s="44" t="s">
        <v>163</v>
      </c>
      <c r="C29" s="369">
        <f>+'2 Össz'!E28</f>
        <v>0</v>
      </c>
      <c r="D29" s="22">
        <f>+ROUND($C$28/12,0)</f>
        <v>0</v>
      </c>
      <c r="E29" s="22">
        <f t="shared" si="20"/>
        <v>0</v>
      </c>
      <c r="F29" s="22">
        <f t="shared" si="20"/>
        <v>0</v>
      </c>
      <c r="G29" s="22">
        <f t="shared" si="20"/>
        <v>0</v>
      </c>
      <c r="H29" s="22">
        <f t="shared" si="20"/>
        <v>0</v>
      </c>
      <c r="I29" s="22">
        <f t="shared" si="20"/>
        <v>0</v>
      </c>
      <c r="J29" s="22">
        <f t="shared" si="20"/>
        <v>0</v>
      </c>
      <c r="K29" s="22">
        <f t="shared" si="20"/>
        <v>0</v>
      </c>
      <c r="L29" s="22">
        <f t="shared" si="20"/>
        <v>0</v>
      </c>
      <c r="M29" s="22">
        <f t="shared" si="20"/>
        <v>0</v>
      </c>
      <c r="N29" s="22">
        <f t="shared" si="20"/>
        <v>0</v>
      </c>
      <c r="O29" s="22">
        <f t="shared" si="20"/>
        <v>0</v>
      </c>
      <c r="P29" s="370"/>
      <c r="Q29" s="364"/>
    </row>
    <row r="30" spans="1:17" ht="15.75">
      <c r="A30" s="51" t="s">
        <v>164</v>
      </c>
      <c r="B30" s="44" t="s">
        <v>165</v>
      </c>
      <c r="C30" s="369">
        <f>+'2 Össz'!E29</f>
        <v>39993</v>
      </c>
      <c r="D30" s="22">
        <f>+ROUND($C$30/12,0)</f>
        <v>3333</v>
      </c>
      <c r="E30" s="22">
        <f aca="true" t="shared" si="21" ref="E30:N30">+ROUND($C$30/12,0)</f>
        <v>3333</v>
      </c>
      <c r="F30" s="22">
        <f t="shared" si="21"/>
        <v>3333</v>
      </c>
      <c r="G30" s="22">
        <f t="shared" si="21"/>
        <v>3333</v>
      </c>
      <c r="H30" s="22">
        <f t="shared" si="21"/>
        <v>3333</v>
      </c>
      <c r="I30" s="22">
        <f t="shared" si="21"/>
        <v>3333</v>
      </c>
      <c r="J30" s="22">
        <f t="shared" si="21"/>
        <v>3333</v>
      </c>
      <c r="K30" s="22">
        <f t="shared" si="21"/>
        <v>3333</v>
      </c>
      <c r="L30" s="22">
        <f t="shared" si="21"/>
        <v>3333</v>
      </c>
      <c r="M30" s="22">
        <f t="shared" si="21"/>
        <v>3333</v>
      </c>
      <c r="N30" s="22">
        <f t="shared" si="21"/>
        <v>3333</v>
      </c>
      <c r="O30" s="22">
        <f>+ROUND($C$30/12,0)-3</f>
        <v>3330</v>
      </c>
      <c r="P30" s="370"/>
      <c r="Q30" s="364"/>
    </row>
    <row r="31" spans="1:17" ht="15.75">
      <c r="A31" s="52" t="s">
        <v>166</v>
      </c>
      <c r="B31" s="44" t="s">
        <v>167</v>
      </c>
      <c r="C31" s="369">
        <f>+'2 Össz'!E30</f>
        <v>40000</v>
      </c>
      <c r="D31" s="22"/>
      <c r="E31" s="22"/>
      <c r="F31" s="22"/>
      <c r="G31" s="22"/>
      <c r="H31" s="22">
        <v>10000</v>
      </c>
      <c r="I31" s="22"/>
      <c r="J31" s="22"/>
      <c r="K31" s="22">
        <v>10000</v>
      </c>
      <c r="L31" s="22"/>
      <c r="M31" s="22">
        <v>10000</v>
      </c>
      <c r="N31" s="22"/>
      <c r="O31" s="22">
        <v>10000</v>
      </c>
      <c r="P31" s="370"/>
      <c r="Q31" s="364"/>
    </row>
    <row r="32" spans="1:17" ht="15.75">
      <c r="A32" s="52" t="s">
        <v>168</v>
      </c>
      <c r="B32" s="44" t="s">
        <v>167</v>
      </c>
      <c r="C32" s="369">
        <f>+'2 Össz'!E31</f>
        <v>4300</v>
      </c>
      <c r="D32" s="22"/>
      <c r="E32" s="22"/>
      <c r="F32" s="22"/>
      <c r="G32" s="22">
        <v>1000</v>
      </c>
      <c r="H32" s="22"/>
      <c r="I32" s="22">
        <v>1000</v>
      </c>
      <c r="J32" s="22"/>
      <c r="K32" s="22"/>
      <c r="L32" s="22"/>
      <c r="M32" s="22">
        <v>1000</v>
      </c>
      <c r="N32" s="22"/>
      <c r="O32" s="22">
        <v>1300</v>
      </c>
      <c r="P32" s="370"/>
      <c r="Q32" s="364"/>
    </row>
    <row r="33" spans="1:17" s="374" customFormat="1" ht="15.75">
      <c r="A33" s="150" t="s">
        <v>169</v>
      </c>
      <c r="B33" s="350" t="s">
        <v>170</v>
      </c>
      <c r="C33" s="371">
        <f>SUM(C19:C32)</f>
        <v>249159</v>
      </c>
      <c r="D33" s="98">
        <f>SUM(D19:D32)</f>
        <v>17072</v>
      </c>
      <c r="E33" s="98">
        <f aca="true" t="shared" si="22" ref="E33:O33">SUM(E19:E32)</f>
        <v>17072</v>
      </c>
      <c r="F33" s="98">
        <f t="shared" si="22"/>
        <v>17072</v>
      </c>
      <c r="G33" s="98">
        <f t="shared" si="22"/>
        <v>18072</v>
      </c>
      <c r="H33" s="98">
        <f t="shared" si="22"/>
        <v>27072</v>
      </c>
      <c r="I33" s="98">
        <f t="shared" si="22"/>
        <v>18072</v>
      </c>
      <c r="J33" s="98">
        <f t="shared" si="22"/>
        <v>17072</v>
      </c>
      <c r="K33" s="98">
        <f t="shared" si="22"/>
        <v>27072</v>
      </c>
      <c r="L33" s="98">
        <f t="shared" si="22"/>
        <v>17072</v>
      </c>
      <c r="M33" s="98">
        <f t="shared" si="22"/>
        <v>28072</v>
      </c>
      <c r="N33" s="98">
        <f t="shared" si="22"/>
        <v>17072</v>
      </c>
      <c r="O33" s="98">
        <f t="shared" si="22"/>
        <v>28367</v>
      </c>
      <c r="P33" s="372"/>
      <c r="Q33" s="373"/>
    </row>
    <row r="34" spans="1:17" s="374" customFormat="1" ht="15.75">
      <c r="A34" s="352" t="s">
        <v>171</v>
      </c>
      <c r="B34" s="350" t="s">
        <v>172</v>
      </c>
      <c r="C34" s="371">
        <f>+C33+C18+C17+C11+C10</f>
        <v>2678779.9699999997</v>
      </c>
      <c r="D34" s="98">
        <f>+D33+D18+D17+D11+D10</f>
        <v>219539</v>
      </c>
      <c r="E34" s="98">
        <f aca="true" t="shared" si="23" ref="E34:O34">+E33+E18+E17+E11+E10</f>
        <v>219539</v>
      </c>
      <c r="F34" s="98">
        <f t="shared" si="23"/>
        <v>219539</v>
      </c>
      <c r="G34" s="98">
        <f t="shared" si="23"/>
        <v>220539</v>
      </c>
      <c r="H34" s="98">
        <f t="shared" si="23"/>
        <v>229539</v>
      </c>
      <c r="I34" s="98">
        <f t="shared" si="23"/>
        <v>220539</v>
      </c>
      <c r="J34" s="98">
        <f t="shared" si="23"/>
        <v>219539</v>
      </c>
      <c r="K34" s="98">
        <f t="shared" si="23"/>
        <v>229539</v>
      </c>
      <c r="L34" s="98">
        <f t="shared" si="23"/>
        <v>219539</v>
      </c>
      <c r="M34" s="98">
        <f t="shared" si="23"/>
        <v>230539</v>
      </c>
      <c r="N34" s="98">
        <f t="shared" si="23"/>
        <v>219539</v>
      </c>
      <c r="O34" s="98">
        <f t="shared" si="23"/>
        <v>230851</v>
      </c>
      <c r="P34" s="370"/>
      <c r="Q34" s="373"/>
    </row>
    <row r="35" spans="1:17" ht="15.75">
      <c r="A35" s="56" t="s">
        <v>173</v>
      </c>
      <c r="B35" s="44" t="s">
        <v>174</v>
      </c>
      <c r="C35" s="369">
        <f>+'2 Össz'!E34</f>
        <v>843</v>
      </c>
      <c r="D35" s="22"/>
      <c r="E35" s="22"/>
      <c r="F35" s="22"/>
      <c r="G35" s="22"/>
      <c r="H35" s="22">
        <v>843</v>
      </c>
      <c r="I35" s="22"/>
      <c r="J35" s="22"/>
      <c r="K35" s="22"/>
      <c r="L35" s="22"/>
      <c r="M35" s="22"/>
      <c r="N35" s="22"/>
      <c r="O35" s="22"/>
      <c r="P35" s="370"/>
      <c r="Q35" s="364"/>
    </row>
    <row r="36" spans="1:17" ht="15.75">
      <c r="A36" s="56" t="s">
        <v>175</v>
      </c>
      <c r="B36" s="44" t="s">
        <v>176</v>
      </c>
      <c r="C36" s="369">
        <f>+'2 Össz'!E35</f>
        <v>3150</v>
      </c>
      <c r="D36" s="22">
        <v>3150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370"/>
      <c r="Q36" s="364"/>
    </row>
    <row r="37" spans="1:17" ht="15.75">
      <c r="A37" s="56" t="s">
        <v>177</v>
      </c>
      <c r="B37" s="44" t="s">
        <v>178</v>
      </c>
      <c r="C37" s="369">
        <f>+'2 Össz'!E36</f>
        <v>2199</v>
      </c>
      <c r="D37" s="22"/>
      <c r="E37" s="22"/>
      <c r="F37" s="22"/>
      <c r="G37" s="22">
        <v>2199</v>
      </c>
      <c r="H37" s="22"/>
      <c r="I37" s="22"/>
      <c r="J37" s="22"/>
      <c r="K37" s="22"/>
      <c r="L37" s="22"/>
      <c r="M37" s="22"/>
      <c r="N37" s="22"/>
      <c r="O37" s="22"/>
      <c r="P37" s="370"/>
      <c r="Q37" s="364"/>
    </row>
    <row r="38" spans="1:17" ht="15.75">
      <c r="A38" s="56" t="s">
        <v>179</v>
      </c>
      <c r="B38" s="44" t="s">
        <v>180</v>
      </c>
      <c r="C38" s="369">
        <f>+'2 Össz'!E37</f>
        <v>61256</v>
      </c>
      <c r="D38" s="22"/>
      <c r="E38" s="22"/>
      <c r="F38" s="22">
        <v>15000</v>
      </c>
      <c r="G38" s="22">
        <v>13937</v>
      </c>
      <c r="H38" s="22">
        <f>11613+4000</f>
        <v>15613</v>
      </c>
      <c r="I38" s="22">
        <v>12123</v>
      </c>
      <c r="J38" s="22"/>
      <c r="K38" s="22"/>
      <c r="L38" s="22">
        <v>4583</v>
      </c>
      <c r="M38" s="22"/>
      <c r="N38" s="22"/>
      <c r="O38" s="22"/>
      <c r="P38" s="370"/>
      <c r="Q38" s="364"/>
    </row>
    <row r="39" spans="1:17" ht="15.75">
      <c r="A39" s="57" t="s">
        <v>181</v>
      </c>
      <c r="B39" s="44" t="s">
        <v>182</v>
      </c>
      <c r="C39" s="369">
        <f>+'2 Össz'!E38</f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70"/>
      <c r="Q39" s="364"/>
    </row>
    <row r="40" spans="1:17" ht="15.75">
      <c r="A40" s="57" t="s">
        <v>183</v>
      </c>
      <c r="B40" s="44" t="s">
        <v>184</v>
      </c>
      <c r="C40" s="369">
        <f>+'2 Össz'!E39</f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70"/>
      <c r="Q40" s="364"/>
    </row>
    <row r="41" spans="1:17" ht="15.75">
      <c r="A41" s="57" t="s">
        <v>185</v>
      </c>
      <c r="B41" s="44" t="s">
        <v>186</v>
      </c>
      <c r="C41" s="369">
        <f>+'2 Össz'!E40</f>
        <v>18431</v>
      </c>
      <c r="D41" s="22">
        <f>ROUND(SUM(D35:D40)*0.27,0)</f>
        <v>851</v>
      </c>
      <c r="E41" s="22">
        <f aca="true" t="shared" si="24" ref="E41:O41">ROUND(SUM(E35:E40)*0.27,0)</f>
        <v>0</v>
      </c>
      <c r="F41" s="22">
        <f t="shared" si="24"/>
        <v>4050</v>
      </c>
      <c r="G41" s="22">
        <f t="shared" si="24"/>
        <v>4357</v>
      </c>
      <c r="H41" s="22">
        <f>ROUND(SUM(H35:H40)*0.27,0)+220</f>
        <v>4663</v>
      </c>
      <c r="I41" s="22">
        <f t="shared" si="24"/>
        <v>3273</v>
      </c>
      <c r="J41" s="22">
        <f t="shared" si="24"/>
        <v>0</v>
      </c>
      <c r="K41" s="22">
        <f t="shared" si="24"/>
        <v>0</v>
      </c>
      <c r="L41" s="22">
        <f t="shared" si="24"/>
        <v>1237</v>
      </c>
      <c r="M41" s="22">
        <f t="shared" si="24"/>
        <v>0</v>
      </c>
      <c r="N41" s="22">
        <f t="shared" si="24"/>
        <v>0</v>
      </c>
      <c r="O41" s="22">
        <f t="shared" si="24"/>
        <v>0</v>
      </c>
      <c r="P41" s="370"/>
      <c r="Q41" s="364"/>
    </row>
    <row r="42" spans="1:17" s="374" customFormat="1" ht="15.75">
      <c r="A42" s="97" t="s">
        <v>187</v>
      </c>
      <c r="B42" s="350" t="s">
        <v>188</v>
      </c>
      <c r="C42" s="371">
        <f>SUM(C35:C41)</f>
        <v>85879</v>
      </c>
      <c r="D42" s="98">
        <f>SUM(D35:D41)</f>
        <v>4001</v>
      </c>
      <c r="E42" s="98">
        <f aca="true" t="shared" si="25" ref="E42:O42">SUM(E35:E41)</f>
        <v>0</v>
      </c>
      <c r="F42" s="98">
        <f t="shared" si="25"/>
        <v>19050</v>
      </c>
      <c r="G42" s="98">
        <f t="shared" si="25"/>
        <v>20493</v>
      </c>
      <c r="H42" s="98">
        <f t="shared" si="25"/>
        <v>21119</v>
      </c>
      <c r="I42" s="98">
        <f t="shared" si="25"/>
        <v>15396</v>
      </c>
      <c r="J42" s="98">
        <f t="shared" si="25"/>
        <v>0</v>
      </c>
      <c r="K42" s="98">
        <f t="shared" si="25"/>
        <v>0</v>
      </c>
      <c r="L42" s="98">
        <f t="shared" si="25"/>
        <v>5820</v>
      </c>
      <c r="M42" s="98">
        <f t="shared" si="25"/>
        <v>0</v>
      </c>
      <c r="N42" s="98">
        <f t="shared" si="25"/>
        <v>0</v>
      </c>
      <c r="O42" s="98">
        <f t="shared" si="25"/>
        <v>0</v>
      </c>
      <c r="P42" s="370"/>
      <c r="Q42" s="373"/>
    </row>
    <row r="43" spans="1:17" ht="15.75">
      <c r="A43" s="59" t="s">
        <v>189</v>
      </c>
      <c r="B43" s="44" t="s">
        <v>190</v>
      </c>
      <c r="C43" s="369">
        <f>+'2 Össz'!E42</f>
        <v>1067608</v>
      </c>
      <c r="D43" s="22"/>
      <c r="E43" s="22"/>
      <c r="F43" s="22">
        <v>27562</v>
      </c>
      <c r="G43" s="22"/>
      <c r="H43" s="22">
        <v>26246</v>
      </c>
      <c r="I43" s="22"/>
      <c r="J43" s="22">
        <v>111320</v>
      </c>
      <c r="K43" s="22"/>
      <c r="L43" s="22">
        <v>50250</v>
      </c>
      <c r="M43" s="22"/>
      <c r="N43" s="22">
        <v>400000</v>
      </c>
      <c r="O43" s="22">
        <v>452230</v>
      </c>
      <c r="P43" s="370"/>
      <c r="Q43" s="364"/>
    </row>
    <row r="44" spans="1:17" ht="15.75">
      <c r="A44" s="59" t="s">
        <v>191</v>
      </c>
      <c r="B44" s="44" t="s">
        <v>192</v>
      </c>
      <c r="C44" s="369">
        <f>+'2 Össz'!E43</f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370"/>
      <c r="Q44" s="364"/>
    </row>
    <row r="45" spans="1:17" ht="15.75">
      <c r="A45" s="59" t="s">
        <v>193</v>
      </c>
      <c r="B45" s="44" t="s">
        <v>194</v>
      </c>
      <c r="C45" s="369">
        <f>+'2 Össz'!E44</f>
        <v>149685</v>
      </c>
      <c r="D45" s="22"/>
      <c r="E45" s="22"/>
      <c r="F45" s="22"/>
      <c r="G45" s="22"/>
      <c r="H45" s="22">
        <v>60000</v>
      </c>
      <c r="I45" s="22"/>
      <c r="J45" s="22">
        <v>14370</v>
      </c>
      <c r="K45" s="22"/>
      <c r="L45" s="22">
        <v>9630</v>
      </c>
      <c r="M45" s="22">
        <v>30685</v>
      </c>
      <c r="N45" s="22"/>
      <c r="O45" s="22">
        <v>35000</v>
      </c>
      <c r="P45" s="370"/>
      <c r="Q45" s="364"/>
    </row>
    <row r="46" spans="1:17" ht="15.75">
      <c r="A46" s="59" t="s">
        <v>195</v>
      </c>
      <c r="B46" s="44" t="s">
        <v>196</v>
      </c>
      <c r="C46" s="369">
        <f>+'2 Össz'!E45</f>
        <v>355672</v>
      </c>
      <c r="D46" s="22"/>
      <c r="E46" s="22">
        <f>ROUND(SUM(E43:E45)*0.27,0)</f>
        <v>0</v>
      </c>
      <c r="F46" s="22">
        <f aca="true" t="shared" si="26" ref="F46:L46">ROUND(SUM(F43:F45)*0.27,0)</f>
        <v>7442</v>
      </c>
      <c r="G46" s="22">
        <f t="shared" si="26"/>
        <v>0</v>
      </c>
      <c r="H46" s="22">
        <f t="shared" si="26"/>
        <v>23286</v>
      </c>
      <c r="I46" s="22">
        <f t="shared" si="26"/>
        <v>0</v>
      </c>
      <c r="J46" s="22">
        <f t="shared" si="26"/>
        <v>33936</v>
      </c>
      <c r="K46" s="22">
        <f t="shared" si="26"/>
        <v>0</v>
      </c>
      <c r="L46" s="22">
        <f t="shared" si="26"/>
        <v>16168</v>
      </c>
      <c r="M46" s="22">
        <f>ROUND(SUM(M43:M45)*0.27,0)</f>
        <v>8285</v>
      </c>
      <c r="N46" s="22">
        <f>ROUND(SUM(N43:N45)*0.27,0)</f>
        <v>108000</v>
      </c>
      <c r="O46" s="22">
        <f>ROUND(SUM(O43:O45)*0.27,0)+27003</f>
        <v>158555</v>
      </c>
      <c r="P46" s="370"/>
      <c r="Q46" s="364"/>
    </row>
    <row r="47" spans="1:17" s="374" customFormat="1" ht="15.75">
      <c r="A47" s="96" t="s">
        <v>197</v>
      </c>
      <c r="B47" s="350" t="s">
        <v>198</v>
      </c>
      <c r="C47" s="371">
        <f>SUM(C43:C46)</f>
        <v>1572965</v>
      </c>
      <c r="D47" s="98">
        <f>SUM(D43:D46)</f>
        <v>0</v>
      </c>
      <c r="E47" s="98">
        <f aca="true" t="shared" si="27" ref="E47:O47">SUM(E43:E46)</f>
        <v>0</v>
      </c>
      <c r="F47" s="98">
        <f t="shared" si="27"/>
        <v>35004</v>
      </c>
      <c r="G47" s="98">
        <f t="shared" si="27"/>
        <v>0</v>
      </c>
      <c r="H47" s="98">
        <f t="shared" si="27"/>
        <v>109532</v>
      </c>
      <c r="I47" s="98">
        <f t="shared" si="27"/>
        <v>0</v>
      </c>
      <c r="J47" s="98">
        <f t="shared" si="27"/>
        <v>159626</v>
      </c>
      <c r="K47" s="98">
        <f t="shared" si="27"/>
        <v>0</v>
      </c>
      <c r="L47" s="98">
        <f t="shared" si="27"/>
        <v>76048</v>
      </c>
      <c r="M47" s="98">
        <f t="shared" si="27"/>
        <v>38970</v>
      </c>
      <c r="N47" s="98">
        <f t="shared" si="27"/>
        <v>508000</v>
      </c>
      <c r="O47" s="98">
        <f t="shared" si="27"/>
        <v>645785</v>
      </c>
      <c r="P47" s="370"/>
      <c r="Q47" s="373"/>
    </row>
    <row r="48" spans="1:17" ht="15.75">
      <c r="A48" s="59" t="s">
        <v>199</v>
      </c>
      <c r="B48" s="44" t="s">
        <v>200</v>
      </c>
      <c r="C48" s="369">
        <f>+'2 Össz'!E47</f>
        <v>0</v>
      </c>
      <c r="D48" s="22">
        <f>+ROUND($C$48/12,0)</f>
        <v>0</v>
      </c>
      <c r="E48" s="22">
        <f aca="true" t="shared" si="28" ref="E48:O48">+ROUND($C$48/12,0)</f>
        <v>0</v>
      </c>
      <c r="F48" s="22">
        <f t="shared" si="28"/>
        <v>0</v>
      </c>
      <c r="G48" s="22">
        <f t="shared" si="28"/>
        <v>0</v>
      </c>
      <c r="H48" s="22">
        <f t="shared" si="28"/>
        <v>0</v>
      </c>
      <c r="I48" s="22">
        <f t="shared" si="28"/>
        <v>0</v>
      </c>
      <c r="J48" s="22">
        <f t="shared" si="28"/>
        <v>0</v>
      </c>
      <c r="K48" s="22">
        <f t="shared" si="28"/>
        <v>0</v>
      </c>
      <c r="L48" s="22">
        <f t="shared" si="28"/>
        <v>0</v>
      </c>
      <c r="M48" s="22">
        <f t="shared" si="28"/>
        <v>0</v>
      </c>
      <c r="N48" s="22">
        <f t="shared" si="28"/>
        <v>0</v>
      </c>
      <c r="O48" s="22">
        <f t="shared" si="28"/>
        <v>0</v>
      </c>
      <c r="P48" s="370"/>
      <c r="Q48" s="364"/>
    </row>
    <row r="49" spans="1:17" ht="15.75">
      <c r="A49" s="59" t="s">
        <v>201</v>
      </c>
      <c r="B49" s="44" t="s">
        <v>202</v>
      </c>
      <c r="C49" s="369">
        <f>+'2 Össz'!E48</f>
        <v>0</v>
      </c>
      <c r="D49" s="22">
        <f>+ROUND($C$49/12,0)</f>
        <v>0</v>
      </c>
      <c r="E49" s="22">
        <f aca="true" t="shared" si="29" ref="E49:O49">+ROUND($C$49/12,0)</f>
        <v>0</v>
      </c>
      <c r="F49" s="22">
        <f t="shared" si="29"/>
        <v>0</v>
      </c>
      <c r="G49" s="22">
        <f t="shared" si="29"/>
        <v>0</v>
      </c>
      <c r="H49" s="22">
        <f t="shared" si="29"/>
        <v>0</v>
      </c>
      <c r="I49" s="22">
        <f t="shared" si="29"/>
        <v>0</v>
      </c>
      <c r="J49" s="22">
        <f t="shared" si="29"/>
        <v>0</v>
      </c>
      <c r="K49" s="22">
        <f t="shared" si="29"/>
        <v>0</v>
      </c>
      <c r="L49" s="22">
        <f t="shared" si="29"/>
        <v>0</v>
      </c>
      <c r="M49" s="22">
        <f t="shared" si="29"/>
        <v>0</v>
      </c>
      <c r="N49" s="22">
        <f t="shared" si="29"/>
        <v>0</v>
      </c>
      <c r="O49" s="22">
        <f t="shared" si="29"/>
        <v>0</v>
      </c>
      <c r="P49" s="370"/>
      <c r="Q49" s="364"/>
    </row>
    <row r="50" spans="1:17" ht="15.75">
      <c r="A50" s="59" t="s">
        <v>203</v>
      </c>
      <c r="B50" s="44" t="s">
        <v>204</v>
      </c>
      <c r="C50" s="369">
        <f>+'2 Össz'!E49</f>
        <v>0</v>
      </c>
      <c r="D50" s="22">
        <f>+ROUND($C$50/12,0)</f>
        <v>0</v>
      </c>
      <c r="E50" s="22">
        <f aca="true" t="shared" si="30" ref="E50:O50">+ROUND($C$50/12,0)</f>
        <v>0</v>
      </c>
      <c r="F50" s="22">
        <f t="shared" si="30"/>
        <v>0</v>
      </c>
      <c r="G50" s="22">
        <f t="shared" si="30"/>
        <v>0</v>
      </c>
      <c r="H50" s="22">
        <f t="shared" si="30"/>
        <v>0</v>
      </c>
      <c r="I50" s="22">
        <f t="shared" si="30"/>
        <v>0</v>
      </c>
      <c r="J50" s="22">
        <f t="shared" si="30"/>
        <v>0</v>
      </c>
      <c r="K50" s="22">
        <f t="shared" si="30"/>
        <v>0</v>
      </c>
      <c r="L50" s="22">
        <f t="shared" si="30"/>
        <v>0</v>
      </c>
      <c r="M50" s="22">
        <f t="shared" si="30"/>
        <v>0</v>
      </c>
      <c r="N50" s="22">
        <f t="shared" si="30"/>
        <v>0</v>
      </c>
      <c r="O50" s="22">
        <f t="shared" si="30"/>
        <v>0</v>
      </c>
      <c r="P50" s="370"/>
      <c r="Q50" s="364"/>
    </row>
    <row r="51" spans="1:17" ht="15.75">
      <c r="A51" s="59" t="s">
        <v>205</v>
      </c>
      <c r="B51" s="44" t="s">
        <v>206</v>
      </c>
      <c r="C51" s="369">
        <f>+'2 Össz'!E50</f>
        <v>59132</v>
      </c>
      <c r="D51" s="22">
        <f>+ROUND($C$51/12,0)</f>
        <v>4928</v>
      </c>
      <c r="E51" s="22">
        <f aca="true" t="shared" si="31" ref="E51:N51">+ROUND($C$51/12,0)</f>
        <v>4928</v>
      </c>
      <c r="F51" s="22">
        <f t="shared" si="31"/>
        <v>4928</v>
      </c>
      <c r="G51" s="22">
        <f t="shared" si="31"/>
        <v>4928</v>
      </c>
      <c r="H51" s="22">
        <f t="shared" si="31"/>
        <v>4928</v>
      </c>
      <c r="I51" s="22">
        <f t="shared" si="31"/>
        <v>4928</v>
      </c>
      <c r="J51" s="22">
        <f t="shared" si="31"/>
        <v>4928</v>
      </c>
      <c r="K51" s="22">
        <f t="shared" si="31"/>
        <v>4928</v>
      </c>
      <c r="L51" s="22">
        <f t="shared" si="31"/>
        <v>4928</v>
      </c>
      <c r="M51" s="22">
        <f t="shared" si="31"/>
        <v>4928</v>
      </c>
      <c r="N51" s="22">
        <f t="shared" si="31"/>
        <v>4928</v>
      </c>
      <c r="O51" s="22">
        <f>+ROUND($C$51/12,0)-4</f>
        <v>4924</v>
      </c>
      <c r="P51" s="370"/>
      <c r="Q51" s="364"/>
    </row>
    <row r="52" spans="1:17" ht="15.75">
      <c r="A52" s="59" t="s">
        <v>207</v>
      </c>
      <c r="B52" s="44" t="s">
        <v>208</v>
      </c>
      <c r="C52" s="369">
        <f>+'2 Össz'!E51</f>
        <v>0</v>
      </c>
      <c r="D52" s="22">
        <f>+ROUND($C$52/12,0)</f>
        <v>0</v>
      </c>
      <c r="E52" s="22">
        <f aca="true" t="shared" si="32" ref="E52:O52">+ROUND($C$52/12,0)</f>
        <v>0</v>
      </c>
      <c r="F52" s="22">
        <f t="shared" si="32"/>
        <v>0</v>
      </c>
      <c r="G52" s="22">
        <f t="shared" si="32"/>
        <v>0</v>
      </c>
      <c r="H52" s="22">
        <f t="shared" si="32"/>
        <v>0</v>
      </c>
      <c r="I52" s="22">
        <f t="shared" si="32"/>
        <v>0</v>
      </c>
      <c r="J52" s="22">
        <f t="shared" si="32"/>
        <v>0</v>
      </c>
      <c r="K52" s="22">
        <f t="shared" si="32"/>
        <v>0</v>
      </c>
      <c r="L52" s="22">
        <f t="shared" si="32"/>
        <v>0</v>
      </c>
      <c r="M52" s="22">
        <f t="shared" si="32"/>
        <v>0</v>
      </c>
      <c r="N52" s="22">
        <f t="shared" si="32"/>
        <v>0</v>
      </c>
      <c r="O52" s="22">
        <f t="shared" si="32"/>
        <v>0</v>
      </c>
      <c r="P52" s="370"/>
      <c r="Q52" s="364"/>
    </row>
    <row r="53" spans="1:17" ht="15.75">
      <c r="A53" s="59" t="s">
        <v>209</v>
      </c>
      <c r="B53" s="44" t="s">
        <v>210</v>
      </c>
      <c r="C53" s="369">
        <f>+'2 Össz'!E52</f>
        <v>0</v>
      </c>
      <c r="D53" s="22">
        <f>+ROUND($C$53/12,0)</f>
        <v>0</v>
      </c>
      <c r="E53" s="22">
        <f aca="true" t="shared" si="33" ref="E53:O53">+ROUND($C$53/12,0)</f>
        <v>0</v>
      </c>
      <c r="F53" s="22">
        <f t="shared" si="33"/>
        <v>0</v>
      </c>
      <c r="G53" s="22">
        <f t="shared" si="33"/>
        <v>0</v>
      </c>
      <c r="H53" s="22">
        <f t="shared" si="33"/>
        <v>0</v>
      </c>
      <c r="I53" s="22">
        <f t="shared" si="33"/>
        <v>0</v>
      </c>
      <c r="J53" s="22">
        <f t="shared" si="33"/>
        <v>0</v>
      </c>
      <c r="K53" s="22">
        <f t="shared" si="33"/>
        <v>0</v>
      </c>
      <c r="L53" s="22">
        <f t="shared" si="33"/>
        <v>0</v>
      </c>
      <c r="M53" s="22">
        <f t="shared" si="33"/>
        <v>0</v>
      </c>
      <c r="N53" s="22">
        <f t="shared" si="33"/>
        <v>0</v>
      </c>
      <c r="O53" s="22">
        <f t="shared" si="33"/>
        <v>0</v>
      </c>
      <c r="P53" s="370"/>
      <c r="Q53" s="364"/>
    </row>
    <row r="54" spans="1:17" ht="15.75">
      <c r="A54" s="59" t="s">
        <v>211</v>
      </c>
      <c r="B54" s="44" t="s">
        <v>212</v>
      </c>
      <c r="C54" s="369">
        <f>+'2 Össz'!E53</f>
        <v>0</v>
      </c>
      <c r="D54" s="22">
        <f>+ROUND($C$54/12,0)</f>
        <v>0</v>
      </c>
      <c r="E54" s="22">
        <f aca="true" t="shared" si="34" ref="E54:O55">+ROUND($C$54/12,0)</f>
        <v>0</v>
      </c>
      <c r="F54" s="22">
        <f t="shared" si="34"/>
        <v>0</v>
      </c>
      <c r="G54" s="22">
        <f t="shared" si="34"/>
        <v>0</v>
      </c>
      <c r="H54" s="22">
        <f t="shared" si="34"/>
        <v>0</v>
      </c>
      <c r="I54" s="22">
        <f t="shared" si="34"/>
        <v>0</v>
      </c>
      <c r="J54" s="22">
        <f t="shared" si="34"/>
        <v>0</v>
      </c>
      <c r="K54" s="22">
        <f t="shared" si="34"/>
        <v>0</v>
      </c>
      <c r="L54" s="22">
        <f t="shared" si="34"/>
        <v>0</v>
      </c>
      <c r="M54" s="22">
        <f t="shared" si="34"/>
        <v>0</v>
      </c>
      <c r="N54" s="22">
        <f t="shared" si="34"/>
        <v>0</v>
      </c>
      <c r="O54" s="22">
        <f t="shared" si="34"/>
        <v>0</v>
      </c>
      <c r="P54" s="370"/>
      <c r="Q54" s="364"/>
    </row>
    <row r="55" spans="1:17" ht="15.75">
      <c r="A55" s="59" t="s">
        <v>213</v>
      </c>
      <c r="B55" s="44" t="s">
        <v>214</v>
      </c>
      <c r="C55" s="369">
        <f>+'2 Össz'!E54</f>
        <v>0</v>
      </c>
      <c r="D55" s="22">
        <f>+ROUND($C$54/12,0)</f>
        <v>0</v>
      </c>
      <c r="E55" s="22">
        <f t="shared" si="34"/>
        <v>0</v>
      </c>
      <c r="F55" s="22">
        <f t="shared" si="34"/>
        <v>0</v>
      </c>
      <c r="G55" s="22">
        <f t="shared" si="34"/>
        <v>0</v>
      </c>
      <c r="H55" s="22">
        <f t="shared" si="34"/>
        <v>0</v>
      </c>
      <c r="I55" s="22">
        <f t="shared" si="34"/>
        <v>0</v>
      </c>
      <c r="J55" s="22">
        <f t="shared" si="34"/>
        <v>0</v>
      </c>
      <c r="K55" s="22">
        <f t="shared" si="34"/>
        <v>0</v>
      </c>
      <c r="L55" s="22">
        <f t="shared" si="34"/>
        <v>0</v>
      </c>
      <c r="M55" s="22">
        <f t="shared" si="34"/>
        <v>0</v>
      </c>
      <c r="N55" s="22">
        <f t="shared" si="34"/>
        <v>0</v>
      </c>
      <c r="O55" s="22">
        <f t="shared" si="34"/>
        <v>0</v>
      </c>
      <c r="P55" s="370"/>
      <c r="Q55" s="364"/>
    </row>
    <row r="56" spans="1:17" ht="15.75">
      <c r="A56" s="59" t="s">
        <v>215</v>
      </c>
      <c r="B56" s="44" t="s">
        <v>216</v>
      </c>
      <c r="C56" s="369">
        <f>+'2 Össz'!E55</f>
        <v>3000</v>
      </c>
      <c r="D56" s="22">
        <f>+ROUND($C$56/12,0)</f>
        <v>250</v>
      </c>
      <c r="E56" s="22">
        <f aca="true" t="shared" si="35" ref="E56:O56">+ROUND($C$56/12,0)</f>
        <v>250</v>
      </c>
      <c r="F56" s="22">
        <f t="shared" si="35"/>
        <v>250</v>
      </c>
      <c r="G56" s="22">
        <f t="shared" si="35"/>
        <v>250</v>
      </c>
      <c r="H56" s="22">
        <f t="shared" si="35"/>
        <v>250</v>
      </c>
      <c r="I56" s="22">
        <f t="shared" si="35"/>
        <v>250</v>
      </c>
      <c r="J56" s="22">
        <f t="shared" si="35"/>
        <v>250</v>
      </c>
      <c r="K56" s="22">
        <f t="shared" si="35"/>
        <v>250</v>
      </c>
      <c r="L56" s="22">
        <f t="shared" si="35"/>
        <v>250</v>
      </c>
      <c r="M56" s="22">
        <f t="shared" si="35"/>
        <v>250</v>
      </c>
      <c r="N56" s="22">
        <f t="shared" si="35"/>
        <v>250</v>
      </c>
      <c r="O56" s="22">
        <f t="shared" si="35"/>
        <v>250</v>
      </c>
      <c r="P56" s="370"/>
      <c r="Q56" s="364"/>
    </row>
    <row r="57" spans="1:17" s="374" customFormat="1" ht="15.75">
      <c r="A57" s="150" t="s">
        <v>217</v>
      </c>
      <c r="B57" s="350" t="s">
        <v>218</v>
      </c>
      <c r="C57" s="371">
        <f>SUM(C48:C56)</f>
        <v>62132</v>
      </c>
      <c r="D57" s="98">
        <f>SUM(D48:D56)</f>
        <v>5178</v>
      </c>
      <c r="E57" s="98">
        <f aca="true" t="shared" si="36" ref="E57:O57">SUM(E48:E56)</f>
        <v>5178</v>
      </c>
      <c r="F57" s="98">
        <f t="shared" si="36"/>
        <v>5178</v>
      </c>
      <c r="G57" s="98">
        <f t="shared" si="36"/>
        <v>5178</v>
      </c>
      <c r="H57" s="98">
        <f t="shared" si="36"/>
        <v>5178</v>
      </c>
      <c r="I57" s="98">
        <f t="shared" si="36"/>
        <v>5178</v>
      </c>
      <c r="J57" s="98">
        <f t="shared" si="36"/>
        <v>5178</v>
      </c>
      <c r="K57" s="98">
        <f t="shared" si="36"/>
        <v>5178</v>
      </c>
      <c r="L57" s="98">
        <f t="shared" si="36"/>
        <v>5178</v>
      </c>
      <c r="M57" s="98">
        <f t="shared" si="36"/>
        <v>5178</v>
      </c>
      <c r="N57" s="98">
        <f t="shared" si="36"/>
        <v>5178</v>
      </c>
      <c r="O57" s="98">
        <f t="shared" si="36"/>
        <v>5174</v>
      </c>
      <c r="P57" s="370"/>
      <c r="Q57" s="373"/>
    </row>
    <row r="58" spans="1:17" s="374" customFormat="1" ht="15.75">
      <c r="A58" s="352" t="s">
        <v>219</v>
      </c>
      <c r="B58" s="350" t="s">
        <v>220</v>
      </c>
      <c r="C58" s="371">
        <f>+C57+C47+C42</f>
        <v>1720976</v>
      </c>
      <c r="D58" s="98">
        <f>+D57+D47+D42</f>
        <v>9179</v>
      </c>
      <c r="E58" s="98">
        <f aca="true" t="shared" si="37" ref="E58:O58">+E57+E47+E42</f>
        <v>5178</v>
      </c>
      <c r="F58" s="98">
        <f t="shared" si="37"/>
        <v>59232</v>
      </c>
      <c r="G58" s="98">
        <f t="shared" si="37"/>
        <v>25671</v>
      </c>
      <c r="H58" s="98">
        <f t="shared" si="37"/>
        <v>135829</v>
      </c>
      <c r="I58" s="98">
        <f t="shared" si="37"/>
        <v>20574</v>
      </c>
      <c r="J58" s="98">
        <f t="shared" si="37"/>
        <v>164804</v>
      </c>
      <c r="K58" s="98">
        <f t="shared" si="37"/>
        <v>5178</v>
      </c>
      <c r="L58" s="98">
        <f t="shared" si="37"/>
        <v>87046</v>
      </c>
      <c r="M58" s="98">
        <f t="shared" si="37"/>
        <v>44148</v>
      </c>
      <c r="N58" s="98">
        <f t="shared" si="37"/>
        <v>513178</v>
      </c>
      <c r="O58" s="98">
        <f t="shared" si="37"/>
        <v>650959</v>
      </c>
      <c r="P58" s="370"/>
      <c r="Q58" s="373"/>
    </row>
    <row r="59" spans="1:17" s="374" customFormat="1" ht="15.75">
      <c r="A59" s="97" t="s">
        <v>221</v>
      </c>
      <c r="B59" s="350" t="s">
        <v>222</v>
      </c>
      <c r="C59" s="371">
        <f>+C34+C58</f>
        <v>4399755.97</v>
      </c>
      <c r="D59" s="98">
        <f>+D57+D47+D42+D33+D18+D17+D11+D10</f>
        <v>228718</v>
      </c>
      <c r="E59" s="98">
        <f aca="true" t="shared" si="38" ref="E59:O59">+E57+E47+E42+E33+E18+E17+E11+E10</f>
        <v>224717</v>
      </c>
      <c r="F59" s="98">
        <f t="shared" si="38"/>
        <v>278771</v>
      </c>
      <c r="G59" s="98">
        <f t="shared" si="38"/>
        <v>246210</v>
      </c>
      <c r="H59" s="98">
        <f t="shared" si="38"/>
        <v>365368</v>
      </c>
      <c r="I59" s="98">
        <f t="shared" si="38"/>
        <v>241113</v>
      </c>
      <c r="J59" s="98">
        <f t="shared" si="38"/>
        <v>384343</v>
      </c>
      <c r="K59" s="98">
        <f t="shared" si="38"/>
        <v>234717</v>
      </c>
      <c r="L59" s="98">
        <f t="shared" si="38"/>
        <v>306585</v>
      </c>
      <c r="M59" s="98">
        <f t="shared" si="38"/>
        <v>274687</v>
      </c>
      <c r="N59" s="98">
        <f t="shared" si="38"/>
        <v>732717</v>
      </c>
      <c r="O59" s="98">
        <f t="shared" si="38"/>
        <v>881810</v>
      </c>
      <c r="P59" s="372"/>
      <c r="Q59" s="373"/>
    </row>
    <row r="60" spans="1:17" ht="15.75">
      <c r="A60" s="59" t="s">
        <v>223</v>
      </c>
      <c r="B60" s="46" t="s">
        <v>224</v>
      </c>
      <c r="C60" s="369">
        <f>+'2 Össz'!E59</f>
        <v>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70"/>
      <c r="Q60" s="364"/>
    </row>
    <row r="61" spans="1:17" ht="15.75">
      <c r="A61" s="59" t="s">
        <v>225</v>
      </c>
      <c r="B61" s="46" t="s">
        <v>226</v>
      </c>
      <c r="C61" s="369">
        <f>+'2 Össz'!E60</f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70"/>
      <c r="Q61" s="364"/>
    </row>
    <row r="62" spans="1:17" ht="15.75">
      <c r="A62" s="59" t="s">
        <v>227</v>
      </c>
      <c r="B62" s="46" t="s">
        <v>228</v>
      </c>
      <c r="C62" s="369">
        <f>+'2 Össz'!E61</f>
        <v>88500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>
        <v>88500</v>
      </c>
      <c r="P62" s="370"/>
      <c r="Q62" s="364"/>
    </row>
    <row r="63" spans="1:17" s="374" customFormat="1" ht="15.75">
      <c r="A63" s="150" t="s">
        <v>229</v>
      </c>
      <c r="B63" s="96" t="s">
        <v>230</v>
      </c>
      <c r="C63" s="371">
        <f>SUM(C60:C62)</f>
        <v>88500</v>
      </c>
      <c r="D63" s="353">
        <f>SUM(D60:D62)</f>
        <v>0</v>
      </c>
      <c r="E63" s="353">
        <f aca="true" t="shared" si="39" ref="E63:O63">SUM(E60:E62)</f>
        <v>0</v>
      </c>
      <c r="F63" s="353">
        <f t="shared" si="39"/>
        <v>0</v>
      </c>
      <c r="G63" s="353">
        <f t="shared" si="39"/>
        <v>0</v>
      </c>
      <c r="H63" s="353">
        <f t="shared" si="39"/>
        <v>0</v>
      </c>
      <c r="I63" s="353">
        <f t="shared" si="39"/>
        <v>0</v>
      </c>
      <c r="J63" s="353">
        <f t="shared" si="39"/>
        <v>0</v>
      </c>
      <c r="K63" s="353">
        <f t="shared" si="39"/>
        <v>0</v>
      </c>
      <c r="L63" s="353">
        <f t="shared" si="39"/>
        <v>0</v>
      </c>
      <c r="M63" s="353">
        <f t="shared" si="39"/>
        <v>0</v>
      </c>
      <c r="N63" s="353">
        <f t="shared" si="39"/>
        <v>0</v>
      </c>
      <c r="O63" s="353">
        <f t="shared" si="39"/>
        <v>88500</v>
      </c>
      <c r="P63" s="372"/>
      <c r="Q63" s="373"/>
    </row>
    <row r="64" spans="1:17" s="378" customFormat="1" ht="15.75">
      <c r="A64" s="67" t="s">
        <v>231</v>
      </c>
      <c r="B64" s="46" t="s">
        <v>232</v>
      </c>
      <c r="C64" s="369">
        <f>+'2 Össz'!E63</f>
        <v>0</v>
      </c>
      <c r="D64" s="22">
        <f>+ROUND($C$65/12,0)</f>
        <v>0</v>
      </c>
      <c r="E64" s="22">
        <f aca="true" t="shared" si="40" ref="E64:O65">+ROUND($C$65/12,0)</f>
        <v>0</v>
      </c>
      <c r="F64" s="22">
        <f t="shared" si="40"/>
        <v>0</v>
      </c>
      <c r="G64" s="22">
        <f t="shared" si="40"/>
        <v>0</v>
      </c>
      <c r="H64" s="22">
        <f t="shared" si="40"/>
        <v>0</v>
      </c>
      <c r="I64" s="22">
        <f t="shared" si="40"/>
        <v>0</v>
      </c>
      <c r="J64" s="22">
        <f t="shared" si="40"/>
        <v>0</v>
      </c>
      <c r="K64" s="22">
        <f t="shared" si="40"/>
        <v>0</v>
      </c>
      <c r="L64" s="22">
        <f t="shared" si="40"/>
        <v>0</v>
      </c>
      <c r="M64" s="22">
        <f t="shared" si="40"/>
        <v>0</v>
      </c>
      <c r="N64" s="22">
        <f t="shared" si="40"/>
        <v>0</v>
      </c>
      <c r="O64" s="22">
        <f t="shared" si="40"/>
        <v>0</v>
      </c>
      <c r="P64" s="375"/>
      <c r="Q64" s="376"/>
    </row>
    <row r="65" spans="1:17" ht="15.75">
      <c r="A65" s="67" t="s">
        <v>233</v>
      </c>
      <c r="B65" s="46" t="s">
        <v>234</v>
      </c>
      <c r="C65" s="369">
        <f>+'2 Össz'!E64</f>
        <v>0</v>
      </c>
      <c r="D65" s="22">
        <f>+ROUND($C$65/12,0)</f>
        <v>0</v>
      </c>
      <c r="E65" s="22">
        <f t="shared" si="40"/>
        <v>0</v>
      </c>
      <c r="F65" s="22">
        <f t="shared" si="40"/>
        <v>0</v>
      </c>
      <c r="G65" s="22">
        <f t="shared" si="40"/>
        <v>0</v>
      </c>
      <c r="H65" s="22">
        <f t="shared" si="40"/>
        <v>0</v>
      </c>
      <c r="I65" s="22">
        <f t="shared" si="40"/>
        <v>0</v>
      </c>
      <c r="J65" s="22">
        <f t="shared" si="40"/>
        <v>0</v>
      </c>
      <c r="K65" s="22">
        <f t="shared" si="40"/>
        <v>0</v>
      </c>
      <c r="L65" s="22">
        <f t="shared" si="40"/>
        <v>0</v>
      </c>
      <c r="M65" s="22">
        <f t="shared" si="40"/>
        <v>0</v>
      </c>
      <c r="N65" s="22">
        <f t="shared" si="40"/>
        <v>0</v>
      </c>
      <c r="O65" s="22">
        <f t="shared" si="40"/>
        <v>0</v>
      </c>
      <c r="P65" s="370"/>
      <c r="Q65" s="364"/>
    </row>
    <row r="66" spans="1:17" ht="15.75">
      <c r="A66" s="67" t="s">
        <v>235</v>
      </c>
      <c r="B66" s="46" t="s">
        <v>236</v>
      </c>
      <c r="C66" s="369">
        <f>+'2 Össz'!E65</f>
        <v>0</v>
      </c>
      <c r="D66" s="22">
        <f>+ROUND($C$66/12,0)</f>
        <v>0</v>
      </c>
      <c r="E66" s="22">
        <f aca="true" t="shared" si="41" ref="E66:O66">+ROUND($C$66/12,0)</f>
        <v>0</v>
      </c>
      <c r="F66" s="22">
        <f t="shared" si="41"/>
        <v>0</v>
      </c>
      <c r="G66" s="22">
        <f t="shared" si="41"/>
        <v>0</v>
      </c>
      <c r="H66" s="22">
        <f t="shared" si="41"/>
        <v>0</v>
      </c>
      <c r="I66" s="22">
        <f t="shared" si="41"/>
        <v>0</v>
      </c>
      <c r="J66" s="22">
        <f t="shared" si="41"/>
        <v>0</v>
      </c>
      <c r="K66" s="22">
        <f t="shared" si="41"/>
        <v>0</v>
      </c>
      <c r="L66" s="22">
        <f t="shared" si="41"/>
        <v>0</v>
      </c>
      <c r="M66" s="22">
        <f t="shared" si="41"/>
        <v>0</v>
      </c>
      <c r="N66" s="22">
        <f t="shared" si="41"/>
        <v>0</v>
      </c>
      <c r="O66" s="22">
        <f t="shared" si="41"/>
        <v>0</v>
      </c>
      <c r="P66" s="370"/>
      <c r="Q66" s="364"/>
    </row>
    <row r="67" spans="1:17" ht="15.75">
      <c r="A67" s="67" t="s">
        <v>47</v>
      </c>
      <c r="B67" s="46" t="s">
        <v>238</v>
      </c>
      <c r="C67" s="369">
        <f>+'2 Össz'!E66</f>
        <v>0</v>
      </c>
      <c r="D67" s="22">
        <f>+ROUND($C$67/12,0)</f>
        <v>0</v>
      </c>
      <c r="E67" s="22">
        <f aca="true" t="shared" si="42" ref="E67:O67">+ROUND($C$67/12,0)</f>
        <v>0</v>
      </c>
      <c r="F67" s="22">
        <f t="shared" si="42"/>
        <v>0</v>
      </c>
      <c r="G67" s="22">
        <f t="shared" si="42"/>
        <v>0</v>
      </c>
      <c r="H67" s="22">
        <f t="shared" si="42"/>
        <v>0</v>
      </c>
      <c r="I67" s="22">
        <f t="shared" si="42"/>
        <v>0</v>
      </c>
      <c r="J67" s="22">
        <f t="shared" si="42"/>
        <v>0</v>
      </c>
      <c r="K67" s="22">
        <f t="shared" si="42"/>
        <v>0</v>
      </c>
      <c r="L67" s="22">
        <f t="shared" si="42"/>
        <v>0</v>
      </c>
      <c r="M67" s="22">
        <f t="shared" si="42"/>
        <v>0</v>
      </c>
      <c r="N67" s="22">
        <f t="shared" si="42"/>
        <v>0</v>
      </c>
      <c r="O67" s="22">
        <f t="shared" si="42"/>
        <v>0</v>
      </c>
      <c r="P67" s="370"/>
      <c r="Q67" s="364"/>
    </row>
    <row r="68" spans="1:17" ht="15.75">
      <c r="A68" s="67" t="s">
        <v>766</v>
      </c>
      <c r="B68" s="46" t="s">
        <v>240</v>
      </c>
      <c r="C68" s="369">
        <f>+'2 Össz'!E67</f>
        <v>0</v>
      </c>
      <c r="D68" s="22">
        <f>+ROUND($C$68/12,0)</f>
        <v>0</v>
      </c>
      <c r="E68" s="22">
        <f aca="true" t="shared" si="43" ref="E68:O68">+ROUND($C$68/12,0)</f>
        <v>0</v>
      </c>
      <c r="F68" s="22">
        <f t="shared" si="43"/>
        <v>0</v>
      </c>
      <c r="G68" s="22">
        <f t="shared" si="43"/>
        <v>0</v>
      </c>
      <c r="H68" s="22">
        <f t="shared" si="43"/>
        <v>0</v>
      </c>
      <c r="I68" s="22">
        <f t="shared" si="43"/>
        <v>0</v>
      </c>
      <c r="J68" s="22">
        <f t="shared" si="43"/>
        <v>0</v>
      </c>
      <c r="K68" s="22">
        <f t="shared" si="43"/>
        <v>0</v>
      </c>
      <c r="L68" s="22">
        <f t="shared" si="43"/>
        <v>0</v>
      </c>
      <c r="M68" s="22">
        <f t="shared" si="43"/>
        <v>0</v>
      </c>
      <c r="N68" s="22">
        <f t="shared" si="43"/>
        <v>0</v>
      </c>
      <c r="O68" s="22">
        <f t="shared" si="43"/>
        <v>0</v>
      </c>
      <c r="P68" s="370"/>
      <c r="Q68" s="364"/>
    </row>
    <row r="69" spans="1:17" ht="15.75">
      <c r="A69" s="67" t="s">
        <v>241</v>
      </c>
      <c r="B69" s="46" t="s">
        <v>242</v>
      </c>
      <c r="C69" s="369">
        <f>+'2 Össz'!E68</f>
        <v>0</v>
      </c>
      <c r="D69" s="22">
        <f>+ROUND($C$69/12,0)</f>
        <v>0</v>
      </c>
      <c r="E69" s="22">
        <f aca="true" t="shared" si="44" ref="E69:O69">+ROUND($C$69/12,0)</f>
        <v>0</v>
      </c>
      <c r="F69" s="22">
        <f t="shared" si="44"/>
        <v>0</v>
      </c>
      <c r="G69" s="22">
        <f t="shared" si="44"/>
        <v>0</v>
      </c>
      <c r="H69" s="22">
        <f t="shared" si="44"/>
        <v>0</v>
      </c>
      <c r="I69" s="22">
        <f t="shared" si="44"/>
        <v>0</v>
      </c>
      <c r="J69" s="22">
        <f t="shared" si="44"/>
        <v>0</v>
      </c>
      <c r="K69" s="22">
        <f t="shared" si="44"/>
        <v>0</v>
      </c>
      <c r="L69" s="22">
        <f t="shared" si="44"/>
        <v>0</v>
      </c>
      <c r="M69" s="22">
        <f t="shared" si="44"/>
        <v>0</v>
      </c>
      <c r="N69" s="22">
        <f t="shared" si="44"/>
        <v>0</v>
      </c>
      <c r="O69" s="22">
        <f t="shared" si="44"/>
        <v>0</v>
      </c>
      <c r="P69" s="370"/>
      <c r="Q69" s="364"/>
    </row>
    <row r="70" spans="1:17" ht="15.75">
      <c r="A70" s="67" t="s">
        <v>243</v>
      </c>
      <c r="B70" s="46" t="s">
        <v>244</v>
      </c>
      <c r="C70" s="369">
        <f>+'2 Össz'!E69</f>
        <v>0</v>
      </c>
      <c r="D70" s="22">
        <f>+ROUND($C$70/12,0)</f>
        <v>0</v>
      </c>
      <c r="E70" s="22">
        <f aca="true" t="shared" si="45" ref="E70:O71">+ROUND($C$70/12,0)</f>
        <v>0</v>
      </c>
      <c r="F70" s="22">
        <f t="shared" si="45"/>
        <v>0</v>
      </c>
      <c r="G70" s="22">
        <f t="shared" si="45"/>
        <v>0</v>
      </c>
      <c r="H70" s="22">
        <f t="shared" si="45"/>
        <v>0</v>
      </c>
      <c r="I70" s="22">
        <f t="shared" si="45"/>
        <v>0</v>
      </c>
      <c r="J70" s="22">
        <f t="shared" si="45"/>
        <v>0</v>
      </c>
      <c r="K70" s="22">
        <f t="shared" si="45"/>
        <v>0</v>
      </c>
      <c r="L70" s="22">
        <f t="shared" si="45"/>
        <v>0</v>
      </c>
      <c r="M70" s="22">
        <f t="shared" si="45"/>
        <v>0</v>
      </c>
      <c r="N70" s="22">
        <f t="shared" si="45"/>
        <v>0</v>
      </c>
      <c r="O70" s="22">
        <f t="shared" si="45"/>
        <v>0</v>
      </c>
      <c r="P70" s="370"/>
      <c r="Q70" s="364"/>
    </row>
    <row r="71" spans="1:17" ht="15.75">
      <c r="A71" s="67" t="s">
        <v>245</v>
      </c>
      <c r="B71" s="46" t="s">
        <v>246</v>
      </c>
      <c r="C71" s="369">
        <f>+'2 Össz'!E70</f>
        <v>0</v>
      </c>
      <c r="D71" s="22">
        <f>+ROUND($C$70/12,0)</f>
        <v>0</v>
      </c>
      <c r="E71" s="22">
        <f t="shared" si="45"/>
        <v>0</v>
      </c>
      <c r="F71" s="22">
        <f t="shared" si="45"/>
        <v>0</v>
      </c>
      <c r="G71" s="22">
        <f t="shared" si="45"/>
        <v>0</v>
      </c>
      <c r="H71" s="22">
        <f t="shared" si="45"/>
        <v>0</v>
      </c>
      <c r="I71" s="22">
        <f t="shared" si="45"/>
        <v>0</v>
      </c>
      <c r="J71" s="22">
        <f t="shared" si="45"/>
        <v>0</v>
      </c>
      <c r="K71" s="22">
        <f t="shared" si="45"/>
        <v>0</v>
      </c>
      <c r="L71" s="22">
        <f t="shared" si="45"/>
        <v>0</v>
      </c>
      <c r="M71" s="22">
        <f t="shared" si="45"/>
        <v>0</v>
      </c>
      <c r="N71" s="22">
        <f t="shared" si="45"/>
        <v>0</v>
      </c>
      <c r="O71" s="22">
        <f t="shared" si="45"/>
        <v>0</v>
      </c>
      <c r="P71" s="370"/>
      <c r="Q71" s="364"/>
    </row>
    <row r="72" spans="1:17" s="374" customFormat="1" ht="15.75">
      <c r="A72" s="354" t="s">
        <v>247</v>
      </c>
      <c r="B72" s="96" t="s">
        <v>248</v>
      </c>
      <c r="C72" s="355">
        <f>+C70+C69+C68+C67+C66+C65+C64+C63+C71</f>
        <v>88500</v>
      </c>
      <c r="D72" s="355">
        <f aca="true" t="shared" si="46" ref="D72:O72">+D70+D69+D68+D67+D66+D65+D64+D63</f>
        <v>0</v>
      </c>
      <c r="E72" s="355">
        <f t="shared" si="46"/>
        <v>0</v>
      </c>
      <c r="F72" s="355">
        <f t="shared" si="46"/>
        <v>0</v>
      </c>
      <c r="G72" s="355">
        <f t="shared" si="46"/>
        <v>0</v>
      </c>
      <c r="H72" s="355">
        <f t="shared" si="46"/>
        <v>0</v>
      </c>
      <c r="I72" s="355">
        <f t="shared" si="46"/>
        <v>0</v>
      </c>
      <c r="J72" s="355">
        <f t="shared" si="46"/>
        <v>0</v>
      </c>
      <c r="K72" s="355">
        <f t="shared" si="46"/>
        <v>0</v>
      </c>
      <c r="L72" s="355">
        <f t="shared" si="46"/>
        <v>0</v>
      </c>
      <c r="M72" s="355">
        <f t="shared" si="46"/>
        <v>0</v>
      </c>
      <c r="N72" s="355">
        <f t="shared" si="46"/>
        <v>0</v>
      </c>
      <c r="O72" s="355">
        <f t="shared" si="46"/>
        <v>88500</v>
      </c>
      <c r="P72" s="372"/>
      <c r="Q72" s="373"/>
    </row>
    <row r="73" spans="1:17" s="379" customFormat="1" ht="15.75">
      <c r="A73" s="67" t="s">
        <v>249</v>
      </c>
      <c r="B73" s="46" t="s">
        <v>250</v>
      </c>
      <c r="C73" s="369">
        <f>+'2 Össz'!E72</f>
        <v>0</v>
      </c>
      <c r="D73" s="22">
        <f>+ROUND($C$73/12,0)</f>
        <v>0</v>
      </c>
      <c r="E73" s="22">
        <f aca="true" t="shared" si="47" ref="E73:O73">+ROUND($C$73/12,0)</f>
        <v>0</v>
      </c>
      <c r="F73" s="22">
        <f t="shared" si="47"/>
        <v>0</v>
      </c>
      <c r="G73" s="22">
        <f t="shared" si="47"/>
        <v>0</v>
      </c>
      <c r="H73" s="22">
        <f t="shared" si="47"/>
        <v>0</v>
      </c>
      <c r="I73" s="22">
        <f t="shared" si="47"/>
        <v>0</v>
      </c>
      <c r="J73" s="22">
        <f t="shared" si="47"/>
        <v>0</v>
      </c>
      <c r="K73" s="22">
        <f t="shared" si="47"/>
        <v>0</v>
      </c>
      <c r="L73" s="22">
        <f t="shared" si="47"/>
        <v>0</v>
      </c>
      <c r="M73" s="22">
        <f t="shared" si="47"/>
        <v>0</v>
      </c>
      <c r="N73" s="22">
        <f t="shared" si="47"/>
        <v>0</v>
      </c>
      <c r="O73" s="22">
        <f t="shared" si="47"/>
        <v>0</v>
      </c>
      <c r="P73" s="370"/>
      <c r="Q73" s="364"/>
    </row>
    <row r="74" spans="1:17" ht="15.75">
      <c r="A74" s="59" t="s">
        <v>251</v>
      </c>
      <c r="B74" s="46" t="s">
        <v>252</v>
      </c>
      <c r="C74" s="369">
        <f>+'2 Össz'!E73</f>
        <v>0</v>
      </c>
      <c r="D74" s="22">
        <f>+ROUND($C$74/12,0)</f>
        <v>0</v>
      </c>
      <c r="E74" s="22">
        <f aca="true" t="shared" si="48" ref="E74:O75">+ROUND($C$74/12,0)</f>
        <v>0</v>
      </c>
      <c r="F74" s="22">
        <f t="shared" si="48"/>
        <v>0</v>
      </c>
      <c r="G74" s="22">
        <f t="shared" si="48"/>
        <v>0</v>
      </c>
      <c r="H74" s="22">
        <f t="shared" si="48"/>
        <v>0</v>
      </c>
      <c r="I74" s="22">
        <f t="shared" si="48"/>
        <v>0</v>
      </c>
      <c r="J74" s="22">
        <f t="shared" si="48"/>
        <v>0</v>
      </c>
      <c r="K74" s="22">
        <f t="shared" si="48"/>
        <v>0</v>
      </c>
      <c r="L74" s="22">
        <f t="shared" si="48"/>
        <v>0</v>
      </c>
      <c r="M74" s="22">
        <f t="shared" si="48"/>
        <v>0</v>
      </c>
      <c r="N74" s="22">
        <f t="shared" si="48"/>
        <v>0</v>
      </c>
      <c r="O74" s="22">
        <f t="shared" si="48"/>
        <v>0</v>
      </c>
      <c r="P74" s="370"/>
      <c r="Q74" s="364"/>
    </row>
    <row r="75" spans="1:17" ht="15.75">
      <c r="A75" s="59" t="s">
        <v>253</v>
      </c>
      <c r="B75" s="46" t="s">
        <v>254</v>
      </c>
      <c r="C75" s="369">
        <f>+'2 Össz'!E74</f>
        <v>0</v>
      </c>
      <c r="D75" s="22">
        <f>+ROUND($C$74/12,0)</f>
        <v>0</v>
      </c>
      <c r="E75" s="22">
        <f t="shared" si="48"/>
        <v>0</v>
      </c>
      <c r="F75" s="22">
        <f t="shared" si="48"/>
        <v>0</v>
      </c>
      <c r="G75" s="22">
        <f t="shared" si="48"/>
        <v>0</v>
      </c>
      <c r="H75" s="22">
        <f t="shared" si="48"/>
        <v>0</v>
      </c>
      <c r="I75" s="22">
        <f t="shared" si="48"/>
        <v>0</v>
      </c>
      <c r="J75" s="22">
        <f t="shared" si="48"/>
        <v>0</v>
      </c>
      <c r="K75" s="22">
        <f t="shared" si="48"/>
        <v>0</v>
      </c>
      <c r="L75" s="22">
        <f t="shared" si="48"/>
        <v>0</v>
      </c>
      <c r="M75" s="22">
        <f t="shared" si="48"/>
        <v>0</v>
      </c>
      <c r="N75" s="22">
        <f t="shared" si="48"/>
        <v>0</v>
      </c>
      <c r="O75" s="22">
        <f t="shared" si="48"/>
        <v>0</v>
      </c>
      <c r="P75" s="370"/>
      <c r="Q75" s="364"/>
    </row>
    <row r="76" spans="1:17" s="374" customFormat="1" ht="15.75">
      <c r="A76" s="354" t="s">
        <v>255</v>
      </c>
      <c r="B76" s="96" t="s">
        <v>256</v>
      </c>
      <c r="C76" s="355">
        <f>SUM(C72:C75)</f>
        <v>88500</v>
      </c>
      <c r="D76" s="355">
        <f>SUM(D72:D75)</f>
        <v>0</v>
      </c>
      <c r="E76" s="355">
        <f aca="true" t="shared" si="49" ref="E76:O76">+E74+E73+E72</f>
        <v>0</v>
      </c>
      <c r="F76" s="355">
        <f t="shared" si="49"/>
        <v>0</v>
      </c>
      <c r="G76" s="355">
        <f t="shared" si="49"/>
        <v>0</v>
      </c>
      <c r="H76" s="355">
        <f t="shared" si="49"/>
        <v>0</v>
      </c>
      <c r="I76" s="355">
        <f t="shared" si="49"/>
        <v>0</v>
      </c>
      <c r="J76" s="355">
        <f t="shared" si="49"/>
        <v>0</v>
      </c>
      <c r="K76" s="355">
        <f t="shared" si="49"/>
        <v>0</v>
      </c>
      <c r="L76" s="355">
        <f t="shared" si="49"/>
        <v>0</v>
      </c>
      <c r="M76" s="355">
        <f t="shared" si="49"/>
        <v>0</v>
      </c>
      <c r="N76" s="355">
        <f t="shared" si="49"/>
        <v>0</v>
      </c>
      <c r="O76" s="355">
        <f t="shared" si="49"/>
        <v>88500</v>
      </c>
      <c r="P76" s="370"/>
      <c r="Q76" s="373"/>
    </row>
    <row r="77" spans="1:17" s="374" customFormat="1" ht="15.75">
      <c r="A77" s="121" t="s">
        <v>257</v>
      </c>
      <c r="B77" s="121" t="s">
        <v>258</v>
      </c>
      <c r="C77" s="98">
        <f aca="true" t="shared" si="50" ref="C77:O77">+C59+C76</f>
        <v>4488255.97</v>
      </c>
      <c r="D77" s="98">
        <f t="shared" si="50"/>
        <v>228718</v>
      </c>
      <c r="E77" s="98">
        <f t="shared" si="50"/>
        <v>224717</v>
      </c>
      <c r="F77" s="98">
        <f t="shared" si="50"/>
        <v>278771</v>
      </c>
      <c r="G77" s="98">
        <f t="shared" si="50"/>
        <v>246210</v>
      </c>
      <c r="H77" s="98">
        <f t="shared" si="50"/>
        <v>365368</v>
      </c>
      <c r="I77" s="98">
        <f t="shared" si="50"/>
        <v>241113</v>
      </c>
      <c r="J77" s="98">
        <f t="shared" si="50"/>
        <v>384343</v>
      </c>
      <c r="K77" s="98">
        <f t="shared" si="50"/>
        <v>234717</v>
      </c>
      <c r="L77" s="98">
        <f t="shared" si="50"/>
        <v>306585</v>
      </c>
      <c r="M77" s="98">
        <f t="shared" si="50"/>
        <v>274687</v>
      </c>
      <c r="N77" s="98">
        <f t="shared" si="50"/>
        <v>732717</v>
      </c>
      <c r="O77" s="98">
        <f t="shared" si="50"/>
        <v>970310</v>
      </c>
      <c r="P77" s="370"/>
      <c r="Q77" s="373"/>
    </row>
    <row r="78" spans="1:17" ht="15.75">
      <c r="A78" s="12"/>
      <c r="B78" s="21"/>
      <c r="C78" s="369"/>
      <c r="D78" s="22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70"/>
      <c r="Q78" s="364"/>
    </row>
    <row r="79" spans="1:17" s="368" customFormat="1" ht="31.5">
      <c r="A79" s="17" t="s">
        <v>92</v>
      </c>
      <c r="B79" s="40" t="s">
        <v>119</v>
      </c>
      <c r="C79" s="40" t="s">
        <v>601</v>
      </c>
      <c r="D79" s="365" t="s">
        <v>35</v>
      </c>
      <c r="E79" s="366" t="s">
        <v>36</v>
      </c>
      <c r="F79" s="366" t="s">
        <v>37</v>
      </c>
      <c r="G79" s="366" t="s">
        <v>38</v>
      </c>
      <c r="H79" s="366" t="s">
        <v>39</v>
      </c>
      <c r="I79" s="366" t="s">
        <v>40</v>
      </c>
      <c r="J79" s="366" t="s">
        <v>41</v>
      </c>
      <c r="K79" s="366" t="s">
        <v>42</v>
      </c>
      <c r="L79" s="366" t="s">
        <v>43</v>
      </c>
      <c r="M79" s="366" t="s">
        <v>44</v>
      </c>
      <c r="N79" s="366" t="s">
        <v>45</v>
      </c>
      <c r="O79" s="366" t="s">
        <v>46</v>
      </c>
      <c r="P79" s="367"/>
      <c r="Q79" s="367"/>
    </row>
    <row r="80" spans="1:17" ht="15.75">
      <c r="A80" s="43" t="s">
        <v>261</v>
      </c>
      <c r="B80" s="57" t="s">
        <v>262</v>
      </c>
      <c r="C80" s="369">
        <f>+'2 Össz'!E80</f>
        <v>242088</v>
      </c>
      <c r="D80" s="22">
        <f>+ROUND($C$80*0.12,0)</f>
        <v>29051</v>
      </c>
      <c r="E80" s="22">
        <f aca="true" t="shared" si="51" ref="E80:N80">+ROUND($C$80*0.08,0)</f>
        <v>19367</v>
      </c>
      <c r="F80" s="22">
        <f t="shared" si="51"/>
        <v>19367</v>
      </c>
      <c r="G80" s="22">
        <f t="shared" si="51"/>
        <v>19367</v>
      </c>
      <c r="H80" s="22">
        <f t="shared" si="51"/>
        <v>19367</v>
      </c>
      <c r="I80" s="22">
        <f t="shared" si="51"/>
        <v>19367</v>
      </c>
      <c r="J80" s="22">
        <f t="shared" si="51"/>
        <v>19367</v>
      </c>
      <c r="K80" s="22">
        <f t="shared" si="51"/>
        <v>19367</v>
      </c>
      <c r="L80" s="22">
        <f t="shared" si="51"/>
        <v>19367</v>
      </c>
      <c r="M80" s="22">
        <f t="shared" si="51"/>
        <v>19367</v>
      </c>
      <c r="N80" s="22">
        <f t="shared" si="51"/>
        <v>19367</v>
      </c>
      <c r="O80" s="22">
        <f>+ROUND($C$80*0.08,0)</f>
        <v>19367</v>
      </c>
      <c r="P80" s="370"/>
      <c r="Q80" s="364"/>
    </row>
    <row r="81" spans="1:17" ht="15.75">
      <c r="A81" s="46" t="s">
        <v>263</v>
      </c>
      <c r="B81" s="57" t="s">
        <v>264</v>
      </c>
      <c r="C81" s="369">
        <f>+'2 Össz'!E81</f>
        <v>270670</v>
      </c>
      <c r="D81" s="22">
        <f>+ROUND($C$81*0.12,0)</f>
        <v>32480</v>
      </c>
      <c r="E81" s="22">
        <f aca="true" t="shared" si="52" ref="E81:N81">+ROUND($C$81*0.08,0)</f>
        <v>21654</v>
      </c>
      <c r="F81" s="22">
        <f t="shared" si="52"/>
        <v>21654</v>
      </c>
      <c r="G81" s="22">
        <f t="shared" si="52"/>
        <v>21654</v>
      </c>
      <c r="H81" s="22">
        <f t="shared" si="52"/>
        <v>21654</v>
      </c>
      <c r="I81" s="22">
        <f t="shared" si="52"/>
        <v>21654</v>
      </c>
      <c r="J81" s="22">
        <f t="shared" si="52"/>
        <v>21654</v>
      </c>
      <c r="K81" s="22">
        <f t="shared" si="52"/>
        <v>21654</v>
      </c>
      <c r="L81" s="22">
        <f t="shared" si="52"/>
        <v>21654</v>
      </c>
      <c r="M81" s="22">
        <f t="shared" si="52"/>
        <v>21654</v>
      </c>
      <c r="N81" s="22">
        <f t="shared" si="52"/>
        <v>21654</v>
      </c>
      <c r="O81" s="22">
        <f>+ROUND($C$81*0.08,0)-4</f>
        <v>21650</v>
      </c>
      <c r="P81" s="370"/>
      <c r="Q81" s="364"/>
    </row>
    <row r="82" spans="1:17" ht="15.75">
      <c r="A82" s="46" t="s">
        <v>265</v>
      </c>
      <c r="B82" s="57" t="s">
        <v>266</v>
      </c>
      <c r="C82" s="369">
        <f>+'2 Össz'!E82</f>
        <v>356931</v>
      </c>
      <c r="D82" s="22">
        <f>+ROUND($C$82*0.12,0)</f>
        <v>42832</v>
      </c>
      <c r="E82" s="22">
        <f aca="true" t="shared" si="53" ref="E82:N82">+ROUND($C$82*0.08,0)</f>
        <v>28554</v>
      </c>
      <c r="F82" s="22">
        <f t="shared" si="53"/>
        <v>28554</v>
      </c>
      <c r="G82" s="22">
        <f t="shared" si="53"/>
        <v>28554</v>
      </c>
      <c r="H82" s="22">
        <f t="shared" si="53"/>
        <v>28554</v>
      </c>
      <c r="I82" s="22">
        <f t="shared" si="53"/>
        <v>28554</v>
      </c>
      <c r="J82" s="22">
        <f t="shared" si="53"/>
        <v>28554</v>
      </c>
      <c r="K82" s="22">
        <f t="shared" si="53"/>
        <v>28554</v>
      </c>
      <c r="L82" s="22">
        <f t="shared" si="53"/>
        <v>28554</v>
      </c>
      <c r="M82" s="22">
        <f t="shared" si="53"/>
        <v>28554</v>
      </c>
      <c r="N82" s="22">
        <f t="shared" si="53"/>
        <v>28554</v>
      </c>
      <c r="O82" s="22">
        <f>+ROUND($C$82*0.08,0)+5</f>
        <v>28559</v>
      </c>
      <c r="P82" s="370"/>
      <c r="Q82" s="364"/>
    </row>
    <row r="83" spans="1:17" ht="15.75">
      <c r="A83" s="46" t="s">
        <v>267</v>
      </c>
      <c r="B83" s="57" t="s">
        <v>268</v>
      </c>
      <c r="C83" s="369">
        <f>+'2 Össz'!E83</f>
        <v>13012</v>
      </c>
      <c r="D83" s="22">
        <f>+ROUND($C$83*0.12,0)</f>
        <v>1561</v>
      </c>
      <c r="E83" s="22">
        <f aca="true" t="shared" si="54" ref="E83:N83">+ROUND($C$83*0.08,0)</f>
        <v>1041</v>
      </c>
      <c r="F83" s="22">
        <f t="shared" si="54"/>
        <v>1041</v>
      </c>
      <c r="G83" s="22">
        <f t="shared" si="54"/>
        <v>1041</v>
      </c>
      <c r="H83" s="22">
        <f t="shared" si="54"/>
        <v>1041</v>
      </c>
      <c r="I83" s="22">
        <f t="shared" si="54"/>
        <v>1041</v>
      </c>
      <c r="J83" s="22">
        <f t="shared" si="54"/>
        <v>1041</v>
      </c>
      <c r="K83" s="22">
        <f t="shared" si="54"/>
        <v>1041</v>
      </c>
      <c r="L83" s="22">
        <f t="shared" si="54"/>
        <v>1041</v>
      </c>
      <c r="M83" s="22">
        <f t="shared" si="54"/>
        <v>1041</v>
      </c>
      <c r="N83" s="22">
        <f t="shared" si="54"/>
        <v>1041</v>
      </c>
      <c r="O83" s="22">
        <f>+ROUND($C$83*0.08,0)</f>
        <v>1041</v>
      </c>
      <c r="P83" s="370"/>
      <c r="Q83" s="364"/>
    </row>
    <row r="84" spans="1:17" ht="15.75">
      <c r="A84" s="46" t="s">
        <v>269</v>
      </c>
      <c r="B84" s="57" t="s">
        <v>270</v>
      </c>
      <c r="C84" s="369">
        <f>+'2 Össz'!E84</f>
        <v>180671</v>
      </c>
      <c r="D84" s="22">
        <f>+ROUND($C$84/12,0)</f>
        <v>15056</v>
      </c>
      <c r="E84" s="22">
        <f aca="true" t="shared" si="55" ref="E84:N84">+ROUND($C$84/12,0)</f>
        <v>15056</v>
      </c>
      <c r="F84" s="22">
        <f t="shared" si="55"/>
        <v>15056</v>
      </c>
      <c r="G84" s="22">
        <f t="shared" si="55"/>
        <v>15056</v>
      </c>
      <c r="H84" s="22">
        <f t="shared" si="55"/>
        <v>15056</v>
      </c>
      <c r="I84" s="22">
        <f t="shared" si="55"/>
        <v>15056</v>
      </c>
      <c r="J84" s="22">
        <f t="shared" si="55"/>
        <v>15056</v>
      </c>
      <c r="K84" s="22">
        <f t="shared" si="55"/>
        <v>15056</v>
      </c>
      <c r="L84" s="22">
        <f t="shared" si="55"/>
        <v>15056</v>
      </c>
      <c r="M84" s="22">
        <f t="shared" si="55"/>
        <v>15056</v>
      </c>
      <c r="N84" s="22">
        <f t="shared" si="55"/>
        <v>15056</v>
      </c>
      <c r="O84" s="22">
        <f>+ROUND($C$84/12,0)-1</f>
        <v>15055</v>
      </c>
      <c r="P84" s="370"/>
      <c r="Q84" s="364"/>
    </row>
    <row r="85" spans="1:17" ht="15.75">
      <c r="A85" s="46" t="s">
        <v>271</v>
      </c>
      <c r="B85" s="57" t="s">
        <v>272</v>
      </c>
      <c r="C85" s="369">
        <f>+'2 Össz'!E85</f>
        <v>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370"/>
      <c r="Q85" s="364"/>
    </row>
    <row r="86" spans="1:17" s="374" customFormat="1" ht="15.75">
      <c r="A86" s="96" t="s">
        <v>273</v>
      </c>
      <c r="B86" s="97" t="s">
        <v>274</v>
      </c>
      <c r="C86" s="98">
        <f>SUM(C80:C85)</f>
        <v>1063372</v>
      </c>
      <c r="D86" s="98">
        <f>SUM(D80:D85)</f>
        <v>120980</v>
      </c>
      <c r="E86" s="98">
        <f aca="true" t="shared" si="56" ref="E86:O86">SUM(E80:E85)</f>
        <v>85672</v>
      </c>
      <c r="F86" s="98">
        <f t="shared" si="56"/>
        <v>85672</v>
      </c>
      <c r="G86" s="98">
        <f t="shared" si="56"/>
        <v>85672</v>
      </c>
      <c r="H86" s="98">
        <f t="shared" si="56"/>
        <v>85672</v>
      </c>
      <c r="I86" s="98">
        <f t="shared" si="56"/>
        <v>85672</v>
      </c>
      <c r="J86" s="98">
        <f t="shared" si="56"/>
        <v>85672</v>
      </c>
      <c r="K86" s="98">
        <f t="shared" si="56"/>
        <v>85672</v>
      </c>
      <c r="L86" s="98">
        <f t="shared" si="56"/>
        <v>85672</v>
      </c>
      <c r="M86" s="98">
        <f t="shared" si="56"/>
        <v>85672</v>
      </c>
      <c r="N86" s="98">
        <f t="shared" si="56"/>
        <v>85672</v>
      </c>
      <c r="O86" s="98">
        <f t="shared" si="56"/>
        <v>85672</v>
      </c>
      <c r="P86" s="372"/>
      <c r="Q86" s="373"/>
    </row>
    <row r="87" spans="1:17" ht="15.75">
      <c r="A87" s="46" t="s">
        <v>275</v>
      </c>
      <c r="B87" s="57" t="s">
        <v>276</v>
      </c>
      <c r="C87" s="369">
        <f>+'2 Össz'!E87</f>
        <v>0</v>
      </c>
      <c r="D87" s="22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70"/>
      <c r="Q87" s="364"/>
    </row>
    <row r="88" spans="1:17" ht="15.75">
      <c r="A88" s="46" t="s">
        <v>277</v>
      </c>
      <c r="B88" s="57" t="s">
        <v>278</v>
      </c>
      <c r="C88" s="369">
        <f>+'2 Össz'!E88</f>
        <v>0</v>
      </c>
      <c r="D88" s="22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70"/>
      <c r="Q88" s="364"/>
    </row>
    <row r="89" spans="1:17" ht="15.75">
      <c r="A89" s="46" t="s">
        <v>279</v>
      </c>
      <c r="B89" s="57" t="s">
        <v>280</v>
      </c>
      <c r="C89" s="369">
        <f>+'2 Össz'!E89</f>
        <v>0</v>
      </c>
      <c r="D89" s="22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70"/>
      <c r="Q89" s="364"/>
    </row>
    <row r="90" spans="1:17" ht="15.75">
      <c r="A90" s="46" t="s">
        <v>281</v>
      </c>
      <c r="B90" s="57" t="s">
        <v>282</v>
      </c>
      <c r="C90" s="369">
        <f>+'2 Össz'!E90</f>
        <v>0</v>
      </c>
      <c r="D90" s="22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70"/>
      <c r="Q90" s="364"/>
    </row>
    <row r="91" spans="1:17" ht="15.75">
      <c r="A91" s="46" t="s">
        <v>283</v>
      </c>
      <c r="B91" s="57" t="s">
        <v>284</v>
      </c>
      <c r="C91" s="369">
        <f>+'2 Össz'!E91</f>
        <v>633365</v>
      </c>
      <c r="D91" s="22"/>
      <c r="E91" s="22"/>
      <c r="F91" s="22">
        <v>30459</v>
      </c>
      <c r="G91" s="22">
        <v>90218</v>
      </c>
      <c r="H91" s="22">
        <v>51996</v>
      </c>
      <c r="I91" s="22"/>
      <c r="J91" s="22">
        <v>56890</v>
      </c>
      <c r="K91" s="22"/>
      <c r="L91" s="22"/>
      <c r="M91" s="22"/>
      <c r="N91" s="22">
        <v>210586</v>
      </c>
      <c r="O91" s="22">
        <v>193216</v>
      </c>
      <c r="P91" s="370"/>
      <c r="Q91" s="364"/>
    </row>
    <row r="92" spans="1:17" s="374" customFormat="1" ht="15.75">
      <c r="A92" s="96" t="s">
        <v>285</v>
      </c>
      <c r="B92" s="97" t="s">
        <v>286</v>
      </c>
      <c r="C92" s="98">
        <f>+C91+C90+C89+C88+C87+C86</f>
        <v>1696737</v>
      </c>
      <c r="D92" s="98">
        <f>+D91+D90+D89+D88+D87+D86</f>
        <v>120980</v>
      </c>
      <c r="E92" s="98">
        <f aca="true" t="shared" si="57" ref="E92:O92">+E91+E90+E89+E88+E87+E86</f>
        <v>85672</v>
      </c>
      <c r="F92" s="98">
        <f t="shared" si="57"/>
        <v>116131</v>
      </c>
      <c r="G92" s="98">
        <f t="shared" si="57"/>
        <v>175890</v>
      </c>
      <c r="H92" s="98">
        <f t="shared" si="57"/>
        <v>137668</v>
      </c>
      <c r="I92" s="98">
        <f t="shared" si="57"/>
        <v>85672</v>
      </c>
      <c r="J92" s="98">
        <f t="shared" si="57"/>
        <v>142562</v>
      </c>
      <c r="K92" s="98">
        <f t="shared" si="57"/>
        <v>85672</v>
      </c>
      <c r="L92" s="98">
        <f t="shared" si="57"/>
        <v>85672</v>
      </c>
      <c r="M92" s="98">
        <f t="shared" si="57"/>
        <v>85672</v>
      </c>
      <c r="N92" s="98">
        <f t="shared" si="57"/>
        <v>296258</v>
      </c>
      <c r="O92" s="98">
        <f t="shared" si="57"/>
        <v>278888</v>
      </c>
      <c r="P92" s="370"/>
      <c r="Q92" s="373"/>
    </row>
    <row r="93" spans="1:17" s="377" customFormat="1" ht="15.75">
      <c r="A93" s="49" t="s">
        <v>287</v>
      </c>
      <c r="B93" s="58" t="s">
        <v>288</v>
      </c>
      <c r="C93" s="369">
        <f>+'2 Össz'!E93</f>
        <v>1631106</v>
      </c>
      <c r="D93" s="319"/>
      <c r="E93" s="319"/>
      <c r="F93" s="319"/>
      <c r="G93" s="319"/>
      <c r="H93" s="319">
        <f>+ROUND($C$93/12,0)</f>
        <v>135926</v>
      </c>
      <c r="I93" s="319">
        <f>+ROUND($C$93/12,0)</f>
        <v>135926</v>
      </c>
      <c r="J93" s="319">
        <f>+ROUND($C$93/12,0)*2</f>
        <v>271852</v>
      </c>
      <c r="K93" s="319">
        <f>+ROUND($C$93/12,0)+3000</f>
        <v>138926</v>
      </c>
      <c r="L93" s="319">
        <f>+ROUND($C$93/12,0)</f>
        <v>135926</v>
      </c>
      <c r="M93" s="319">
        <f>+ROUND($C$93/12,0)</f>
        <v>135926</v>
      </c>
      <c r="N93" s="319">
        <f>+ROUND($C$93/12,0)*2</f>
        <v>271852</v>
      </c>
      <c r="O93" s="319">
        <f>+ROUND($C$93/12,0)*3-3006</f>
        <v>404772</v>
      </c>
      <c r="P93" s="375"/>
      <c r="Q93" s="376"/>
    </row>
    <row r="94" spans="1:17" ht="15.75">
      <c r="A94" s="46" t="s">
        <v>289</v>
      </c>
      <c r="B94" s="57" t="s">
        <v>290</v>
      </c>
      <c r="C94" s="369">
        <f>+'2 Össz'!E94</f>
        <v>0</v>
      </c>
      <c r="D94" s="22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70"/>
      <c r="Q94" s="364"/>
    </row>
    <row r="95" spans="1:17" ht="15.75">
      <c r="A95" s="46" t="s">
        <v>291</v>
      </c>
      <c r="B95" s="57" t="s">
        <v>292</v>
      </c>
      <c r="C95" s="369">
        <f>+'2 Össz'!E95</f>
        <v>0</v>
      </c>
      <c r="D95" s="22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70"/>
      <c r="Q95" s="364"/>
    </row>
    <row r="96" spans="1:17" ht="15.75">
      <c r="A96" s="46" t="s">
        <v>293</v>
      </c>
      <c r="B96" s="57" t="s">
        <v>294</v>
      </c>
      <c r="C96" s="369">
        <f>+'2 Össz'!E96</f>
        <v>0</v>
      </c>
      <c r="D96" s="22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70"/>
      <c r="Q96" s="364"/>
    </row>
    <row r="97" spans="1:17" ht="15.75">
      <c r="A97" s="46" t="s">
        <v>295</v>
      </c>
      <c r="B97" s="57" t="s">
        <v>296</v>
      </c>
      <c r="C97" s="369">
        <f>+'2 Össz'!E97</f>
        <v>96750</v>
      </c>
      <c r="D97" s="22"/>
      <c r="E97" s="22">
        <f>+ROUND($C$97/12,0)*2</f>
        <v>16126</v>
      </c>
      <c r="F97" s="22">
        <f>+ROUND($C$97/12,0)*2</f>
        <v>16126</v>
      </c>
      <c r="G97" s="22">
        <f>+ROUND($C$97/12,0)</f>
        <v>8063</v>
      </c>
      <c r="H97" s="22">
        <f>+ROUND($C$97/12,0)</f>
        <v>8063</v>
      </c>
      <c r="I97" s="22">
        <f>+ROUND($C$97/12,0)*2</f>
        <v>16126</v>
      </c>
      <c r="J97" s="22"/>
      <c r="K97" s="22"/>
      <c r="L97" s="22">
        <f>+ROUND($C$97/12,0)*2</f>
        <v>16126</v>
      </c>
      <c r="M97" s="22">
        <f>+ROUND($C$97/12,0)</f>
        <v>8063</v>
      </c>
      <c r="N97" s="22"/>
      <c r="O97" s="22">
        <f>+ROUND($C$97/12,0)-6</f>
        <v>8057</v>
      </c>
      <c r="P97" s="370"/>
      <c r="Q97" s="364"/>
    </row>
    <row r="98" spans="1:17" ht="15.75">
      <c r="A98" s="46" t="s">
        <v>297</v>
      </c>
      <c r="B98" s="57" t="s">
        <v>298</v>
      </c>
      <c r="C98" s="369">
        <f>+'2 Össz'!E98</f>
        <v>257450</v>
      </c>
      <c r="D98" s="22"/>
      <c r="E98" s="22">
        <f>+ROUND($C$98/12,0)*2</f>
        <v>42908</v>
      </c>
      <c r="F98" s="22">
        <f>+ROUND($C$98/12,0)*2</f>
        <v>42908</v>
      </c>
      <c r="G98" s="22">
        <f>+ROUND($C$98/12,0)</f>
        <v>21454</v>
      </c>
      <c r="H98" s="22">
        <f>+ROUND($C$98/12,0)*2</f>
        <v>42908</v>
      </c>
      <c r="I98" s="22"/>
      <c r="J98" s="22">
        <f>+ROUND($C$98/12,0)*2</f>
        <v>42908</v>
      </c>
      <c r="K98" s="22"/>
      <c r="L98" s="22">
        <f>+ROUND($C$98/12,0)*2</f>
        <v>42908</v>
      </c>
      <c r="M98" s="22">
        <f>+ROUND($C$98/12,0)+2</f>
        <v>21456</v>
      </c>
      <c r="N98" s="22"/>
      <c r="O98" s="22"/>
      <c r="P98" s="370"/>
      <c r="Q98" s="364"/>
    </row>
    <row r="99" spans="1:17" ht="15.75">
      <c r="A99" s="46" t="s">
        <v>299</v>
      </c>
      <c r="B99" s="57" t="s">
        <v>300</v>
      </c>
      <c r="C99" s="369">
        <f>+'2 Össz'!E99</f>
        <v>3500</v>
      </c>
      <c r="D99" s="22">
        <f>+ROUND($C$99/12,0)</f>
        <v>292</v>
      </c>
      <c r="E99" s="22">
        <f aca="true" t="shared" si="58" ref="E99:N99">+ROUND($C$99/12,0)</f>
        <v>292</v>
      </c>
      <c r="F99" s="22">
        <f t="shared" si="58"/>
        <v>292</v>
      </c>
      <c r="G99" s="22">
        <f t="shared" si="58"/>
        <v>292</v>
      </c>
      <c r="H99" s="22">
        <f t="shared" si="58"/>
        <v>292</v>
      </c>
      <c r="I99" s="22">
        <f t="shared" si="58"/>
        <v>292</v>
      </c>
      <c r="J99" s="22">
        <f t="shared" si="58"/>
        <v>292</v>
      </c>
      <c r="K99" s="22">
        <f t="shared" si="58"/>
        <v>292</v>
      </c>
      <c r="L99" s="22">
        <f t="shared" si="58"/>
        <v>292</v>
      </c>
      <c r="M99" s="22">
        <f t="shared" si="58"/>
        <v>292</v>
      </c>
      <c r="N99" s="22">
        <f t="shared" si="58"/>
        <v>292</v>
      </c>
      <c r="O99" s="22">
        <f>+ROUND($C$99/12,0)-4</f>
        <v>288</v>
      </c>
      <c r="P99" s="370"/>
      <c r="Q99" s="364"/>
    </row>
    <row r="100" spans="1:17" s="374" customFormat="1" ht="15.75">
      <c r="A100" s="96" t="s">
        <v>301</v>
      </c>
      <c r="B100" s="97" t="s">
        <v>302</v>
      </c>
      <c r="C100" s="98">
        <f>SUM(C94:C99)</f>
        <v>357700</v>
      </c>
      <c r="D100" s="98">
        <f>SUM(D94:D99)</f>
        <v>292</v>
      </c>
      <c r="E100" s="98">
        <f aca="true" t="shared" si="59" ref="E100:O100">SUM(E94:E99)</f>
        <v>59326</v>
      </c>
      <c r="F100" s="98">
        <f t="shared" si="59"/>
        <v>59326</v>
      </c>
      <c r="G100" s="98">
        <f t="shared" si="59"/>
        <v>29809</v>
      </c>
      <c r="H100" s="98">
        <f t="shared" si="59"/>
        <v>51263</v>
      </c>
      <c r="I100" s="98">
        <f t="shared" si="59"/>
        <v>16418</v>
      </c>
      <c r="J100" s="98">
        <f t="shared" si="59"/>
        <v>43200</v>
      </c>
      <c r="K100" s="98">
        <f t="shared" si="59"/>
        <v>292</v>
      </c>
      <c r="L100" s="98">
        <f t="shared" si="59"/>
        <v>59326</v>
      </c>
      <c r="M100" s="98">
        <f t="shared" si="59"/>
        <v>29811</v>
      </c>
      <c r="N100" s="98">
        <f t="shared" si="59"/>
        <v>292</v>
      </c>
      <c r="O100" s="98">
        <f t="shared" si="59"/>
        <v>8345</v>
      </c>
      <c r="P100" s="370"/>
      <c r="Q100" s="373"/>
    </row>
    <row r="101" spans="1:17" ht="15.75">
      <c r="A101" s="59" t="s">
        <v>303</v>
      </c>
      <c r="B101" s="57" t="s">
        <v>304</v>
      </c>
      <c r="C101" s="369">
        <f>+'2 Össz'!E101</f>
        <v>850</v>
      </c>
      <c r="D101" s="22">
        <f>+ROUND($C$101/12,0)</f>
        <v>71</v>
      </c>
      <c r="E101" s="22">
        <f aca="true" t="shared" si="60" ref="E101:N101">+ROUND($C$101/12,0)</f>
        <v>71</v>
      </c>
      <c r="F101" s="22">
        <f t="shared" si="60"/>
        <v>71</v>
      </c>
      <c r="G101" s="22">
        <f t="shared" si="60"/>
        <v>71</v>
      </c>
      <c r="H101" s="22">
        <f t="shared" si="60"/>
        <v>71</v>
      </c>
      <c r="I101" s="22">
        <f t="shared" si="60"/>
        <v>71</v>
      </c>
      <c r="J101" s="22">
        <f t="shared" si="60"/>
        <v>71</v>
      </c>
      <c r="K101" s="22">
        <f t="shared" si="60"/>
        <v>71</v>
      </c>
      <c r="L101" s="22">
        <f t="shared" si="60"/>
        <v>71</v>
      </c>
      <c r="M101" s="22">
        <f t="shared" si="60"/>
        <v>71</v>
      </c>
      <c r="N101" s="22">
        <f t="shared" si="60"/>
        <v>71</v>
      </c>
      <c r="O101" s="22">
        <f>+ROUND($C$101/12,0)-2</f>
        <v>69</v>
      </c>
      <c r="P101" s="370"/>
      <c r="Q101" s="364"/>
    </row>
    <row r="102" spans="1:17" ht="15.75">
      <c r="A102" s="59" t="s">
        <v>305</v>
      </c>
      <c r="B102" s="57" t="s">
        <v>306</v>
      </c>
      <c r="C102" s="369">
        <f>+'2 Össz'!E102</f>
        <v>229662</v>
      </c>
      <c r="D102" s="22">
        <f>+ROUND($C$102/12,0)</f>
        <v>19139</v>
      </c>
      <c r="E102" s="22">
        <f aca="true" t="shared" si="61" ref="E102:N102">+ROUND($C$102/12,0)</f>
        <v>19139</v>
      </c>
      <c r="F102" s="22">
        <f t="shared" si="61"/>
        <v>19139</v>
      </c>
      <c r="G102" s="22">
        <f t="shared" si="61"/>
        <v>19139</v>
      </c>
      <c r="H102" s="22">
        <f t="shared" si="61"/>
        <v>19139</v>
      </c>
      <c r="I102" s="22">
        <f t="shared" si="61"/>
        <v>19139</v>
      </c>
      <c r="J102" s="22">
        <f t="shared" si="61"/>
        <v>19139</v>
      </c>
      <c r="K102" s="22">
        <f t="shared" si="61"/>
        <v>19139</v>
      </c>
      <c r="L102" s="22">
        <f t="shared" si="61"/>
        <v>19139</v>
      </c>
      <c r="M102" s="22">
        <f t="shared" si="61"/>
        <v>19139</v>
      </c>
      <c r="N102" s="22">
        <f t="shared" si="61"/>
        <v>19139</v>
      </c>
      <c r="O102" s="22">
        <f>+ROUND($C$102/12,0)-6</f>
        <v>19133</v>
      </c>
      <c r="P102" s="370"/>
      <c r="Q102" s="364"/>
    </row>
    <row r="103" spans="1:17" ht="15.75">
      <c r="A103" s="59" t="s">
        <v>307</v>
      </c>
      <c r="B103" s="57" t="s">
        <v>308</v>
      </c>
      <c r="C103" s="369">
        <f>+'2 Össz'!E103</f>
        <v>1670</v>
      </c>
      <c r="D103" s="22">
        <f>+ROUND($C$103/12,0)</f>
        <v>139</v>
      </c>
      <c r="E103" s="22">
        <f aca="true" t="shared" si="62" ref="E103:N103">+ROUND($C$103/12,0)</f>
        <v>139</v>
      </c>
      <c r="F103" s="22">
        <f t="shared" si="62"/>
        <v>139</v>
      </c>
      <c r="G103" s="22">
        <f t="shared" si="62"/>
        <v>139</v>
      </c>
      <c r="H103" s="22">
        <f t="shared" si="62"/>
        <v>139</v>
      </c>
      <c r="I103" s="22">
        <f t="shared" si="62"/>
        <v>139</v>
      </c>
      <c r="J103" s="22">
        <f t="shared" si="62"/>
        <v>139</v>
      </c>
      <c r="K103" s="22">
        <f t="shared" si="62"/>
        <v>139</v>
      </c>
      <c r="L103" s="22">
        <f t="shared" si="62"/>
        <v>139</v>
      </c>
      <c r="M103" s="22">
        <f t="shared" si="62"/>
        <v>139</v>
      </c>
      <c r="N103" s="22">
        <f t="shared" si="62"/>
        <v>139</v>
      </c>
      <c r="O103" s="22">
        <f>+ROUND($C$103/12,0)+2</f>
        <v>141</v>
      </c>
      <c r="P103" s="370"/>
      <c r="Q103" s="364"/>
    </row>
    <row r="104" spans="1:17" ht="15.75">
      <c r="A104" s="59" t="s">
        <v>309</v>
      </c>
      <c r="B104" s="57" t="s">
        <v>310</v>
      </c>
      <c r="C104" s="369">
        <f>+'2 Össz'!E104</f>
        <v>5173</v>
      </c>
      <c r="D104" s="22">
        <f>+ROUND($C$104/12,0)</f>
        <v>431</v>
      </c>
      <c r="E104" s="22">
        <f aca="true" t="shared" si="63" ref="E104:N104">+ROUND($C$104/12,0)</f>
        <v>431</v>
      </c>
      <c r="F104" s="22">
        <f t="shared" si="63"/>
        <v>431</v>
      </c>
      <c r="G104" s="22">
        <f t="shared" si="63"/>
        <v>431</v>
      </c>
      <c r="H104" s="22">
        <f t="shared" si="63"/>
        <v>431</v>
      </c>
      <c r="I104" s="22">
        <f t="shared" si="63"/>
        <v>431</v>
      </c>
      <c r="J104" s="22">
        <f t="shared" si="63"/>
        <v>431</v>
      </c>
      <c r="K104" s="22">
        <f t="shared" si="63"/>
        <v>431</v>
      </c>
      <c r="L104" s="22">
        <f t="shared" si="63"/>
        <v>431</v>
      </c>
      <c r="M104" s="22">
        <f t="shared" si="63"/>
        <v>431</v>
      </c>
      <c r="N104" s="22">
        <f t="shared" si="63"/>
        <v>431</v>
      </c>
      <c r="O104" s="22">
        <f>+ROUND($C$104/12,0)+1</f>
        <v>432</v>
      </c>
      <c r="P104" s="370"/>
      <c r="Q104" s="364"/>
    </row>
    <row r="105" spans="1:17" ht="15.75">
      <c r="A105" s="59" t="s">
        <v>311</v>
      </c>
      <c r="B105" s="57" t="s">
        <v>312</v>
      </c>
      <c r="C105" s="369">
        <f>+'2 Össz'!E105</f>
        <v>168655</v>
      </c>
      <c r="D105" s="22">
        <f>+ROUND($C$105/12,0)</f>
        <v>14055</v>
      </c>
      <c r="E105" s="22">
        <f aca="true" t="shared" si="64" ref="E105:N105">+ROUND($C$105/12,0)</f>
        <v>14055</v>
      </c>
      <c r="F105" s="22">
        <f t="shared" si="64"/>
        <v>14055</v>
      </c>
      <c r="G105" s="22">
        <f t="shared" si="64"/>
        <v>14055</v>
      </c>
      <c r="H105" s="22">
        <f t="shared" si="64"/>
        <v>14055</v>
      </c>
      <c r="I105" s="22">
        <f t="shared" si="64"/>
        <v>14055</v>
      </c>
      <c r="J105" s="22">
        <f t="shared" si="64"/>
        <v>14055</v>
      </c>
      <c r="K105" s="22">
        <f t="shared" si="64"/>
        <v>14055</v>
      </c>
      <c r="L105" s="22">
        <f t="shared" si="64"/>
        <v>14055</v>
      </c>
      <c r="M105" s="22">
        <f t="shared" si="64"/>
        <v>14055</v>
      </c>
      <c r="N105" s="22">
        <f t="shared" si="64"/>
        <v>14055</v>
      </c>
      <c r="O105" s="22">
        <f>+ROUND($C$105/12,0)-5</f>
        <v>14050</v>
      </c>
      <c r="P105" s="370"/>
      <c r="Q105" s="364"/>
    </row>
    <row r="106" spans="1:17" ht="15.75">
      <c r="A106" s="59" t="s">
        <v>313</v>
      </c>
      <c r="B106" s="57" t="s">
        <v>314</v>
      </c>
      <c r="C106" s="369">
        <f>+'2 Össz'!E106</f>
        <v>30627</v>
      </c>
      <c r="D106" s="22">
        <f>+ROUND($C$106/12,0)</f>
        <v>2552</v>
      </c>
      <c r="E106" s="22">
        <f aca="true" t="shared" si="65" ref="E106:N106">+ROUND($C$106/12,0)</f>
        <v>2552</v>
      </c>
      <c r="F106" s="22">
        <f t="shared" si="65"/>
        <v>2552</v>
      </c>
      <c r="G106" s="22">
        <f t="shared" si="65"/>
        <v>2552</v>
      </c>
      <c r="H106" s="22">
        <f t="shared" si="65"/>
        <v>2552</v>
      </c>
      <c r="I106" s="22">
        <f t="shared" si="65"/>
        <v>2552</v>
      </c>
      <c r="J106" s="22">
        <f t="shared" si="65"/>
        <v>2552</v>
      </c>
      <c r="K106" s="22">
        <f t="shared" si="65"/>
        <v>2552</v>
      </c>
      <c r="L106" s="22">
        <f t="shared" si="65"/>
        <v>2552</v>
      </c>
      <c r="M106" s="22">
        <f t="shared" si="65"/>
        <v>2552</v>
      </c>
      <c r="N106" s="22">
        <f t="shared" si="65"/>
        <v>2552</v>
      </c>
      <c r="O106" s="22">
        <f>+ROUND($C$106/12,0)+3</f>
        <v>2555</v>
      </c>
      <c r="P106" s="370"/>
      <c r="Q106" s="364"/>
    </row>
    <row r="107" spans="1:17" ht="15.75">
      <c r="A107" s="59" t="s">
        <v>315</v>
      </c>
      <c r="B107" s="57" t="s">
        <v>316</v>
      </c>
      <c r="C107" s="369">
        <f>+'2 Össz'!E107</f>
        <v>0</v>
      </c>
      <c r="D107" s="22">
        <f>+ROUND($C$107/12,0)</f>
        <v>0</v>
      </c>
      <c r="E107" s="22">
        <f aca="true" t="shared" si="66" ref="E107:O107">+ROUND($C$107/12,0)</f>
        <v>0</v>
      </c>
      <c r="F107" s="22">
        <f t="shared" si="66"/>
        <v>0</v>
      </c>
      <c r="G107" s="22">
        <f t="shared" si="66"/>
        <v>0</v>
      </c>
      <c r="H107" s="22">
        <f t="shared" si="66"/>
        <v>0</v>
      </c>
      <c r="I107" s="22">
        <f t="shared" si="66"/>
        <v>0</v>
      </c>
      <c r="J107" s="22">
        <f t="shared" si="66"/>
        <v>0</v>
      </c>
      <c r="K107" s="22">
        <f t="shared" si="66"/>
        <v>0</v>
      </c>
      <c r="L107" s="22">
        <f t="shared" si="66"/>
        <v>0</v>
      </c>
      <c r="M107" s="22">
        <f t="shared" si="66"/>
        <v>0</v>
      </c>
      <c r="N107" s="22">
        <f t="shared" si="66"/>
        <v>0</v>
      </c>
      <c r="O107" s="22">
        <f t="shared" si="66"/>
        <v>0</v>
      </c>
      <c r="P107" s="370"/>
      <c r="Q107" s="364"/>
    </row>
    <row r="108" spans="1:17" ht="15.75">
      <c r="A108" s="59" t="s">
        <v>317</v>
      </c>
      <c r="B108" s="57" t="s">
        <v>318</v>
      </c>
      <c r="C108" s="369">
        <f>+'2 Össz'!E108</f>
        <v>2050</v>
      </c>
      <c r="D108" s="22"/>
      <c r="E108" s="22"/>
      <c r="F108" s="22">
        <f>+ROUND($C$108/4,0)</f>
        <v>513</v>
      </c>
      <c r="G108" s="22"/>
      <c r="H108" s="22"/>
      <c r="I108" s="22">
        <f>+ROUND($C$108/4,0)</f>
        <v>513</v>
      </c>
      <c r="J108" s="22"/>
      <c r="K108" s="22"/>
      <c r="L108" s="22">
        <f>+ROUND($C$108/4,0)</f>
        <v>513</v>
      </c>
      <c r="M108" s="22"/>
      <c r="N108" s="22"/>
      <c r="O108" s="22">
        <f>+ROUND($C$108/4,0)-2</f>
        <v>511</v>
      </c>
      <c r="P108" s="370"/>
      <c r="Q108" s="364"/>
    </row>
    <row r="109" spans="1:17" ht="15.75">
      <c r="A109" s="59" t="s">
        <v>319</v>
      </c>
      <c r="B109" s="57" t="s">
        <v>320</v>
      </c>
      <c r="C109" s="369">
        <f>+'2 Össz'!E109</f>
        <v>0</v>
      </c>
      <c r="D109" s="22">
        <f>+ROUND($C$109/12,0)</f>
        <v>0</v>
      </c>
      <c r="E109" s="22">
        <f aca="true" t="shared" si="67" ref="E109:O109">+ROUND($C$109/12,0)</f>
        <v>0</v>
      </c>
      <c r="F109" s="22">
        <f t="shared" si="67"/>
        <v>0</v>
      </c>
      <c r="G109" s="22">
        <f t="shared" si="67"/>
        <v>0</v>
      </c>
      <c r="H109" s="22">
        <f t="shared" si="67"/>
        <v>0</v>
      </c>
      <c r="I109" s="22">
        <f t="shared" si="67"/>
        <v>0</v>
      </c>
      <c r="J109" s="22">
        <f t="shared" si="67"/>
        <v>0</v>
      </c>
      <c r="K109" s="22">
        <f t="shared" si="67"/>
        <v>0</v>
      </c>
      <c r="L109" s="22">
        <f t="shared" si="67"/>
        <v>0</v>
      </c>
      <c r="M109" s="22">
        <f t="shared" si="67"/>
        <v>0</v>
      </c>
      <c r="N109" s="22">
        <f t="shared" si="67"/>
        <v>0</v>
      </c>
      <c r="O109" s="22">
        <f t="shared" si="67"/>
        <v>0</v>
      </c>
      <c r="P109" s="370"/>
      <c r="Q109" s="364"/>
    </row>
    <row r="110" spans="1:17" ht="15.75">
      <c r="A110" s="59" t="s">
        <v>321</v>
      </c>
      <c r="B110" s="57" t="s">
        <v>322</v>
      </c>
      <c r="C110" s="369">
        <f>+'2 Össz'!E110</f>
        <v>0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370"/>
      <c r="Q110" s="364"/>
    </row>
    <row r="111" spans="1:17" ht="15.75">
      <c r="A111" s="59" t="s">
        <v>323</v>
      </c>
      <c r="B111" s="57" t="s">
        <v>324</v>
      </c>
      <c r="C111" s="369">
        <f>+'2 Össz'!E111</f>
        <v>340</v>
      </c>
      <c r="D111" s="22">
        <f>+ROUND($C$111/12,0)</f>
        <v>28</v>
      </c>
      <c r="E111" s="22">
        <f aca="true" t="shared" si="68" ref="E111:N111">+ROUND($C$111/12,0)</f>
        <v>28</v>
      </c>
      <c r="F111" s="22">
        <f t="shared" si="68"/>
        <v>28</v>
      </c>
      <c r="G111" s="22">
        <f t="shared" si="68"/>
        <v>28</v>
      </c>
      <c r="H111" s="22">
        <f t="shared" si="68"/>
        <v>28</v>
      </c>
      <c r="I111" s="22">
        <f t="shared" si="68"/>
        <v>28</v>
      </c>
      <c r="J111" s="22">
        <f t="shared" si="68"/>
        <v>28</v>
      </c>
      <c r="K111" s="22">
        <f t="shared" si="68"/>
        <v>28</v>
      </c>
      <c r="L111" s="22">
        <f t="shared" si="68"/>
        <v>28</v>
      </c>
      <c r="M111" s="22">
        <f t="shared" si="68"/>
        <v>28</v>
      </c>
      <c r="N111" s="22">
        <f t="shared" si="68"/>
        <v>28</v>
      </c>
      <c r="O111" s="22">
        <f>+ROUND($C$111/12,0)+4</f>
        <v>32</v>
      </c>
      <c r="P111" s="370"/>
      <c r="Q111" s="364"/>
    </row>
    <row r="112" spans="1:17" s="374" customFormat="1" ht="15.75">
      <c r="A112" s="150" t="s">
        <v>325</v>
      </c>
      <c r="B112" s="97" t="s">
        <v>326</v>
      </c>
      <c r="C112" s="98">
        <f>SUM(C101:C111)</f>
        <v>439027</v>
      </c>
      <c r="D112" s="98">
        <f>SUM(D101:D111)</f>
        <v>36415</v>
      </c>
      <c r="E112" s="98">
        <f aca="true" t="shared" si="69" ref="E112:O112">SUM(E101:E111)</f>
        <v>36415</v>
      </c>
      <c r="F112" s="98">
        <f t="shared" si="69"/>
        <v>36928</v>
      </c>
      <c r="G112" s="98">
        <f t="shared" si="69"/>
        <v>36415</v>
      </c>
      <c r="H112" s="98">
        <f t="shared" si="69"/>
        <v>36415</v>
      </c>
      <c r="I112" s="98">
        <f t="shared" si="69"/>
        <v>36928</v>
      </c>
      <c r="J112" s="98">
        <f t="shared" si="69"/>
        <v>36415</v>
      </c>
      <c r="K112" s="98">
        <f t="shared" si="69"/>
        <v>36415</v>
      </c>
      <c r="L112" s="98">
        <f t="shared" si="69"/>
        <v>36928</v>
      </c>
      <c r="M112" s="98">
        <f t="shared" si="69"/>
        <v>36415</v>
      </c>
      <c r="N112" s="98">
        <f t="shared" si="69"/>
        <v>36415</v>
      </c>
      <c r="O112" s="98">
        <f t="shared" si="69"/>
        <v>36923</v>
      </c>
      <c r="P112" s="370"/>
      <c r="Q112" s="373"/>
    </row>
    <row r="113" spans="1:17" ht="15.75">
      <c r="A113" s="59" t="s">
        <v>327</v>
      </c>
      <c r="B113" s="57" t="s">
        <v>328</v>
      </c>
      <c r="C113" s="369">
        <f>+'2 Össz'!E113</f>
        <v>0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370"/>
      <c r="Q113" s="364"/>
    </row>
    <row r="114" spans="1:17" ht="15.75">
      <c r="A114" s="59" t="s">
        <v>329</v>
      </c>
      <c r="B114" s="57" t="s">
        <v>330</v>
      </c>
      <c r="C114" s="369">
        <f>+'2 Össz'!E114</f>
        <v>57608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>
        <v>33804</v>
      </c>
      <c r="N114" s="22">
        <v>23804</v>
      </c>
      <c r="O114" s="22"/>
      <c r="P114" s="370"/>
      <c r="Q114" s="364"/>
    </row>
    <row r="115" spans="1:17" ht="15.75">
      <c r="A115" s="59" t="s">
        <v>331</v>
      </c>
      <c r="B115" s="57" t="s">
        <v>332</v>
      </c>
      <c r="C115" s="369">
        <f>+'2 Össz'!E115</f>
        <v>0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370"/>
      <c r="Q115" s="364"/>
    </row>
    <row r="116" spans="1:17" ht="15.75">
      <c r="A116" s="59" t="s">
        <v>333</v>
      </c>
      <c r="B116" s="57" t="s">
        <v>334</v>
      </c>
      <c r="C116" s="369">
        <f>+'2 Össz'!E116</f>
        <v>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370"/>
      <c r="Q116" s="364"/>
    </row>
    <row r="117" spans="1:17" ht="15.75">
      <c r="A117" s="59" t="s">
        <v>335</v>
      </c>
      <c r="B117" s="57" t="s">
        <v>336</v>
      </c>
      <c r="C117" s="369">
        <f>+'2 Össz'!E117</f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370"/>
      <c r="Q117" s="364"/>
    </row>
    <row r="118" spans="1:17" s="374" customFormat="1" ht="15.75">
      <c r="A118" s="96" t="s">
        <v>337</v>
      </c>
      <c r="B118" s="97" t="s">
        <v>338</v>
      </c>
      <c r="C118" s="98">
        <f>SUM(C113:C117)</f>
        <v>57608</v>
      </c>
      <c r="D118" s="98">
        <f>SUM(D113:D117)</f>
        <v>0</v>
      </c>
      <c r="E118" s="98">
        <f aca="true" t="shared" si="70" ref="E118:O118">SUM(E113:E117)</f>
        <v>0</v>
      </c>
      <c r="F118" s="98">
        <f t="shared" si="70"/>
        <v>0</v>
      </c>
      <c r="G118" s="98">
        <f t="shared" si="70"/>
        <v>0</v>
      </c>
      <c r="H118" s="98">
        <f t="shared" si="70"/>
        <v>0</v>
      </c>
      <c r="I118" s="98">
        <f t="shared" si="70"/>
        <v>0</v>
      </c>
      <c r="J118" s="98">
        <f t="shared" si="70"/>
        <v>0</v>
      </c>
      <c r="K118" s="98">
        <f t="shared" si="70"/>
        <v>0</v>
      </c>
      <c r="L118" s="98">
        <f t="shared" si="70"/>
        <v>0</v>
      </c>
      <c r="M118" s="98">
        <f t="shared" si="70"/>
        <v>33804</v>
      </c>
      <c r="N118" s="98">
        <f t="shared" si="70"/>
        <v>23804</v>
      </c>
      <c r="O118" s="98">
        <f t="shared" si="70"/>
        <v>0</v>
      </c>
      <c r="P118" s="370"/>
      <c r="Q118" s="373"/>
    </row>
    <row r="119" spans="1:17" s="377" customFormat="1" ht="15.75">
      <c r="A119" s="49" t="s">
        <v>339</v>
      </c>
      <c r="B119" s="58" t="s">
        <v>340</v>
      </c>
      <c r="C119" s="369">
        <f>+'2 Össz'!E119</f>
        <v>16883</v>
      </c>
      <c r="D119" s="319">
        <f>+ROUND($C$119/12,0)</f>
        <v>1407</v>
      </c>
      <c r="E119" s="319">
        <f aca="true" t="shared" si="71" ref="E119:N119">+ROUND($C$119/12,0)</f>
        <v>1407</v>
      </c>
      <c r="F119" s="319">
        <f t="shared" si="71"/>
        <v>1407</v>
      </c>
      <c r="G119" s="319">
        <f t="shared" si="71"/>
        <v>1407</v>
      </c>
      <c r="H119" s="319">
        <f t="shared" si="71"/>
        <v>1407</v>
      </c>
      <c r="I119" s="319">
        <f t="shared" si="71"/>
        <v>1407</v>
      </c>
      <c r="J119" s="319">
        <f t="shared" si="71"/>
        <v>1407</v>
      </c>
      <c r="K119" s="319">
        <f t="shared" si="71"/>
        <v>1407</v>
      </c>
      <c r="L119" s="319">
        <f t="shared" si="71"/>
        <v>1407</v>
      </c>
      <c r="M119" s="319">
        <f t="shared" si="71"/>
        <v>1407</v>
      </c>
      <c r="N119" s="319">
        <f t="shared" si="71"/>
        <v>1407</v>
      </c>
      <c r="O119" s="319">
        <f>+ROUND($C$119/12,0)-1</f>
        <v>1406</v>
      </c>
      <c r="P119" s="375"/>
      <c r="Q119" s="376"/>
    </row>
    <row r="120" spans="1:17" ht="15.75">
      <c r="A120" s="59" t="s">
        <v>341</v>
      </c>
      <c r="B120" s="57" t="s">
        <v>342</v>
      </c>
      <c r="C120" s="369">
        <f>+'2 Össz'!E120</f>
        <v>0</v>
      </c>
      <c r="D120" s="22">
        <f>+ROUND($C$120/12,0)</f>
        <v>0</v>
      </c>
      <c r="E120" s="22">
        <f aca="true" t="shared" si="72" ref="E120:O120">+ROUND($C$120/12,0)</f>
        <v>0</v>
      </c>
      <c r="F120" s="22">
        <f t="shared" si="72"/>
        <v>0</v>
      </c>
      <c r="G120" s="22">
        <f t="shared" si="72"/>
        <v>0</v>
      </c>
      <c r="H120" s="22">
        <f t="shared" si="72"/>
        <v>0</v>
      </c>
      <c r="I120" s="22">
        <f t="shared" si="72"/>
        <v>0</v>
      </c>
      <c r="J120" s="22">
        <f t="shared" si="72"/>
        <v>0</v>
      </c>
      <c r="K120" s="22">
        <f t="shared" si="72"/>
        <v>0</v>
      </c>
      <c r="L120" s="22">
        <f t="shared" si="72"/>
        <v>0</v>
      </c>
      <c r="M120" s="22">
        <f t="shared" si="72"/>
        <v>0</v>
      </c>
      <c r="N120" s="22">
        <f t="shared" si="72"/>
        <v>0</v>
      </c>
      <c r="O120" s="22">
        <f t="shared" si="72"/>
        <v>0</v>
      </c>
      <c r="P120" s="370"/>
      <c r="Q120" s="364"/>
    </row>
    <row r="121" spans="1:17" ht="15.75">
      <c r="A121" s="46" t="s">
        <v>343</v>
      </c>
      <c r="B121" s="57" t="s">
        <v>344</v>
      </c>
      <c r="C121" s="369">
        <f>+'2 Össz'!E121</f>
        <v>0</v>
      </c>
      <c r="D121" s="22">
        <f>+ROUND($C$121/12,0)</f>
        <v>0</v>
      </c>
      <c r="E121" s="22">
        <f aca="true" t="shared" si="73" ref="E121:O121">+ROUND($C$121/12,0)</f>
        <v>0</v>
      </c>
      <c r="F121" s="22">
        <f t="shared" si="73"/>
        <v>0</v>
      </c>
      <c r="G121" s="22">
        <f t="shared" si="73"/>
        <v>0</v>
      </c>
      <c r="H121" s="22">
        <f t="shared" si="73"/>
        <v>0</v>
      </c>
      <c r="I121" s="22">
        <f t="shared" si="73"/>
        <v>0</v>
      </c>
      <c r="J121" s="22">
        <f t="shared" si="73"/>
        <v>0</v>
      </c>
      <c r="K121" s="22">
        <f t="shared" si="73"/>
        <v>0</v>
      </c>
      <c r="L121" s="22">
        <f t="shared" si="73"/>
        <v>0</v>
      </c>
      <c r="M121" s="22">
        <f t="shared" si="73"/>
        <v>0</v>
      </c>
      <c r="N121" s="22">
        <f t="shared" si="73"/>
        <v>0</v>
      </c>
      <c r="O121" s="22">
        <f t="shared" si="73"/>
        <v>0</v>
      </c>
      <c r="P121" s="370"/>
      <c r="Q121" s="364"/>
    </row>
    <row r="122" spans="1:17" ht="31.5">
      <c r="A122" s="59" t="s">
        <v>345</v>
      </c>
      <c r="B122" s="57" t="s">
        <v>346</v>
      </c>
      <c r="C122" s="369">
        <f>+'2 Össz'!E122</f>
        <v>0</v>
      </c>
      <c r="D122" s="22">
        <f>+ROUND($C$122/12,0)</f>
        <v>0</v>
      </c>
      <c r="E122" s="22">
        <f aca="true" t="shared" si="74" ref="E122:O122">+ROUND($C$122/12,0)</f>
        <v>0</v>
      </c>
      <c r="F122" s="22">
        <f t="shared" si="74"/>
        <v>0</v>
      </c>
      <c r="G122" s="22">
        <f t="shared" si="74"/>
        <v>0</v>
      </c>
      <c r="H122" s="22">
        <f t="shared" si="74"/>
        <v>0</v>
      </c>
      <c r="I122" s="22">
        <f t="shared" si="74"/>
        <v>0</v>
      </c>
      <c r="J122" s="22">
        <f t="shared" si="74"/>
        <v>0</v>
      </c>
      <c r="K122" s="22">
        <f t="shared" si="74"/>
        <v>0</v>
      </c>
      <c r="L122" s="22">
        <f t="shared" si="74"/>
        <v>0</v>
      </c>
      <c r="M122" s="22">
        <f t="shared" si="74"/>
        <v>0</v>
      </c>
      <c r="N122" s="22">
        <f t="shared" si="74"/>
        <v>0</v>
      </c>
      <c r="O122" s="22">
        <f t="shared" si="74"/>
        <v>0</v>
      </c>
      <c r="P122" s="370"/>
      <c r="Q122" s="364"/>
    </row>
    <row r="123" spans="1:17" ht="15.75">
      <c r="A123" s="59" t="s">
        <v>347</v>
      </c>
      <c r="B123" s="57" t="s">
        <v>348</v>
      </c>
      <c r="C123" s="369">
        <f>+'2 Össz'!E123</f>
        <v>0</v>
      </c>
      <c r="D123" s="22">
        <f>+ROUND($C$123/12,0)</f>
        <v>0</v>
      </c>
      <c r="E123" s="22">
        <f aca="true" t="shared" si="75" ref="E123:O123">+ROUND($C$123/12,0)</f>
        <v>0</v>
      </c>
      <c r="F123" s="22">
        <f t="shared" si="75"/>
        <v>0</v>
      </c>
      <c r="G123" s="22">
        <f t="shared" si="75"/>
        <v>0</v>
      </c>
      <c r="H123" s="22">
        <f t="shared" si="75"/>
        <v>0</v>
      </c>
      <c r="I123" s="22">
        <f t="shared" si="75"/>
        <v>0</v>
      </c>
      <c r="J123" s="22">
        <f t="shared" si="75"/>
        <v>0</v>
      </c>
      <c r="K123" s="22">
        <f t="shared" si="75"/>
        <v>0</v>
      </c>
      <c r="L123" s="22">
        <f t="shared" si="75"/>
        <v>0</v>
      </c>
      <c r="M123" s="22">
        <f t="shared" si="75"/>
        <v>0</v>
      </c>
      <c r="N123" s="22">
        <f t="shared" si="75"/>
        <v>0</v>
      </c>
      <c r="O123" s="22">
        <f t="shared" si="75"/>
        <v>0</v>
      </c>
      <c r="P123" s="370"/>
      <c r="Q123" s="364"/>
    </row>
    <row r="124" spans="1:17" ht="15.75">
      <c r="A124" s="59" t="s">
        <v>349</v>
      </c>
      <c r="B124" s="57" t="s">
        <v>350</v>
      </c>
      <c r="C124" s="369">
        <f>+'2 Össz'!E124</f>
        <v>32262</v>
      </c>
      <c r="D124" s="22">
        <f>+ROUND($C$124/12,0)</f>
        <v>2689</v>
      </c>
      <c r="E124" s="22">
        <f aca="true" t="shared" si="76" ref="E124:N124">+ROUND($C$124/12,0)</f>
        <v>2689</v>
      </c>
      <c r="F124" s="22">
        <f t="shared" si="76"/>
        <v>2689</v>
      </c>
      <c r="G124" s="22">
        <f t="shared" si="76"/>
        <v>2689</v>
      </c>
      <c r="H124" s="22">
        <f t="shared" si="76"/>
        <v>2689</v>
      </c>
      <c r="I124" s="22">
        <f t="shared" si="76"/>
        <v>2689</v>
      </c>
      <c r="J124" s="22">
        <f t="shared" si="76"/>
        <v>2689</v>
      </c>
      <c r="K124" s="22">
        <f t="shared" si="76"/>
        <v>2689</v>
      </c>
      <c r="L124" s="22">
        <f t="shared" si="76"/>
        <v>2689</v>
      </c>
      <c r="M124" s="22">
        <f t="shared" si="76"/>
        <v>2689</v>
      </c>
      <c r="N124" s="22">
        <f t="shared" si="76"/>
        <v>2689</v>
      </c>
      <c r="O124" s="22">
        <f>+ROUND($C$124/12,0)-6</f>
        <v>2683</v>
      </c>
      <c r="P124" s="370"/>
      <c r="Q124" s="364"/>
    </row>
    <row r="125" spans="1:17" s="374" customFormat="1" ht="15.75">
      <c r="A125" s="96" t="s">
        <v>351</v>
      </c>
      <c r="B125" s="97" t="s">
        <v>352</v>
      </c>
      <c r="C125" s="98">
        <f>SUM(C120:C124)</f>
        <v>32262</v>
      </c>
      <c r="D125" s="98">
        <f>SUM(D120:D124)</f>
        <v>2689</v>
      </c>
      <c r="E125" s="98">
        <f aca="true" t="shared" si="77" ref="E125:O125">SUM(E120:E124)</f>
        <v>2689</v>
      </c>
      <c r="F125" s="98">
        <f t="shared" si="77"/>
        <v>2689</v>
      </c>
      <c r="G125" s="98">
        <f t="shared" si="77"/>
        <v>2689</v>
      </c>
      <c r="H125" s="98">
        <f t="shared" si="77"/>
        <v>2689</v>
      </c>
      <c r="I125" s="98">
        <f t="shared" si="77"/>
        <v>2689</v>
      </c>
      <c r="J125" s="98">
        <f t="shared" si="77"/>
        <v>2689</v>
      </c>
      <c r="K125" s="98">
        <f t="shared" si="77"/>
        <v>2689</v>
      </c>
      <c r="L125" s="98">
        <f t="shared" si="77"/>
        <v>2689</v>
      </c>
      <c r="M125" s="98">
        <f t="shared" si="77"/>
        <v>2689</v>
      </c>
      <c r="N125" s="98">
        <f t="shared" si="77"/>
        <v>2689</v>
      </c>
      <c r="O125" s="98">
        <f t="shared" si="77"/>
        <v>2683</v>
      </c>
      <c r="P125" s="370"/>
      <c r="Q125" s="373"/>
    </row>
    <row r="126" spans="1:17" s="374" customFormat="1" ht="15.75">
      <c r="A126" s="150" t="s">
        <v>353</v>
      </c>
      <c r="B126" s="97" t="s">
        <v>354</v>
      </c>
      <c r="C126" s="98">
        <f>+C125+C119+C118+C112+C100+C93+C92</f>
        <v>4231323</v>
      </c>
      <c r="D126" s="98">
        <f>+D125+D119+D118+D112+D100+D93+D92</f>
        <v>161783</v>
      </c>
      <c r="E126" s="98">
        <f aca="true" t="shared" si="78" ref="E126:O126">+E125+E119+E118+E112+E100+E93+E92</f>
        <v>185509</v>
      </c>
      <c r="F126" s="98">
        <f t="shared" si="78"/>
        <v>216481</v>
      </c>
      <c r="G126" s="98">
        <f t="shared" si="78"/>
        <v>246210</v>
      </c>
      <c r="H126" s="98">
        <f t="shared" si="78"/>
        <v>365368</v>
      </c>
      <c r="I126" s="98">
        <f t="shared" si="78"/>
        <v>279040</v>
      </c>
      <c r="J126" s="98">
        <f t="shared" si="78"/>
        <v>498125</v>
      </c>
      <c r="K126" s="98">
        <f t="shared" si="78"/>
        <v>265401</v>
      </c>
      <c r="L126" s="98">
        <f t="shared" si="78"/>
        <v>321948</v>
      </c>
      <c r="M126" s="98">
        <f t="shared" si="78"/>
        <v>325724</v>
      </c>
      <c r="N126" s="98">
        <f t="shared" si="78"/>
        <v>632717</v>
      </c>
      <c r="O126" s="98">
        <f t="shared" si="78"/>
        <v>733017</v>
      </c>
      <c r="P126" s="370"/>
      <c r="Q126" s="373"/>
    </row>
    <row r="127" spans="1:17" s="374" customFormat="1" ht="15.75">
      <c r="A127" s="357" t="s">
        <v>355</v>
      </c>
      <c r="B127" s="129"/>
      <c r="C127" s="130">
        <f aca="true" t="shared" si="79" ref="C127:O127">+C119+C112+C100+C92-C34</f>
        <v>-168432.96999999974</v>
      </c>
      <c r="D127" s="130">
        <f t="shared" si="79"/>
        <v>-60445</v>
      </c>
      <c r="E127" s="130">
        <f t="shared" si="79"/>
        <v>-36719</v>
      </c>
      <c r="F127" s="130">
        <f t="shared" si="79"/>
        <v>-5747</v>
      </c>
      <c r="G127" s="130">
        <f t="shared" si="79"/>
        <v>22982</v>
      </c>
      <c r="H127" s="130">
        <f t="shared" si="79"/>
        <v>-2786</v>
      </c>
      <c r="I127" s="130">
        <f t="shared" si="79"/>
        <v>-80114</v>
      </c>
      <c r="J127" s="130">
        <f t="shared" si="79"/>
        <v>4045</v>
      </c>
      <c r="K127" s="130">
        <f t="shared" si="79"/>
        <v>-105753</v>
      </c>
      <c r="L127" s="130">
        <f t="shared" si="79"/>
        <v>-36206</v>
      </c>
      <c r="M127" s="130">
        <f t="shared" si="79"/>
        <v>-77234</v>
      </c>
      <c r="N127" s="130">
        <f t="shared" si="79"/>
        <v>114833</v>
      </c>
      <c r="O127" s="130">
        <f t="shared" si="79"/>
        <v>94711</v>
      </c>
      <c r="P127" s="370"/>
      <c r="Q127" s="373"/>
    </row>
    <row r="128" spans="1:17" s="374" customFormat="1" ht="15.75">
      <c r="A128" s="357" t="s">
        <v>356</v>
      </c>
      <c r="B128" s="129"/>
      <c r="C128" s="130">
        <f aca="true" t="shared" si="80" ref="C128:O128">+C125+C118+C93-C58</f>
        <v>0</v>
      </c>
      <c r="D128" s="130">
        <f t="shared" si="80"/>
        <v>-6490</v>
      </c>
      <c r="E128" s="130">
        <f t="shared" si="80"/>
        <v>-2489</v>
      </c>
      <c r="F128" s="130">
        <f t="shared" si="80"/>
        <v>-56543</v>
      </c>
      <c r="G128" s="130">
        <f t="shared" si="80"/>
        <v>-22982</v>
      </c>
      <c r="H128" s="130">
        <f t="shared" si="80"/>
        <v>2786</v>
      </c>
      <c r="I128" s="130">
        <f t="shared" si="80"/>
        <v>118041</v>
      </c>
      <c r="J128" s="130">
        <f t="shared" si="80"/>
        <v>109737</v>
      </c>
      <c r="K128" s="130">
        <f t="shared" si="80"/>
        <v>136437</v>
      </c>
      <c r="L128" s="130">
        <f t="shared" si="80"/>
        <v>51569</v>
      </c>
      <c r="M128" s="130">
        <f t="shared" si="80"/>
        <v>128271</v>
      </c>
      <c r="N128" s="130">
        <f t="shared" si="80"/>
        <v>-214833</v>
      </c>
      <c r="O128" s="130">
        <f t="shared" si="80"/>
        <v>-243504</v>
      </c>
      <c r="P128" s="370"/>
      <c r="Q128" s="373"/>
    </row>
    <row r="129" spans="1:17" ht="15.75">
      <c r="A129" s="67" t="s">
        <v>357</v>
      </c>
      <c r="B129" s="46" t="s">
        <v>358</v>
      </c>
      <c r="C129" s="369">
        <f>+'2 Össz'!E129</f>
        <v>0</v>
      </c>
      <c r="D129" s="22"/>
      <c r="E129" s="381"/>
      <c r="F129" s="381"/>
      <c r="G129" s="381"/>
      <c r="H129" s="22"/>
      <c r="I129" s="22"/>
      <c r="J129" s="22"/>
      <c r="K129" s="22"/>
      <c r="L129" s="22"/>
      <c r="M129" s="381"/>
      <c r="N129" s="381"/>
      <c r="O129" s="381"/>
      <c r="P129" s="370"/>
      <c r="Q129" s="364"/>
    </row>
    <row r="130" spans="1:17" ht="15.75">
      <c r="A130" s="59" t="s">
        <v>783</v>
      </c>
      <c r="B130" s="46" t="s">
        <v>360</v>
      </c>
      <c r="C130" s="369">
        <f>+'2 Össz'!E130</f>
        <v>0</v>
      </c>
      <c r="D130" s="22"/>
      <c r="E130" s="381"/>
      <c r="F130" s="381"/>
      <c r="G130" s="381"/>
      <c r="H130" s="22"/>
      <c r="I130" s="22"/>
      <c r="J130" s="22"/>
      <c r="K130" s="22"/>
      <c r="L130" s="22"/>
      <c r="M130" s="381"/>
      <c r="N130" s="381"/>
      <c r="O130" s="381"/>
      <c r="P130" s="370"/>
      <c r="Q130" s="364"/>
    </row>
    <row r="131" spans="1:17" ht="15.75">
      <c r="A131" s="67" t="s">
        <v>361</v>
      </c>
      <c r="B131" s="46" t="s">
        <v>362</v>
      </c>
      <c r="C131" s="369">
        <f>+'2 Össz'!E131</f>
        <v>88500</v>
      </c>
      <c r="D131" s="22"/>
      <c r="E131" s="381"/>
      <c r="F131" s="22"/>
      <c r="G131" s="22"/>
      <c r="H131" s="22"/>
      <c r="I131" s="22"/>
      <c r="J131" s="22"/>
      <c r="K131" s="22">
        <v>40000</v>
      </c>
      <c r="L131" s="22"/>
      <c r="M131" s="381"/>
      <c r="N131" s="381"/>
      <c r="O131" s="381">
        <v>48500</v>
      </c>
      <c r="P131" s="370"/>
      <c r="Q131" s="364"/>
    </row>
    <row r="132" spans="1:17" s="374" customFormat="1" ht="15.75">
      <c r="A132" s="150" t="s">
        <v>787</v>
      </c>
      <c r="B132" s="96" t="s">
        <v>364</v>
      </c>
      <c r="C132" s="98">
        <f>SUM(C129:C131)</f>
        <v>88500</v>
      </c>
      <c r="D132" s="98">
        <f>SUM(D129:D131)</f>
        <v>0</v>
      </c>
      <c r="E132" s="98">
        <f aca="true" t="shared" si="81" ref="E132:O132">SUM(E129:E131)</f>
        <v>0</v>
      </c>
      <c r="F132" s="98">
        <f t="shared" si="81"/>
        <v>0</v>
      </c>
      <c r="G132" s="98">
        <f t="shared" si="81"/>
        <v>0</v>
      </c>
      <c r="H132" s="98">
        <f t="shared" si="81"/>
        <v>0</v>
      </c>
      <c r="I132" s="98">
        <f t="shared" si="81"/>
        <v>0</v>
      </c>
      <c r="J132" s="98">
        <f t="shared" si="81"/>
        <v>0</v>
      </c>
      <c r="K132" s="98">
        <f t="shared" si="81"/>
        <v>40000</v>
      </c>
      <c r="L132" s="98">
        <f t="shared" si="81"/>
        <v>0</v>
      </c>
      <c r="M132" s="98">
        <f t="shared" si="81"/>
        <v>0</v>
      </c>
      <c r="N132" s="98">
        <f t="shared" si="81"/>
        <v>0</v>
      </c>
      <c r="O132" s="98">
        <f t="shared" si="81"/>
        <v>48500</v>
      </c>
      <c r="P132" s="372"/>
      <c r="Q132" s="373"/>
    </row>
    <row r="133" spans="1:17" ht="15.75" hidden="1">
      <c r="A133" s="59" t="s">
        <v>365</v>
      </c>
      <c r="B133" s="46" t="s">
        <v>366</v>
      </c>
      <c r="C133" s="369">
        <f>+'2 Össz'!E133</f>
        <v>0</v>
      </c>
      <c r="D133" s="22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70"/>
      <c r="Q133" s="364"/>
    </row>
    <row r="134" spans="1:17" ht="15.75" hidden="1">
      <c r="A134" s="67" t="s">
        <v>789</v>
      </c>
      <c r="B134" s="46" t="s">
        <v>368</v>
      </c>
      <c r="C134" s="369">
        <f>+'2 Össz'!E134</f>
        <v>0</v>
      </c>
      <c r="D134" s="22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70"/>
      <c r="Q134" s="364"/>
    </row>
    <row r="135" spans="1:17" ht="15.75" hidden="1">
      <c r="A135" s="59" t="s">
        <v>369</v>
      </c>
      <c r="B135" s="46" t="s">
        <v>370</v>
      </c>
      <c r="C135" s="369">
        <f>+'2 Össz'!E135</f>
        <v>0</v>
      </c>
      <c r="D135" s="22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70"/>
      <c r="Q135" s="364"/>
    </row>
    <row r="136" spans="1:17" ht="15.75" hidden="1">
      <c r="A136" s="67" t="s">
        <v>791</v>
      </c>
      <c r="B136" s="46" t="s">
        <v>372</v>
      </c>
      <c r="C136" s="369">
        <f>+'2 Össz'!E136</f>
        <v>0</v>
      </c>
      <c r="D136" s="22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70"/>
      <c r="Q136" s="364"/>
    </row>
    <row r="137" spans="1:17" s="374" customFormat="1" ht="15.75">
      <c r="A137" s="354" t="s">
        <v>373</v>
      </c>
      <c r="B137" s="96" t="s">
        <v>374</v>
      </c>
      <c r="C137" s="98">
        <f>SUM(C133:C136)</f>
        <v>0</v>
      </c>
      <c r="D137" s="98">
        <f>SUM(D133:D136)</f>
        <v>0</v>
      </c>
      <c r="E137" s="98">
        <f aca="true" t="shared" si="82" ref="E137:O137">SUM(E133:E136)</f>
        <v>0</v>
      </c>
      <c r="F137" s="98">
        <f t="shared" si="82"/>
        <v>0</v>
      </c>
      <c r="G137" s="98">
        <f t="shared" si="82"/>
        <v>0</v>
      </c>
      <c r="H137" s="98">
        <f t="shared" si="82"/>
        <v>0</v>
      </c>
      <c r="I137" s="98">
        <f t="shared" si="82"/>
        <v>0</v>
      </c>
      <c r="J137" s="98">
        <f t="shared" si="82"/>
        <v>0</v>
      </c>
      <c r="K137" s="98">
        <f t="shared" si="82"/>
        <v>0</v>
      </c>
      <c r="L137" s="98">
        <f t="shared" si="82"/>
        <v>0</v>
      </c>
      <c r="M137" s="98">
        <f t="shared" si="82"/>
        <v>0</v>
      </c>
      <c r="N137" s="98">
        <f t="shared" si="82"/>
        <v>0</v>
      </c>
      <c r="O137" s="98">
        <f t="shared" si="82"/>
        <v>0</v>
      </c>
      <c r="P137" s="372"/>
      <c r="Q137" s="373"/>
    </row>
    <row r="138" spans="1:17" ht="15.75">
      <c r="A138" s="46" t="s">
        <v>375</v>
      </c>
      <c r="B138" s="46" t="s">
        <v>376</v>
      </c>
      <c r="C138" s="369">
        <f>+'2 Össz'!E138</f>
        <v>168433</v>
      </c>
      <c r="D138" s="22">
        <v>66935</v>
      </c>
      <c r="E138" s="22">
        <v>39208</v>
      </c>
      <c r="F138" s="22">
        <v>62290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370"/>
      <c r="Q138" s="364"/>
    </row>
    <row r="139" spans="1:17" ht="15.75">
      <c r="A139" s="46" t="s">
        <v>377</v>
      </c>
      <c r="B139" s="46" t="s">
        <v>376</v>
      </c>
      <c r="C139" s="369">
        <f>+'2 Össz'!E139</f>
        <v>0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370"/>
      <c r="Q139" s="364"/>
    </row>
    <row r="140" spans="1:17" ht="15.75">
      <c r="A140" s="46" t="s">
        <v>378</v>
      </c>
      <c r="B140" s="46" t="s">
        <v>379</v>
      </c>
      <c r="C140" s="369">
        <f>+'2 Össz'!E140</f>
        <v>0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370"/>
      <c r="Q140" s="364"/>
    </row>
    <row r="141" spans="1:17" ht="15.75">
      <c r="A141" s="46" t="s">
        <v>380</v>
      </c>
      <c r="B141" s="46" t="s">
        <v>379</v>
      </c>
      <c r="C141" s="369">
        <f>+'2 Össz'!E141</f>
        <v>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370"/>
      <c r="Q141" s="364"/>
    </row>
    <row r="142" spans="1:17" s="374" customFormat="1" ht="15.75">
      <c r="A142" s="96" t="s">
        <v>381</v>
      </c>
      <c r="B142" s="96" t="s">
        <v>382</v>
      </c>
      <c r="C142" s="98">
        <f>SUM(C138:C141)</f>
        <v>168433</v>
      </c>
      <c r="D142" s="98">
        <f>SUM(D138:D141)</f>
        <v>66935</v>
      </c>
      <c r="E142" s="98">
        <f aca="true" t="shared" si="83" ref="E142:O142">SUM(E138:E141)</f>
        <v>39208</v>
      </c>
      <c r="F142" s="98">
        <f t="shared" si="83"/>
        <v>62290</v>
      </c>
      <c r="G142" s="98">
        <f t="shared" si="83"/>
        <v>0</v>
      </c>
      <c r="H142" s="98">
        <f t="shared" si="83"/>
        <v>0</v>
      </c>
      <c r="I142" s="98">
        <f t="shared" si="83"/>
        <v>0</v>
      </c>
      <c r="J142" s="98">
        <f t="shared" si="83"/>
        <v>0</v>
      </c>
      <c r="K142" s="98">
        <f t="shared" si="83"/>
        <v>0</v>
      </c>
      <c r="L142" s="98">
        <f t="shared" si="83"/>
        <v>0</v>
      </c>
      <c r="M142" s="98">
        <f t="shared" si="83"/>
        <v>0</v>
      </c>
      <c r="N142" s="98">
        <f t="shared" si="83"/>
        <v>0</v>
      </c>
      <c r="O142" s="98">
        <f t="shared" si="83"/>
        <v>0</v>
      </c>
      <c r="P142" s="372"/>
      <c r="Q142" s="373"/>
    </row>
    <row r="143" spans="1:17" ht="15.75" hidden="1">
      <c r="A143" s="67" t="s">
        <v>383</v>
      </c>
      <c r="B143" s="46" t="s">
        <v>384</v>
      </c>
      <c r="C143" s="369">
        <f>+'2 Össz'!E143</f>
        <v>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370"/>
      <c r="Q143" s="364"/>
    </row>
    <row r="144" spans="1:17" ht="15.75" hidden="1">
      <c r="A144" s="67" t="s">
        <v>385</v>
      </c>
      <c r="B144" s="46" t="s">
        <v>386</v>
      </c>
      <c r="C144" s="369">
        <f>+'2 Össz'!E144</f>
        <v>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370"/>
      <c r="Q144" s="364"/>
    </row>
    <row r="145" spans="1:17" ht="15.75" hidden="1">
      <c r="A145" s="67" t="s">
        <v>387</v>
      </c>
      <c r="B145" s="46" t="s">
        <v>388</v>
      </c>
      <c r="C145" s="369">
        <f>+'2 Össz'!E145</f>
        <v>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370"/>
      <c r="Q145" s="364"/>
    </row>
    <row r="146" spans="1:17" ht="15.75" hidden="1">
      <c r="A146" s="67" t="s">
        <v>389</v>
      </c>
      <c r="B146" s="46" t="s">
        <v>390</v>
      </c>
      <c r="C146" s="369">
        <f>+'2 Össz'!E146</f>
        <v>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370"/>
      <c r="Q146" s="364"/>
    </row>
    <row r="147" spans="1:17" ht="15.75" hidden="1">
      <c r="A147" s="59" t="s">
        <v>391</v>
      </c>
      <c r="B147" s="46" t="s">
        <v>392</v>
      </c>
      <c r="C147" s="369">
        <f>+'2 Össz'!E147</f>
        <v>0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370"/>
      <c r="Q147" s="364"/>
    </row>
    <row r="148" spans="1:17" ht="15.75" hidden="1">
      <c r="A148" s="59" t="s">
        <v>393</v>
      </c>
      <c r="B148" s="46" t="s">
        <v>394</v>
      </c>
      <c r="C148" s="369">
        <f>+'2 Össz'!E148</f>
        <v>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370"/>
      <c r="Q148" s="364"/>
    </row>
    <row r="149" spans="1:17" s="374" customFormat="1" ht="15.75">
      <c r="A149" s="150" t="s">
        <v>395</v>
      </c>
      <c r="B149" s="96" t="s">
        <v>396</v>
      </c>
      <c r="C149" s="98">
        <f>SUM(C143:C148)+C142+C137+C132</f>
        <v>256933</v>
      </c>
      <c r="D149" s="98">
        <f>SUM(D143:D148)+D142+D137+D132</f>
        <v>66935</v>
      </c>
      <c r="E149" s="98">
        <f aca="true" t="shared" si="84" ref="E149:O149">SUM(E143:E148)+E142+E137+E132</f>
        <v>39208</v>
      </c>
      <c r="F149" s="98">
        <f t="shared" si="84"/>
        <v>62290</v>
      </c>
      <c r="G149" s="98">
        <f t="shared" si="84"/>
        <v>0</v>
      </c>
      <c r="H149" s="98">
        <f t="shared" si="84"/>
        <v>0</v>
      </c>
      <c r="I149" s="98">
        <f t="shared" si="84"/>
        <v>0</v>
      </c>
      <c r="J149" s="98">
        <f t="shared" si="84"/>
        <v>0</v>
      </c>
      <c r="K149" s="98">
        <f t="shared" si="84"/>
        <v>40000</v>
      </c>
      <c r="L149" s="98">
        <f t="shared" si="84"/>
        <v>0</v>
      </c>
      <c r="M149" s="98">
        <f t="shared" si="84"/>
        <v>0</v>
      </c>
      <c r="N149" s="98">
        <f t="shared" si="84"/>
        <v>0</v>
      </c>
      <c r="O149" s="98">
        <f t="shared" si="84"/>
        <v>48500</v>
      </c>
      <c r="P149" s="372"/>
      <c r="Q149" s="373"/>
    </row>
    <row r="150" spans="1:17" ht="15.75">
      <c r="A150" s="67" t="s">
        <v>397</v>
      </c>
      <c r="B150" s="46" t="s">
        <v>398</v>
      </c>
      <c r="C150" s="369">
        <f>+'2 Össz'!E150</f>
        <v>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370"/>
      <c r="Q150" s="364"/>
    </row>
    <row r="151" spans="1:17" ht="15.75">
      <c r="A151" s="59" t="s">
        <v>399</v>
      </c>
      <c r="B151" s="46" t="s">
        <v>400</v>
      </c>
      <c r="C151" s="369">
        <f>+'2 Össz'!E151</f>
        <v>0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370"/>
      <c r="Q151" s="364"/>
    </row>
    <row r="152" spans="1:17" ht="15.75">
      <c r="A152" s="59" t="s">
        <v>401</v>
      </c>
      <c r="B152" s="46" t="s">
        <v>402</v>
      </c>
      <c r="C152" s="369">
        <f>+'2 Össz'!E152</f>
        <v>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370"/>
      <c r="Q152" s="364"/>
    </row>
    <row r="153" spans="1:17" s="374" customFormat="1" ht="15.75">
      <c r="A153" s="354" t="s">
        <v>403</v>
      </c>
      <c r="B153" s="96" t="s">
        <v>404</v>
      </c>
      <c r="C153" s="98">
        <f>SUM(C149:C152)</f>
        <v>256933</v>
      </c>
      <c r="D153" s="98">
        <f>SUM(D149:D152)</f>
        <v>66935</v>
      </c>
      <c r="E153" s="98">
        <f aca="true" t="shared" si="85" ref="E153:O153">SUM(E149:E152)</f>
        <v>39208</v>
      </c>
      <c r="F153" s="98">
        <f t="shared" si="85"/>
        <v>62290</v>
      </c>
      <c r="G153" s="98">
        <f t="shared" si="85"/>
        <v>0</v>
      </c>
      <c r="H153" s="98">
        <f t="shared" si="85"/>
        <v>0</v>
      </c>
      <c r="I153" s="98">
        <f t="shared" si="85"/>
        <v>0</v>
      </c>
      <c r="J153" s="98">
        <f t="shared" si="85"/>
        <v>0</v>
      </c>
      <c r="K153" s="98">
        <f t="shared" si="85"/>
        <v>40000</v>
      </c>
      <c r="L153" s="98">
        <f t="shared" si="85"/>
        <v>0</v>
      </c>
      <c r="M153" s="98">
        <f t="shared" si="85"/>
        <v>0</v>
      </c>
      <c r="N153" s="98">
        <f t="shared" si="85"/>
        <v>0</v>
      </c>
      <c r="O153" s="98">
        <f t="shared" si="85"/>
        <v>48500</v>
      </c>
      <c r="P153" s="370"/>
      <c r="Q153" s="373"/>
    </row>
    <row r="154" spans="1:17" s="374" customFormat="1" ht="15.75">
      <c r="A154" s="121" t="s">
        <v>405</v>
      </c>
      <c r="B154" s="121" t="s">
        <v>406</v>
      </c>
      <c r="C154" s="98">
        <f>+C126+C153</f>
        <v>4488256</v>
      </c>
      <c r="D154" s="98">
        <f>+D126+D153</f>
        <v>228718</v>
      </c>
      <c r="E154" s="98">
        <f>+E126+E153</f>
        <v>224717</v>
      </c>
      <c r="F154" s="98">
        <f aca="true" t="shared" si="86" ref="F154:O154">+F126+F153</f>
        <v>278771</v>
      </c>
      <c r="G154" s="98">
        <f t="shared" si="86"/>
        <v>246210</v>
      </c>
      <c r="H154" s="98">
        <f t="shared" si="86"/>
        <v>365368</v>
      </c>
      <c r="I154" s="98">
        <f t="shared" si="86"/>
        <v>279040</v>
      </c>
      <c r="J154" s="98">
        <f t="shared" si="86"/>
        <v>498125</v>
      </c>
      <c r="K154" s="98">
        <f t="shared" si="86"/>
        <v>305401</v>
      </c>
      <c r="L154" s="98">
        <f t="shared" si="86"/>
        <v>321948</v>
      </c>
      <c r="M154" s="98">
        <f t="shared" si="86"/>
        <v>325724</v>
      </c>
      <c r="N154" s="98">
        <f t="shared" si="86"/>
        <v>632717</v>
      </c>
      <c r="O154" s="98">
        <f t="shared" si="86"/>
        <v>781517</v>
      </c>
      <c r="P154" s="372"/>
      <c r="Q154" s="373"/>
    </row>
    <row r="155" spans="1:5" ht="15.75">
      <c r="A155" s="382"/>
      <c r="B155" s="382"/>
      <c r="C155" s="383"/>
      <c r="D155" s="384"/>
      <c r="E155" s="384"/>
    </row>
    <row r="156" spans="5:15" ht="15"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</row>
  </sheetData>
  <sheetProtection selectLockedCells="1" selectUnlockedCells="1"/>
  <printOptions horizontalCentered="1"/>
  <pageMargins left="0.7083333333333334" right="0.7083333333333334" top="0.31527777777777777" bottom="0.31527777777777777" header="0.5118055555555555" footer="0.15763888888888888"/>
  <pageSetup horizontalDpi="300" verticalDpi="300" orientation="landscape" paperSize="9" scale="45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L263"/>
  <sheetViews>
    <sheetView view="pageBreakPreview" zoomScaleSheetLayoutView="100" workbookViewId="0" topLeftCell="A139">
      <selection activeCell="G143" sqref="G143"/>
    </sheetView>
  </sheetViews>
  <sheetFormatPr defaultColWidth="9.140625" defaultRowHeight="15"/>
  <cols>
    <col min="1" max="1" width="77.00390625" style="12" customWidth="1"/>
    <col min="2" max="2" width="10.140625" style="12" customWidth="1"/>
    <col min="3" max="3" width="14.28125" style="385" customWidth="1"/>
    <col min="4" max="4" width="13.7109375" style="12" customWidth="1"/>
    <col min="5" max="5" width="14.421875" style="12" customWidth="1"/>
    <col min="6" max="6" width="13.7109375" style="12" customWidth="1"/>
    <col min="7" max="7" width="149.140625" style="12" customWidth="1"/>
    <col min="8" max="16384" width="9.140625" style="12" customWidth="1"/>
  </cols>
  <sheetData>
    <row r="1" spans="1:6" s="88" customFormat="1" ht="15.75">
      <c r="A1" s="153"/>
      <c r="C1" s="386"/>
      <c r="F1" s="30" t="s">
        <v>48</v>
      </c>
    </row>
    <row r="2" spans="1:6" s="88" customFormat="1" ht="15.75">
      <c r="A2" s="153"/>
      <c r="C2" s="386"/>
      <c r="F2" s="14" t="s">
        <v>88</v>
      </c>
    </row>
    <row r="3" spans="1:6" ht="18.75">
      <c r="A3" s="32" t="s">
        <v>89</v>
      </c>
      <c r="B3" s="34"/>
      <c r="C3" s="267"/>
      <c r="D3" s="34"/>
      <c r="E3" s="34"/>
      <c r="F3" s="34"/>
    </row>
    <row r="4" spans="1:6" ht="15.75">
      <c r="A4" s="38"/>
      <c r="B4" s="37"/>
      <c r="C4" s="387"/>
      <c r="D4" s="37"/>
      <c r="E4" s="37"/>
      <c r="F4" s="37"/>
    </row>
    <row r="5" spans="1:12" ht="36" customHeight="1">
      <c r="A5" s="409" t="s">
        <v>49</v>
      </c>
      <c r="B5" s="409"/>
      <c r="C5" s="409"/>
      <c r="D5" s="409"/>
      <c r="E5" s="409"/>
      <c r="F5" s="409"/>
      <c r="G5" s="403"/>
      <c r="H5" s="403"/>
      <c r="I5" s="403"/>
      <c r="J5" s="403"/>
      <c r="K5" s="403"/>
      <c r="L5" s="403"/>
    </row>
    <row r="6" spans="1:7" ht="15.75">
      <c r="A6" s="364"/>
      <c r="B6"/>
      <c r="C6" s="388"/>
      <c r="G6" s="389"/>
    </row>
    <row r="7" spans="1:7" ht="31.5">
      <c r="A7" s="17" t="s">
        <v>92</v>
      </c>
      <c r="B7" s="40" t="s">
        <v>119</v>
      </c>
      <c r="C7" s="390" t="s">
        <v>50</v>
      </c>
      <c r="D7" s="391" t="s">
        <v>51</v>
      </c>
      <c r="E7" s="391" t="s">
        <v>52</v>
      </c>
      <c r="F7" s="391" t="s">
        <v>53</v>
      </c>
      <c r="G7" s="392"/>
    </row>
    <row r="8" spans="1:7" ht="15.75">
      <c r="A8" s="43" t="s">
        <v>120</v>
      </c>
      <c r="B8" s="44" t="s">
        <v>121</v>
      </c>
      <c r="C8" s="393">
        <v>1022524</v>
      </c>
      <c r="D8" s="22">
        <f>ROUND(+C8*1.01,0)</f>
        <v>1032749</v>
      </c>
      <c r="E8" s="22">
        <f>ROUND(+D8*1.01,0)</f>
        <v>1043076</v>
      </c>
      <c r="F8" s="22">
        <f>ROUND(+E8*1.01,0)</f>
        <v>1053507</v>
      </c>
      <c r="G8" s="392"/>
    </row>
    <row r="9" spans="1:7" ht="15.75">
      <c r="A9" s="46" t="s">
        <v>122</v>
      </c>
      <c r="B9" s="44" t="s">
        <v>123</v>
      </c>
      <c r="C9" s="393">
        <v>40714</v>
      </c>
      <c r="D9" s="22">
        <f>ROUND(+C9*1.1,0)</f>
        <v>44785</v>
      </c>
      <c r="E9" s="22">
        <f>ROUND(+D9*1.1,0)</f>
        <v>49264</v>
      </c>
      <c r="F9" s="22">
        <f>ROUND(+E9*1.1,0)</f>
        <v>54190</v>
      </c>
      <c r="G9" s="394"/>
    </row>
    <row r="10" spans="1:6" ht="15.75">
      <c r="A10" s="47" t="s">
        <v>54</v>
      </c>
      <c r="B10" s="48" t="s">
        <v>125</v>
      </c>
      <c r="C10" s="395">
        <f>SUM(C8:C9)</f>
        <v>1063238</v>
      </c>
      <c r="D10" s="23">
        <f>SUM(D8:D9)</f>
        <v>1077534</v>
      </c>
      <c r="E10" s="23">
        <f>SUM(E8:E9)</f>
        <v>1092340</v>
      </c>
      <c r="F10" s="23">
        <f>SUM(F8:F9)</f>
        <v>1107697</v>
      </c>
    </row>
    <row r="11" spans="1:7" ht="15.75">
      <c r="A11" s="49" t="s">
        <v>126</v>
      </c>
      <c r="B11" s="48" t="s">
        <v>127</v>
      </c>
      <c r="C11" s="396">
        <v>253514</v>
      </c>
      <c r="D11" s="23">
        <f>ROUND(+D10*0.2384,0)</f>
        <v>256884</v>
      </c>
      <c r="E11" s="23">
        <f>ROUND(+E10*0.2384,0)</f>
        <v>260414</v>
      </c>
      <c r="F11" s="23">
        <f>ROUND(+F10*0.2384,0)</f>
        <v>264075</v>
      </c>
      <c r="G11" s="25"/>
    </row>
    <row r="12" spans="1:7" ht="15.75">
      <c r="A12" s="46" t="s">
        <v>128</v>
      </c>
      <c r="B12" s="44" t="s">
        <v>129</v>
      </c>
      <c r="C12" s="393">
        <v>265156</v>
      </c>
      <c r="D12" s="22">
        <f>ROUND(+C12*0.95,0)</f>
        <v>251898</v>
      </c>
      <c r="E12" s="22">
        <f>ROUND(+D12*0.95,0)</f>
        <v>239303</v>
      </c>
      <c r="F12" s="22">
        <f>ROUND(+E12*0.95,0)</f>
        <v>227338</v>
      </c>
      <c r="G12" s="25"/>
    </row>
    <row r="13" spans="1:6" ht="15.75">
      <c r="A13" s="46" t="s">
        <v>130</v>
      </c>
      <c r="B13" s="44" t="s">
        <v>131</v>
      </c>
      <c r="C13" s="393">
        <v>15495</v>
      </c>
      <c r="D13" s="22">
        <f>ROUND(+C13*0.98,0)</f>
        <v>15185</v>
      </c>
      <c r="E13" s="22">
        <f>ROUND(+D13*0.98,0)</f>
        <v>14881</v>
      </c>
      <c r="F13" s="22">
        <f>ROUND(+E13*0.98,0)</f>
        <v>14583</v>
      </c>
    </row>
    <row r="14" spans="1:6" ht="15.75">
      <c r="A14" s="46" t="s">
        <v>132</v>
      </c>
      <c r="B14" s="44" t="s">
        <v>133</v>
      </c>
      <c r="C14" s="393">
        <v>418371</v>
      </c>
      <c r="D14" s="22">
        <f>ROUND(+C14*0.99,0)</f>
        <v>414187</v>
      </c>
      <c r="E14" s="22">
        <f>ROUND(+D14*0.999,0)</f>
        <v>413773</v>
      </c>
      <c r="F14" s="22">
        <f>ROUND(+E14*0.998,0)</f>
        <v>412945</v>
      </c>
    </row>
    <row r="15" spans="1:6" ht="15.75">
      <c r="A15" s="46" t="s">
        <v>134</v>
      </c>
      <c r="B15" s="44" t="s">
        <v>135</v>
      </c>
      <c r="C15" s="393">
        <v>8080</v>
      </c>
      <c r="D15" s="22">
        <v>4500</v>
      </c>
      <c r="E15" s="22">
        <v>3500</v>
      </c>
      <c r="F15" s="22">
        <v>3000</v>
      </c>
    </row>
    <row r="16" spans="1:6" ht="15.75">
      <c r="A16" s="46" t="s">
        <v>136</v>
      </c>
      <c r="B16" s="44" t="s">
        <v>137</v>
      </c>
      <c r="C16" s="393">
        <v>300734</v>
      </c>
      <c r="D16" s="22">
        <f>ROUND(+C16*0.9,0)</f>
        <v>270661</v>
      </c>
      <c r="E16" s="22">
        <f>ROUND(+D16*0.9,0)</f>
        <v>243595</v>
      </c>
      <c r="F16" s="22">
        <f>ROUND(+E16*0.9,0)</f>
        <v>219236</v>
      </c>
    </row>
    <row r="17" spans="1:6" ht="15.75">
      <c r="A17" s="49" t="s">
        <v>55</v>
      </c>
      <c r="B17" s="48" t="s">
        <v>139</v>
      </c>
      <c r="C17" s="395">
        <f>SUM(C12:C16)</f>
        <v>1007836</v>
      </c>
      <c r="D17" s="23">
        <f>SUM(D12:D16)</f>
        <v>956431</v>
      </c>
      <c r="E17" s="23">
        <f>SUM(E12:E16)</f>
        <v>915052</v>
      </c>
      <c r="F17" s="23">
        <f>SUM(F12:F16)</f>
        <v>877102</v>
      </c>
    </row>
    <row r="18" spans="1:6" ht="15.75">
      <c r="A18" s="50" t="s">
        <v>140</v>
      </c>
      <c r="B18" s="48" t="s">
        <v>141</v>
      </c>
      <c r="C18" s="396">
        <v>105033</v>
      </c>
      <c r="D18" s="396">
        <v>58000</v>
      </c>
      <c r="E18" s="396">
        <v>58000</v>
      </c>
      <c r="F18" s="396">
        <v>58000</v>
      </c>
    </row>
    <row r="19" spans="1:6" ht="15.75">
      <c r="A19" s="51" t="s">
        <v>142</v>
      </c>
      <c r="B19" s="44" t="s">
        <v>143</v>
      </c>
      <c r="C19" s="393"/>
      <c r="D19" s="22"/>
      <c r="E19" s="22"/>
      <c r="F19" s="22"/>
    </row>
    <row r="20" spans="1:6" ht="15.75">
      <c r="A20" s="51" t="s">
        <v>144</v>
      </c>
      <c r="B20" s="44" t="s">
        <v>145</v>
      </c>
      <c r="C20" s="393">
        <v>12806</v>
      </c>
      <c r="D20" s="22"/>
      <c r="E20" s="22"/>
      <c r="F20" s="22"/>
    </row>
    <row r="21" spans="1:6" ht="15.75">
      <c r="A21" s="51" t="s">
        <v>146</v>
      </c>
      <c r="B21" s="44" t="s">
        <v>147</v>
      </c>
      <c r="C21" s="393"/>
      <c r="D21" s="22"/>
      <c r="E21" s="22"/>
      <c r="F21" s="22"/>
    </row>
    <row r="22" spans="1:6" ht="15.75">
      <c r="A22" s="51" t="s">
        <v>148</v>
      </c>
      <c r="B22" s="44" t="s">
        <v>149</v>
      </c>
      <c r="C22" s="393"/>
      <c r="D22" s="22"/>
      <c r="E22" s="22"/>
      <c r="F22" s="22"/>
    </row>
    <row r="23" spans="1:6" ht="15.75">
      <c r="A23" s="51" t="s">
        <v>150</v>
      </c>
      <c r="B23" s="44" t="s">
        <v>151</v>
      </c>
      <c r="C23" s="393"/>
      <c r="D23" s="22"/>
      <c r="E23" s="22"/>
      <c r="F23" s="22"/>
    </row>
    <row r="24" spans="1:6" ht="15.75">
      <c r="A24" s="51" t="s">
        <v>152</v>
      </c>
      <c r="B24" s="44" t="s">
        <v>153</v>
      </c>
      <c r="C24" s="393">
        <v>152060</v>
      </c>
      <c r="D24" s="397">
        <v>50000</v>
      </c>
      <c r="E24" s="397">
        <v>0</v>
      </c>
      <c r="F24" s="397">
        <v>0</v>
      </c>
    </row>
    <row r="25" spans="1:6" ht="15.75">
      <c r="A25" s="51" t="s">
        <v>154</v>
      </c>
      <c r="B25" s="44" t="s">
        <v>155</v>
      </c>
      <c r="C25" s="393"/>
      <c r="D25" s="22"/>
      <c r="E25" s="22"/>
      <c r="F25" s="22"/>
    </row>
    <row r="26" spans="1:6" ht="15.75">
      <c r="A26" s="51" t="s">
        <v>156</v>
      </c>
      <c r="B26" s="44" t="s">
        <v>157</v>
      </c>
      <c r="C26" s="393"/>
      <c r="D26" s="22"/>
      <c r="E26" s="22"/>
      <c r="F26" s="22"/>
    </row>
    <row r="27" spans="1:6" ht="15.75">
      <c r="A27" s="51" t="s">
        <v>158</v>
      </c>
      <c r="B27" s="44" t="s">
        <v>159</v>
      </c>
      <c r="C27" s="393"/>
      <c r="D27" s="22"/>
      <c r="E27" s="22"/>
      <c r="F27" s="22"/>
    </row>
    <row r="28" spans="1:6" ht="15.75">
      <c r="A28" s="52" t="s">
        <v>160</v>
      </c>
      <c r="B28" s="44" t="s">
        <v>161</v>
      </c>
      <c r="C28" s="393"/>
      <c r="D28" s="22"/>
      <c r="E28" s="22"/>
      <c r="F28" s="22"/>
    </row>
    <row r="29" spans="1:6" ht="15.75">
      <c r="A29" s="51" t="s">
        <v>164</v>
      </c>
      <c r="B29" s="44" t="s">
        <v>163</v>
      </c>
      <c r="C29" s="393">
        <v>39993</v>
      </c>
      <c r="D29" s="22">
        <v>40000</v>
      </c>
      <c r="E29" s="22">
        <v>40000</v>
      </c>
      <c r="F29" s="22">
        <v>40000</v>
      </c>
    </row>
    <row r="30" spans="1:6" ht="15.75">
      <c r="A30" s="52" t="s">
        <v>166</v>
      </c>
      <c r="B30" s="44" t="s">
        <v>165</v>
      </c>
      <c r="C30" s="393">
        <v>40000</v>
      </c>
      <c r="D30" s="393">
        <v>40000</v>
      </c>
      <c r="E30" s="393">
        <v>40000</v>
      </c>
      <c r="F30" s="393">
        <v>40000</v>
      </c>
    </row>
    <row r="31" spans="1:6" ht="15.75">
      <c r="A31" s="52" t="s">
        <v>168</v>
      </c>
      <c r="B31" s="44" t="s">
        <v>165</v>
      </c>
      <c r="C31" s="393">
        <v>4300</v>
      </c>
      <c r="D31" s="393">
        <v>4300</v>
      </c>
      <c r="E31" s="393">
        <v>4300</v>
      </c>
      <c r="F31" s="393">
        <v>4300</v>
      </c>
    </row>
    <row r="32" spans="1:6" ht="15.75">
      <c r="A32" s="50" t="s">
        <v>56</v>
      </c>
      <c r="B32" s="48" t="s">
        <v>170</v>
      </c>
      <c r="C32" s="274">
        <f>SUM(C19:C31)</f>
        <v>249159</v>
      </c>
      <c r="D32" s="23">
        <f>SUM(D19:D31)</f>
        <v>134300</v>
      </c>
      <c r="E32" s="23">
        <f>SUM(E19:E31)</f>
        <v>84300</v>
      </c>
      <c r="F32" s="23">
        <f>SUM(F19:F31)</f>
        <v>84300</v>
      </c>
    </row>
    <row r="33" spans="1:6" ht="15.75">
      <c r="A33" s="352" t="s">
        <v>57</v>
      </c>
      <c r="B33" s="350" t="s">
        <v>172</v>
      </c>
      <c r="C33" s="282">
        <f>+C32+C18+C17+C11+C10</f>
        <v>2678780</v>
      </c>
      <c r="D33" s="98">
        <f>+D32+D18+D17+D11+D10</f>
        <v>2483149</v>
      </c>
      <c r="E33" s="98">
        <f>+E32+E18+E17+E11+E10</f>
        <v>2410106</v>
      </c>
      <c r="F33" s="98">
        <f>+F32+F18+F17+F11+F10</f>
        <v>2391174</v>
      </c>
    </row>
    <row r="34" spans="1:6" ht="15.75">
      <c r="A34" s="56" t="s">
        <v>173</v>
      </c>
      <c r="B34" s="44" t="s">
        <v>174</v>
      </c>
      <c r="C34" s="393">
        <v>843</v>
      </c>
      <c r="D34" s="22"/>
      <c r="E34" s="22"/>
      <c r="F34" s="22"/>
    </row>
    <row r="35" spans="1:6" ht="15.75">
      <c r="A35" s="56" t="s">
        <v>175</v>
      </c>
      <c r="B35" s="44" t="s">
        <v>176</v>
      </c>
      <c r="C35" s="393">
        <v>3150</v>
      </c>
      <c r="D35" s="22"/>
      <c r="E35" s="22"/>
      <c r="F35" s="22"/>
    </row>
    <row r="36" spans="1:6" ht="15.75">
      <c r="A36" s="56" t="s">
        <v>177</v>
      </c>
      <c r="B36" s="44" t="s">
        <v>178</v>
      </c>
      <c r="C36" s="393">
        <v>2199</v>
      </c>
      <c r="D36" s="22"/>
      <c r="E36" s="22"/>
      <c r="F36" s="22"/>
    </row>
    <row r="37" spans="1:6" ht="15.75">
      <c r="A37" s="56" t="s">
        <v>179</v>
      </c>
      <c r="B37" s="44" t="s">
        <v>180</v>
      </c>
      <c r="C37" s="393">
        <v>61256</v>
      </c>
      <c r="D37" s="22">
        <v>20000</v>
      </c>
      <c r="E37" s="22">
        <v>15000</v>
      </c>
      <c r="F37" s="22">
        <v>10000</v>
      </c>
    </row>
    <row r="38" spans="1:6" ht="15.75">
      <c r="A38" s="57" t="s">
        <v>181</v>
      </c>
      <c r="B38" s="44" t="s">
        <v>182</v>
      </c>
      <c r="C38" s="393"/>
      <c r="D38" s="22"/>
      <c r="E38" s="22"/>
      <c r="F38" s="22"/>
    </row>
    <row r="39" spans="1:6" ht="15.75">
      <c r="A39" s="57" t="s">
        <v>183</v>
      </c>
      <c r="B39" s="44" t="s">
        <v>184</v>
      </c>
      <c r="C39" s="393"/>
      <c r="D39" s="22"/>
      <c r="E39" s="22"/>
      <c r="F39" s="22"/>
    </row>
    <row r="40" spans="1:6" ht="15.75">
      <c r="A40" s="57" t="s">
        <v>185</v>
      </c>
      <c r="B40" s="44" t="s">
        <v>186</v>
      </c>
      <c r="C40" s="393">
        <v>18431</v>
      </c>
      <c r="D40" s="22">
        <f>ROUND(SUM(D34:D39)*0.27,0)</f>
        <v>5400</v>
      </c>
      <c r="E40" s="22">
        <f>ROUND(SUM(E34:E39)*0.27,0)</f>
        <v>4050</v>
      </c>
      <c r="F40" s="22">
        <f>ROUND(SUM(F34:F39)*0.27,0)</f>
        <v>2700</v>
      </c>
    </row>
    <row r="41" spans="1:6" ht="15.75">
      <c r="A41" s="97" t="s">
        <v>58</v>
      </c>
      <c r="B41" s="350" t="s">
        <v>188</v>
      </c>
      <c r="C41" s="282">
        <f>SUM(C34:C40)</f>
        <v>85879</v>
      </c>
      <c r="D41" s="98">
        <f>SUM(D34:D40)</f>
        <v>25400</v>
      </c>
      <c r="E41" s="98">
        <f>SUM(E34:E40)</f>
        <v>19050</v>
      </c>
      <c r="F41" s="98">
        <f>SUM(F34:F40)</f>
        <v>12700</v>
      </c>
    </row>
    <row r="42" spans="1:6" ht="15.75">
      <c r="A42" s="59" t="s">
        <v>189</v>
      </c>
      <c r="B42" s="44" t="s">
        <v>190</v>
      </c>
      <c r="C42" s="393">
        <v>1067608</v>
      </c>
      <c r="D42" s="22">
        <v>500000</v>
      </c>
      <c r="E42" s="22">
        <v>450000</v>
      </c>
      <c r="F42" s="22">
        <v>350000</v>
      </c>
    </row>
    <row r="43" spans="1:6" ht="15.75">
      <c r="A43" s="59" t="s">
        <v>191</v>
      </c>
      <c r="B43" s="44" t="s">
        <v>192</v>
      </c>
      <c r="C43" s="393"/>
      <c r="D43" s="22"/>
      <c r="E43" s="22"/>
      <c r="F43" s="22"/>
    </row>
    <row r="44" spans="1:6" ht="15.75">
      <c r="A44" s="59" t="s">
        <v>193</v>
      </c>
      <c r="B44" s="44" t="s">
        <v>194</v>
      </c>
      <c r="C44" s="393">
        <v>149685</v>
      </c>
      <c r="D44" s="22">
        <v>90000</v>
      </c>
      <c r="E44" s="22">
        <v>80000</v>
      </c>
      <c r="F44" s="22">
        <v>50000</v>
      </c>
    </row>
    <row r="45" spans="1:6" ht="15.75">
      <c r="A45" s="59" t="s">
        <v>195</v>
      </c>
      <c r="B45" s="44" t="s">
        <v>196</v>
      </c>
      <c r="C45" s="393">
        <v>355672</v>
      </c>
      <c r="D45" s="22">
        <f>ROUND(SUM(D42:D44)*0.27,0)</f>
        <v>159300</v>
      </c>
      <c r="E45" s="22">
        <f>ROUND(SUM(E42:E44)*0.27,0)</f>
        <v>143100</v>
      </c>
      <c r="F45" s="22">
        <f>ROUND(SUM(F42:F44)*0.27,0)</f>
        <v>108000</v>
      </c>
    </row>
    <row r="46" spans="1:6" ht="15.75">
      <c r="A46" s="96" t="s">
        <v>59</v>
      </c>
      <c r="B46" s="350" t="s">
        <v>198</v>
      </c>
      <c r="C46" s="282">
        <f>SUM(C42:C45)</f>
        <v>1572965</v>
      </c>
      <c r="D46" s="98">
        <f>SUM(D42:D45)</f>
        <v>749300</v>
      </c>
      <c r="E46" s="98">
        <f>SUM(E42:E45)</f>
        <v>673100</v>
      </c>
      <c r="F46" s="98">
        <f>SUM(F42:F45)</f>
        <v>508000</v>
      </c>
    </row>
    <row r="47" spans="1:6" ht="15.75">
      <c r="A47" s="59" t="s">
        <v>199</v>
      </c>
      <c r="B47" s="44" t="s">
        <v>200</v>
      </c>
      <c r="C47" s="393"/>
      <c r="D47" s="22"/>
      <c r="E47" s="22"/>
      <c r="F47" s="22"/>
    </row>
    <row r="48" spans="1:6" ht="15.75">
      <c r="A48" s="59" t="s">
        <v>201</v>
      </c>
      <c r="B48" s="44" t="s">
        <v>202</v>
      </c>
      <c r="C48" s="393"/>
      <c r="D48" s="22"/>
      <c r="E48" s="22"/>
      <c r="F48" s="22"/>
    </row>
    <row r="49" spans="1:6" ht="15.75">
      <c r="A49" s="59" t="s">
        <v>203</v>
      </c>
      <c r="B49" s="44" t="s">
        <v>204</v>
      </c>
      <c r="C49" s="393"/>
      <c r="D49" s="22"/>
      <c r="E49" s="22"/>
      <c r="F49" s="22"/>
    </row>
    <row r="50" spans="1:6" ht="15.75">
      <c r="A50" s="59" t="s">
        <v>205</v>
      </c>
      <c r="B50" s="44" t="s">
        <v>206</v>
      </c>
      <c r="C50" s="393">
        <v>59132</v>
      </c>
      <c r="D50" s="22"/>
      <c r="E50" s="22"/>
      <c r="F50" s="22"/>
    </row>
    <row r="51" spans="1:6" ht="15.75">
      <c r="A51" s="59" t="s">
        <v>207</v>
      </c>
      <c r="B51" s="44" t="s">
        <v>208</v>
      </c>
      <c r="C51" s="393"/>
      <c r="D51" s="22"/>
      <c r="E51" s="22"/>
      <c r="F51" s="22"/>
    </row>
    <row r="52" spans="1:6" ht="15.75">
      <c r="A52" s="59" t="s">
        <v>209</v>
      </c>
      <c r="B52" s="44" t="s">
        <v>210</v>
      </c>
      <c r="C52" s="393"/>
      <c r="D52" s="22"/>
      <c r="E52" s="22"/>
      <c r="F52" s="22"/>
    </row>
    <row r="53" spans="1:6" ht="15.75">
      <c r="A53" s="59" t="s">
        <v>211</v>
      </c>
      <c r="B53" s="44" t="s">
        <v>212</v>
      </c>
      <c r="C53" s="393"/>
      <c r="D53" s="22"/>
      <c r="E53" s="22"/>
      <c r="F53" s="22"/>
    </row>
    <row r="54" spans="1:6" ht="15.75">
      <c r="A54" s="59" t="s">
        <v>60</v>
      </c>
      <c r="B54" s="44" t="s">
        <v>214</v>
      </c>
      <c r="C54" s="393"/>
      <c r="D54" s="22"/>
      <c r="E54" s="22"/>
      <c r="F54" s="22"/>
    </row>
    <row r="55" spans="1:6" ht="15.75">
      <c r="A55" s="59" t="s">
        <v>215</v>
      </c>
      <c r="B55" s="44" t="s">
        <v>216</v>
      </c>
      <c r="C55" s="393">
        <v>3000</v>
      </c>
      <c r="D55" s="22"/>
      <c r="E55" s="22"/>
      <c r="F55" s="22"/>
    </row>
    <row r="56" spans="1:6" ht="15.75">
      <c r="A56" s="150" t="s">
        <v>61</v>
      </c>
      <c r="B56" s="350" t="s">
        <v>218</v>
      </c>
      <c r="C56" s="282">
        <f>SUM(C47:C55)</f>
        <v>62132</v>
      </c>
      <c r="D56" s="98">
        <f>SUM(D47:D55)</f>
        <v>0</v>
      </c>
      <c r="E56" s="98">
        <f>SUM(E47:E55)</f>
        <v>0</v>
      </c>
      <c r="F56" s="98">
        <f>SUM(F47:F55)</f>
        <v>0</v>
      </c>
    </row>
    <row r="57" spans="1:6" ht="15.75">
      <c r="A57" s="352" t="s">
        <v>62</v>
      </c>
      <c r="B57" s="350" t="s">
        <v>220</v>
      </c>
      <c r="C57" s="282">
        <f>+C56+C46+C41</f>
        <v>1720976</v>
      </c>
      <c r="D57" s="98">
        <f>+D56+D46+D41</f>
        <v>774700</v>
      </c>
      <c r="E57" s="98">
        <f>+E56+E46+E41</f>
        <v>692150</v>
      </c>
      <c r="F57" s="98">
        <f>+F56+F46+F41</f>
        <v>520700</v>
      </c>
    </row>
    <row r="58" spans="1:6" ht="15.75">
      <c r="A58" s="97" t="s">
        <v>63</v>
      </c>
      <c r="B58" s="350" t="s">
        <v>222</v>
      </c>
      <c r="C58" s="282">
        <f>+C56+C46+C41+C32+C18+C17+C11+C10</f>
        <v>4399756</v>
      </c>
      <c r="D58" s="98">
        <f>+D56+D46+D41+D32+D18+D17+D11+D10</f>
        <v>3257849</v>
      </c>
      <c r="E58" s="98">
        <f>+E56+E46+E41+E32+E18+E17+E11+E10</f>
        <v>3102256</v>
      </c>
      <c r="F58" s="98">
        <f>+F56+F46+F41+F32+F18+F17+F11+F10</f>
        <v>2911874</v>
      </c>
    </row>
    <row r="59" spans="1:6" ht="15.75">
      <c r="A59" s="59" t="s">
        <v>223</v>
      </c>
      <c r="B59" s="46" t="s">
        <v>224</v>
      </c>
      <c r="C59" s="393"/>
      <c r="D59" s="22"/>
      <c r="E59" s="22"/>
      <c r="F59" s="22"/>
    </row>
    <row r="60" spans="1:6" ht="15.75">
      <c r="A60" s="59" t="s">
        <v>225</v>
      </c>
      <c r="B60" s="46" t="s">
        <v>226</v>
      </c>
      <c r="C60" s="393"/>
      <c r="D60" s="22"/>
      <c r="E60" s="22"/>
      <c r="F60" s="22"/>
    </row>
    <row r="61" spans="1:6" ht="15.75">
      <c r="A61" s="59" t="s">
        <v>227</v>
      </c>
      <c r="B61" s="46" t="s">
        <v>228</v>
      </c>
      <c r="C61" s="393">
        <v>88500</v>
      </c>
      <c r="D61" s="397">
        <v>88500</v>
      </c>
      <c r="E61" s="397">
        <v>88500</v>
      </c>
      <c r="F61" s="397">
        <v>88500</v>
      </c>
    </row>
    <row r="62" spans="1:6" ht="15.75">
      <c r="A62" s="50" t="s">
        <v>64</v>
      </c>
      <c r="B62" s="49" t="s">
        <v>230</v>
      </c>
      <c r="C62" s="65">
        <f>SUM(C59:C61)</f>
        <v>88500</v>
      </c>
      <c r="D62" s="65">
        <f>SUM(D59:D61)</f>
        <v>88500</v>
      </c>
      <c r="E62" s="65">
        <f>SUM(E59:E61)</f>
        <v>88500</v>
      </c>
      <c r="F62" s="65">
        <f>SUM(F59:F61)</f>
        <v>88500</v>
      </c>
    </row>
    <row r="63" spans="1:6" ht="15.75">
      <c r="A63" s="67" t="s">
        <v>65</v>
      </c>
      <c r="B63" s="46" t="s">
        <v>757</v>
      </c>
      <c r="C63" s="396"/>
      <c r="D63" s="22"/>
      <c r="E63" s="22"/>
      <c r="F63" s="22"/>
    </row>
    <row r="64" spans="1:6" ht="15.75">
      <c r="A64" s="67" t="s">
        <v>760</v>
      </c>
      <c r="B64" s="46" t="s">
        <v>761</v>
      </c>
      <c r="C64" s="396"/>
      <c r="D64" s="22"/>
      <c r="E64" s="22"/>
      <c r="F64" s="22"/>
    </row>
    <row r="65" spans="1:6" ht="15.75">
      <c r="A65" s="59" t="s">
        <v>762</v>
      </c>
      <c r="B65" s="46" t="s">
        <v>763</v>
      </c>
      <c r="C65" s="396"/>
      <c r="D65" s="22"/>
      <c r="E65" s="22"/>
      <c r="F65" s="22"/>
    </row>
    <row r="66" spans="1:6" ht="15.75">
      <c r="A66" s="59" t="s">
        <v>66</v>
      </c>
      <c r="B66" s="46" t="s">
        <v>764</v>
      </c>
      <c r="C66" s="393"/>
      <c r="D66" s="22"/>
      <c r="E66" s="22"/>
      <c r="F66" s="22"/>
    </row>
    <row r="67" spans="1:6" ht="15.75">
      <c r="A67" s="71" t="s">
        <v>67</v>
      </c>
      <c r="B67" s="49" t="s">
        <v>232</v>
      </c>
      <c r="C67" s="68">
        <f>SUM(C63:C66)</f>
        <v>0</v>
      </c>
      <c r="D67" s="68">
        <f>SUM(D63:D66)</f>
        <v>0</v>
      </c>
      <c r="E67" s="68">
        <f>SUM(E63:E66)</f>
        <v>0</v>
      </c>
      <c r="F67" s="68">
        <f>SUM(F63:F66)</f>
        <v>0</v>
      </c>
    </row>
    <row r="68" spans="1:6" ht="15.75">
      <c r="A68" s="67" t="s">
        <v>233</v>
      </c>
      <c r="B68" s="46" t="s">
        <v>234</v>
      </c>
      <c r="C68" s="396"/>
      <c r="D68" s="22"/>
      <c r="E68" s="22"/>
      <c r="F68" s="22"/>
    </row>
    <row r="69" spans="1:6" ht="15.75">
      <c r="A69" s="67" t="s">
        <v>235</v>
      </c>
      <c r="B69" s="46" t="s">
        <v>236</v>
      </c>
      <c r="C69" s="396"/>
      <c r="D69" s="22"/>
      <c r="E69" s="22"/>
      <c r="F69" s="22"/>
    </row>
    <row r="70" spans="1:6" ht="15.75">
      <c r="A70" s="67" t="s">
        <v>47</v>
      </c>
      <c r="B70" s="46" t="s">
        <v>238</v>
      </c>
      <c r="C70" s="396"/>
      <c r="D70" s="22"/>
      <c r="E70" s="22"/>
      <c r="F70" s="22"/>
    </row>
    <row r="71" spans="1:6" ht="15.75">
      <c r="A71" s="67" t="s">
        <v>766</v>
      </c>
      <c r="B71" s="46" t="s">
        <v>240</v>
      </c>
      <c r="C71" s="396"/>
      <c r="D71" s="22"/>
      <c r="E71" s="22"/>
      <c r="F71" s="22"/>
    </row>
    <row r="72" spans="1:6" ht="15.75">
      <c r="A72" s="67" t="s">
        <v>241</v>
      </c>
      <c r="B72" s="46" t="s">
        <v>242</v>
      </c>
      <c r="C72" s="396"/>
      <c r="D72" s="22"/>
      <c r="E72" s="22"/>
      <c r="F72" s="22"/>
    </row>
    <row r="73" spans="1:6" ht="15.75" hidden="1">
      <c r="A73" s="67" t="s">
        <v>243</v>
      </c>
      <c r="B73" s="46" t="s">
        <v>244</v>
      </c>
      <c r="C73" s="396"/>
      <c r="D73" s="22"/>
      <c r="E73" s="22"/>
      <c r="F73" s="22"/>
    </row>
    <row r="74" spans="1:6" ht="15.75">
      <c r="A74" s="71" t="s">
        <v>654</v>
      </c>
      <c r="B74" s="49" t="s">
        <v>248</v>
      </c>
      <c r="C74" s="68">
        <f>+C73+C72+C71+C70+C69+C68+C67+C62</f>
        <v>88500</v>
      </c>
      <c r="D74" s="68">
        <f>+D73+D72+D71+D70+D69+D68+D67+D62</f>
        <v>88500</v>
      </c>
      <c r="E74" s="68">
        <f>+E73+E72+E71+E70+E69+E68+E67+E62</f>
        <v>88500</v>
      </c>
      <c r="F74" s="68">
        <f>+F73+F72+F71+F70+F69+F68+F67+F62</f>
        <v>88500</v>
      </c>
    </row>
    <row r="75" spans="1:6" ht="15.75">
      <c r="A75" s="71" t="s">
        <v>249</v>
      </c>
      <c r="B75" s="49" t="s">
        <v>250</v>
      </c>
      <c r="C75" s="396"/>
      <c r="D75" s="22"/>
      <c r="E75" s="22"/>
      <c r="F75" s="22"/>
    </row>
    <row r="76" spans="1:6" ht="15.75">
      <c r="A76" s="59" t="s">
        <v>251</v>
      </c>
      <c r="B76" s="46" t="s">
        <v>252</v>
      </c>
      <c r="C76" s="396"/>
      <c r="D76" s="22"/>
      <c r="E76" s="22"/>
      <c r="F76" s="22"/>
    </row>
    <row r="77" spans="1:6" ht="15.75">
      <c r="A77" s="354" t="s">
        <v>68</v>
      </c>
      <c r="B77" s="96" t="s">
        <v>256</v>
      </c>
      <c r="C77" s="355">
        <f>+C76+C75+C74</f>
        <v>88500</v>
      </c>
      <c r="D77" s="355">
        <f>+D76+D75+D74</f>
        <v>88500</v>
      </c>
      <c r="E77" s="355">
        <f>+E76+E75+E74</f>
        <v>88500</v>
      </c>
      <c r="F77" s="355">
        <f>+F76+F75+F74</f>
        <v>88500</v>
      </c>
    </row>
    <row r="78" spans="1:6" ht="15.75">
      <c r="A78" s="121" t="s">
        <v>257</v>
      </c>
      <c r="B78" s="121" t="s">
        <v>258</v>
      </c>
      <c r="C78" s="282">
        <f>+C58+C77</f>
        <v>4488256</v>
      </c>
      <c r="D78" s="98">
        <f>+D58+D77</f>
        <v>3346349</v>
      </c>
      <c r="E78" s="98">
        <f>+E58+E77</f>
        <v>3190756</v>
      </c>
      <c r="F78" s="98">
        <f>+F58+F77</f>
        <v>3000374</v>
      </c>
    </row>
    <row r="79" spans="1:6" ht="31.5">
      <c r="A79" s="17" t="s">
        <v>92</v>
      </c>
      <c r="B79" s="40" t="s">
        <v>119</v>
      </c>
      <c r="C79" s="390" t="s">
        <v>50</v>
      </c>
      <c r="D79" s="391" t="s">
        <v>51</v>
      </c>
      <c r="E79" s="391" t="s">
        <v>52</v>
      </c>
      <c r="F79" s="391" t="s">
        <v>53</v>
      </c>
    </row>
    <row r="80" spans="1:6" ht="15.75">
      <c r="A80" s="43" t="s">
        <v>261</v>
      </c>
      <c r="B80" s="57" t="s">
        <v>262</v>
      </c>
      <c r="C80" s="393">
        <v>242088</v>
      </c>
      <c r="D80" s="22">
        <v>253000</v>
      </c>
      <c r="E80" s="22">
        <v>256000</v>
      </c>
      <c r="F80" s="22">
        <v>256000</v>
      </c>
    </row>
    <row r="81" spans="1:6" ht="15.75">
      <c r="A81" s="46" t="s">
        <v>263</v>
      </c>
      <c r="B81" s="57" t="s">
        <v>264</v>
      </c>
      <c r="C81" s="393">
        <v>270670</v>
      </c>
      <c r="D81" s="22">
        <v>281000</v>
      </c>
      <c r="E81" s="22">
        <v>288000</v>
      </c>
      <c r="F81" s="22">
        <v>290000</v>
      </c>
    </row>
    <row r="82" spans="1:6" ht="15.75">
      <c r="A82" s="46" t="s">
        <v>265</v>
      </c>
      <c r="B82" s="57" t="s">
        <v>266</v>
      </c>
      <c r="C82" s="393">
        <v>356931</v>
      </c>
      <c r="D82" s="22">
        <v>310000</v>
      </c>
      <c r="E82" s="22">
        <v>315000</v>
      </c>
      <c r="F82" s="22">
        <v>320000</v>
      </c>
    </row>
    <row r="83" spans="1:6" ht="15.75">
      <c r="A83" s="46" t="s">
        <v>267</v>
      </c>
      <c r="B83" s="57" t="s">
        <v>268</v>
      </c>
      <c r="C83" s="393">
        <v>13012</v>
      </c>
      <c r="D83" s="22">
        <v>13000</v>
      </c>
      <c r="E83" s="22">
        <v>13000</v>
      </c>
      <c r="F83" s="22">
        <v>13000</v>
      </c>
    </row>
    <row r="84" spans="1:6" ht="15.75">
      <c r="A84" s="46" t="s">
        <v>31</v>
      </c>
      <c r="B84" s="57" t="s">
        <v>270</v>
      </c>
      <c r="C84" s="393">
        <v>180671</v>
      </c>
      <c r="D84" s="22">
        <v>256000</v>
      </c>
      <c r="E84" s="22">
        <v>242000</v>
      </c>
      <c r="F84" s="22">
        <v>230000</v>
      </c>
    </row>
    <row r="85" spans="1:6" ht="15.75">
      <c r="A85" s="46" t="s">
        <v>32</v>
      </c>
      <c r="B85" s="57" t="s">
        <v>272</v>
      </c>
      <c r="C85" s="393">
        <v>0</v>
      </c>
      <c r="D85" s="22"/>
      <c r="E85" s="22"/>
      <c r="F85" s="22"/>
    </row>
    <row r="86" spans="1:6" ht="15.75">
      <c r="A86" s="49" t="s">
        <v>655</v>
      </c>
      <c r="B86" s="58" t="s">
        <v>274</v>
      </c>
      <c r="C86" s="395">
        <f>SUM(C80:C85)</f>
        <v>1063372</v>
      </c>
      <c r="D86" s="23">
        <f>SUM(D80:D85)</f>
        <v>1113000</v>
      </c>
      <c r="E86" s="23">
        <f>SUM(E80:E85)</f>
        <v>1114000</v>
      </c>
      <c r="F86" s="23">
        <f>SUM(F80:F85)</f>
        <v>1109000</v>
      </c>
    </row>
    <row r="87" spans="1:6" ht="15.75">
      <c r="A87" s="46" t="s">
        <v>275</v>
      </c>
      <c r="B87" s="57" t="s">
        <v>276</v>
      </c>
      <c r="C87" s="393"/>
      <c r="D87" s="22"/>
      <c r="E87" s="22"/>
      <c r="F87" s="22"/>
    </row>
    <row r="88" spans="1:6" ht="15.75">
      <c r="A88" s="46" t="s">
        <v>277</v>
      </c>
      <c r="B88" s="57" t="s">
        <v>278</v>
      </c>
      <c r="C88" s="393"/>
      <c r="D88" s="22"/>
      <c r="E88" s="22"/>
      <c r="F88" s="22"/>
    </row>
    <row r="89" spans="1:6" ht="15.75">
      <c r="A89" s="46" t="s">
        <v>279</v>
      </c>
      <c r="B89" s="57" t="s">
        <v>280</v>
      </c>
      <c r="C89" s="393"/>
      <c r="D89" s="22"/>
      <c r="E89" s="22"/>
      <c r="F89" s="22"/>
    </row>
    <row r="90" spans="1:6" ht="15.75">
      <c r="A90" s="46" t="s">
        <v>281</v>
      </c>
      <c r="B90" s="57" t="s">
        <v>282</v>
      </c>
      <c r="C90" s="393"/>
      <c r="D90" s="22"/>
      <c r="E90" s="22"/>
      <c r="F90" s="22"/>
    </row>
    <row r="91" spans="1:6" ht="15.75">
      <c r="A91" s="46" t="s">
        <v>283</v>
      </c>
      <c r="B91" s="57" t="s">
        <v>284</v>
      </c>
      <c r="C91" s="393">
        <v>633365</v>
      </c>
      <c r="D91" s="22">
        <v>635000</v>
      </c>
      <c r="E91" s="22">
        <v>630000</v>
      </c>
      <c r="F91" s="22">
        <v>630000</v>
      </c>
    </row>
    <row r="92" spans="1:6" ht="15.75">
      <c r="A92" s="96" t="s">
        <v>69</v>
      </c>
      <c r="B92" s="97" t="s">
        <v>286</v>
      </c>
      <c r="C92" s="282">
        <f>+C91+C90+C89+C88+C87+C86</f>
        <v>1696737</v>
      </c>
      <c r="D92" s="98">
        <f>+D91+D90+D89+D88+D87+D86</f>
        <v>1748000</v>
      </c>
      <c r="E92" s="98">
        <f>+E91+E90+E89+E88+E87+E86</f>
        <v>1744000</v>
      </c>
      <c r="F92" s="98">
        <f>+F91+F90+F89+F88+F87+F86</f>
        <v>1739000</v>
      </c>
    </row>
    <row r="93" spans="1:6" ht="15.75">
      <c r="A93" s="96" t="s">
        <v>287</v>
      </c>
      <c r="B93" s="97" t="s">
        <v>288</v>
      </c>
      <c r="C93" s="398">
        <v>1631106</v>
      </c>
      <c r="D93" s="98">
        <f>ROUND(+D46*0.9,0)</f>
        <v>674370</v>
      </c>
      <c r="E93" s="98">
        <f>ROUND(+E46*0.9,0)</f>
        <v>605790</v>
      </c>
      <c r="F93" s="98">
        <f>ROUND(+F46*0.9,0)</f>
        <v>457200</v>
      </c>
    </row>
    <row r="94" spans="1:6" ht="15.75">
      <c r="A94" s="46" t="s">
        <v>289</v>
      </c>
      <c r="B94" s="57" t="s">
        <v>290</v>
      </c>
      <c r="C94" s="393"/>
      <c r="D94" s="22"/>
      <c r="E94" s="22"/>
      <c r="F94" s="22"/>
    </row>
    <row r="95" spans="1:6" ht="15.75">
      <c r="A95" s="46" t="s">
        <v>291</v>
      </c>
      <c r="B95" s="57" t="s">
        <v>292</v>
      </c>
      <c r="C95" s="393"/>
      <c r="D95" s="22"/>
      <c r="E95" s="22"/>
      <c r="F95" s="22"/>
    </row>
    <row r="96" spans="1:6" ht="15.75">
      <c r="A96" s="46" t="s">
        <v>293</v>
      </c>
      <c r="B96" s="57" t="s">
        <v>294</v>
      </c>
      <c r="C96" s="393"/>
      <c r="D96" s="22"/>
      <c r="E96" s="22"/>
      <c r="F96" s="22"/>
    </row>
    <row r="97" spans="1:6" ht="15.75">
      <c r="A97" s="46" t="s">
        <v>295</v>
      </c>
      <c r="B97" s="57" t="s">
        <v>296</v>
      </c>
      <c r="C97" s="393">
        <v>96750</v>
      </c>
      <c r="D97" s="397">
        <v>96750</v>
      </c>
      <c r="E97" s="397">
        <v>96750</v>
      </c>
      <c r="F97" s="397">
        <v>96750</v>
      </c>
    </row>
    <row r="98" spans="1:6" ht="15.75">
      <c r="A98" s="46" t="s">
        <v>297</v>
      </c>
      <c r="B98" s="57" t="s">
        <v>298</v>
      </c>
      <c r="C98" s="393">
        <v>257450</v>
      </c>
      <c r="D98" s="397">
        <v>257450</v>
      </c>
      <c r="E98" s="397">
        <v>257450</v>
      </c>
      <c r="F98" s="397">
        <v>257450</v>
      </c>
    </row>
    <row r="99" spans="1:6" ht="15.75">
      <c r="A99" s="46" t="s">
        <v>299</v>
      </c>
      <c r="B99" s="57" t="s">
        <v>300</v>
      </c>
      <c r="C99" s="393">
        <v>3500</v>
      </c>
      <c r="D99" s="397">
        <v>3000</v>
      </c>
      <c r="E99" s="397">
        <v>3000</v>
      </c>
      <c r="F99" s="397">
        <v>3000</v>
      </c>
    </row>
    <row r="100" spans="1:6" ht="15.75">
      <c r="A100" s="96" t="s">
        <v>70</v>
      </c>
      <c r="B100" s="97" t="s">
        <v>302</v>
      </c>
      <c r="C100" s="282">
        <f>SUM(C94:C99)</f>
        <v>357700</v>
      </c>
      <c r="D100" s="98">
        <f>SUM(D94:D99)</f>
        <v>357200</v>
      </c>
      <c r="E100" s="98">
        <f>SUM(E94:E99)</f>
        <v>357200</v>
      </c>
      <c r="F100" s="98">
        <f>SUM(F94:F99)</f>
        <v>357200</v>
      </c>
    </row>
    <row r="101" spans="1:6" ht="15.75">
      <c r="A101" s="59" t="s">
        <v>656</v>
      </c>
      <c r="B101" s="57" t="s">
        <v>304</v>
      </c>
      <c r="C101" s="393">
        <v>850</v>
      </c>
      <c r="D101" s="397">
        <v>1000</v>
      </c>
      <c r="E101" s="397"/>
      <c r="F101" s="397"/>
    </row>
    <row r="102" spans="1:6" ht="15.75">
      <c r="A102" s="59" t="s">
        <v>305</v>
      </c>
      <c r="B102" s="57" t="s">
        <v>306</v>
      </c>
      <c r="C102" s="393">
        <v>229662</v>
      </c>
      <c r="D102" s="397">
        <v>230000</v>
      </c>
      <c r="E102" s="397">
        <v>220000</v>
      </c>
      <c r="F102" s="397">
        <v>210000</v>
      </c>
    </row>
    <row r="103" spans="1:6" ht="15.75">
      <c r="A103" s="59" t="s">
        <v>307</v>
      </c>
      <c r="B103" s="57" t="s">
        <v>308</v>
      </c>
      <c r="C103" s="393">
        <v>1670</v>
      </c>
      <c r="D103" s="397"/>
      <c r="E103" s="397"/>
      <c r="F103" s="397"/>
    </row>
    <row r="104" spans="1:6" ht="15.75">
      <c r="A104" s="59" t="s">
        <v>309</v>
      </c>
      <c r="B104" s="57" t="s">
        <v>310</v>
      </c>
      <c r="C104" s="393">
        <v>5173</v>
      </c>
      <c r="D104" s="397">
        <v>3500</v>
      </c>
      <c r="E104" s="397">
        <v>3200</v>
      </c>
      <c r="F104" s="397">
        <v>3100</v>
      </c>
    </row>
    <row r="105" spans="1:6" ht="15.75">
      <c r="A105" s="59" t="s">
        <v>311</v>
      </c>
      <c r="B105" s="57" t="s">
        <v>312</v>
      </c>
      <c r="C105" s="393">
        <v>168655</v>
      </c>
      <c r="D105" s="397">
        <v>95000</v>
      </c>
      <c r="E105" s="397">
        <v>80000</v>
      </c>
      <c r="F105" s="397">
        <v>75000</v>
      </c>
    </row>
    <row r="106" spans="1:6" ht="15.75">
      <c r="A106" s="59" t="s">
        <v>313</v>
      </c>
      <c r="B106" s="57" t="s">
        <v>314</v>
      </c>
      <c r="C106" s="393">
        <v>30627</v>
      </c>
      <c r="D106" s="397">
        <v>25000</v>
      </c>
      <c r="E106" s="397">
        <v>25000</v>
      </c>
      <c r="F106" s="397">
        <v>25000</v>
      </c>
    </row>
    <row r="107" spans="1:6" ht="15.75">
      <c r="A107" s="59" t="s">
        <v>315</v>
      </c>
      <c r="B107" s="57" t="s">
        <v>316</v>
      </c>
      <c r="C107" s="393"/>
      <c r="D107" s="397"/>
      <c r="E107" s="397"/>
      <c r="F107" s="397"/>
    </row>
    <row r="108" spans="1:6" ht="15.75">
      <c r="A108" s="59" t="s">
        <v>317</v>
      </c>
      <c r="B108" s="57" t="s">
        <v>318</v>
      </c>
      <c r="C108" s="393">
        <v>2050</v>
      </c>
      <c r="D108" s="397">
        <v>2000</v>
      </c>
      <c r="E108" s="397">
        <v>2000</v>
      </c>
      <c r="F108" s="397">
        <v>2000</v>
      </c>
    </row>
    <row r="109" spans="1:6" ht="15.75">
      <c r="A109" s="59" t="s">
        <v>319</v>
      </c>
      <c r="B109" s="57" t="s">
        <v>320</v>
      </c>
      <c r="C109" s="393"/>
      <c r="D109" s="397"/>
      <c r="E109" s="397"/>
      <c r="F109" s="397"/>
    </row>
    <row r="110" spans="1:6" ht="15.75">
      <c r="A110" s="59" t="s">
        <v>323</v>
      </c>
      <c r="B110" s="57" t="s">
        <v>322</v>
      </c>
      <c r="C110" s="393">
        <v>340</v>
      </c>
      <c r="D110" s="397"/>
      <c r="E110" s="397"/>
      <c r="F110" s="397"/>
    </row>
    <row r="111" spans="1:6" ht="15.75">
      <c r="A111" s="150" t="s">
        <v>71</v>
      </c>
      <c r="B111" s="97" t="s">
        <v>326</v>
      </c>
      <c r="C111" s="282">
        <f>SUM(C101:C110)</f>
        <v>439027</v>
      </c>
      <c r="D111" s="98">
        <f>SUM(D101:D110)</f>
        <v>356500</v>
      </c>
      <c r="E111" s="98">
        <f>SUM(E101:E110)</f>
        <v>330200</v>
      </c>
      <c r="F111" s="98">
        <f>SUM(F101:F110)</f>
        <v>315100</v>
      </c>
    </row>
    <row r="112" spans="1:6" ht="15.75">
      <c r="A112" s="59" t="s">
        <v>327</v>
      </c>
      <c r="B112" s="57" t="s">
        <v>328</v>
      </c>
      <c r="C112" s="393"/>
      <c r="D112" s="22"/>
      <c r="E112" s="22"/>
      <c r="F112" s="22"/>
    </row>
    <row r="113" spans="1:6" ht="15.75">
      <c r="A113" s="59" t="s">
        <v>329</v>
      </c>
      <c r="B113" s="57" t="s">
        <v>330</v>
      </c>
      <c r="C113" s="393">
        <v>57608</v>
      </c>
      <c r="D113" s="22">
        <v>20000</v>
      </c>
      <c r="E113" s="22">
        <v>10000</v>
      </c>
      <c r="F113" s="22"/>
    </row>
    <row r="114" spans="1:6" ht="15.75">
      <c r="A114" s="59" t="s">
        <v>331</v>
      </c>
      <c r="B114" s="57" t="s">
        <v>332</v>
      </c>
      <c r="C114" s="393"/>
      <c r="D114" s="22"/>
      <c r="E114" s="22"/>
      <c r="F114" s="22"/>
    </row>
    <row r="115" spans="1:6" ht="15.75">
      <c r="A115" s="59" t="s">
        <v>333</v>
      </c>
      <c r="B115" s="57" t="s">
        <v>334</v>
      </c>
      <c r="C115" s="393"/>
      <c r="D115" s="22"/>
      <c r="E115" s="22"/>
      <c r="F115" s="22"/>
    </row>
    <row r="116" spans="1:6" ht="15.75">
      <c r="A116" s="59" t="s">
        <v>335</v>
      </c>
      <c r="B116" s="57" t="s">
        <v>336</v>
      </c>
      <c r="C116" s="393"/>
      <c r="D116" s="22"/>
      <c r="E116" s="22"/>
      <c r="F116" s="22"/>
    </row>
    <row r="117" spans="1:6" ht="15.75">
      <c r="A117" s="96" t="s">
        <v>72</v>
      </c>
      <c r="B117" s="97" t="s">
        <v>338</v>
      </c>
      <c r="C117" s="282">
        <f>SUM(C112:C116)</f>
        <v>57608</v>
      </c>
      <c r="D117" s="98">
        <f>SUM(D112:D116)</f>
        <v>20000</v>
      </c>
      <c r="E117" s="98">
        <f>SUM(E112:E116)</f>
        <v>10000</v>
      </c>
      <c r="F117" s="98">
        <f>SUM(F112:F116)</f>
        <v>0</v>
      </c>
    </row>
    <row r="118" spans="1:6" ht="15.75">
      <c r="A118" s="96" t="s">
        <v>339</v>
      </c>
      <c r="B118" s="97" t="s">
        <v>340</v>
      </c>
      <c r="C118" s="398">
        <v>16883</v>
      </c>
      <c r="D118" s="371">
        <v>10000</v>
      </c>
      <c r="E118" s="371">
        <v>10000</v>
      </c>
      <c r="F118" s="371">
        <v>10000</v>
      </c>
    </row>
    <row r="119" spans="1:6" ht="15.75">
      <c r="A119" s="59" t="s">
        <v>341</v>
      </c>
      <c r="B119" s="57" t="s">
        <v>342</v>
      </c>
      <c r="C119" s="393"/>
      <c r="D119" s="22"/>
      <c r="E119" s="22"/>
      <c r="F119" s="22"/>
    </row>
    <row r="120" spans="1:6" ht="15.75">
      <c r="A120" s="46" t="s">
        <v>343</v>
      </c>
      <c r="B120" s="57" t="s">
        <v>344</v>
      </c>
      <c r="C120" s="393"/>
      <c r="D120" s="22"/>
      <c r="E120" s="22"/>
      <c r="F120" s="22"/>
    </row>
    <row r="121" spans="1:6" ht="31.5">
      <c r="A121" s="59" t="s">
        <v>345</v>
      </c>
      <c r="B121" s="57" t="s">
        <v>346</v>
      </c>
      <c r="C121" s="393"/>
      <c r="D121" s="22"/>
      <c r="E121" s="22"/>
      <c r="F121" s="22"/>
    </row>
    <row r="122" spans="1:6" ht="15.75">
      <c r="A122" s="59" t="s">
        <v>347</v>
      </c>
      <c r="B122" s="57" t="s">
        <v>348</v>
      </c>
      <c r="C122" s="393"/>
      <c r="D122" s="22"/>
      <c r="E122" s="22"/>
      <c r="F122" s="22"/>
    </row>
    <row r="123" spans="1:6" ht="15.75">
      <c r="A123" s="59" t="s">
        <v>349</v>
      </c>
      <c r="B123" s="57" t="s">
        <v>350</v>
      </c>
      <c r="C123" s="393">
        <v>32262</v>
      </c>
      <c r="D123" s="397">
        <v>25400</v>
      </c>
      <c r="E123" s="397">
        <v>25400</v>
      </c>
      <c r="F123" s="397">
        <v>25400</v>
      </c>
    </row>
    <row r="124" spans="1:6" ht="15.75">
      <c r="A124" s="96" t="s">
        <v>73</v>
      </c>
      <c r="B124" s="97" t="s">
        <v>352</v>
      </c>
      <c r="C124" s="282">
        <f>SUM(C119:C123)</f>
        <v>32262</v>
      </c>
      <c r="D124" s="98">
        <f>SUM(D119:D123)</f>
        <v>25400</v>
      </c>
      <c r="E124" s="98">
        <f>SUM(E119:E123)</f>
        <v>25400</v>
      </c>
      <c r="F124" s="98">
        <f>SUM(F119:F123)</f>
        <v>25400</v>
      </c>
    </row>
    <row r="125" spans="1:6" ht="15.75">
      <c r="A125" s="150" t="s">
        <v>74</v>
      </c>
      <c r="B125" s="97" t="s">
        <v>354</v>
      </c>
      <c r="C125" s="282">
        <f>+C124+C118+C117+C111+C100+C93+C92</f>
        <v>4231323</v>
      </c>
      <c r="D125" s="98">
        <f>+D124+D118+D117+D111+D100+D93+D92</f>
        <v>3191470</v>
      </c>
      <c r="E125" s="98">
        <f>+E124+E118+E117+E111+E100+E93+E92</f>
        <v>3082590</v>
      </c>
      <c r="F125" s="98">
        <f>+F124+F118+F117+F111+F100+F93+F92</f>
        <v>2903900</v>
      </c>
    </row>
    <row r="126" spans="1:6" ht="15.75">
      <c r="A126" s="357" t="s">
        <v>355</v>
      </c>
      <c r="B126" s="129"/>
      <c r="C126" s="311">
        <f>+C118+C111+C100+C92-C33</f>
        <v>-168433</v>
      </c>
      <c r="D126" s="130">
        <f>+D118+D111+D100+D92-D33</f>
        <v>-11449</v>
      </c>
      <c r="E126" s="130">
        <f>+E118+E111+E100+E92-E33</f>
        <v>31294</v>
      </c>
      <c r="F126" s="130">
        <f>+F118+F111+F100+F92-F33</f>
        <v>30126</v>
      </c>
    </row>
    <row r="127" spans="1:6" ht="15.75">
      <c r="A127" s="357" t="s">
        <v>356</v>
      </c>
      <c r="B127" s="129"/>
      <c r="C127" s="311">
        <f>+C124+C117+C93-C57</f>
        <v>0</v>
      </c>
      <c r="D127" s="130">
        <f>+D124+D117+D93-D57</f>
        <v>-54930</v>
      </c>
      <c r="E127" s="130">
        <f>+E124+E117+E93-E57</f>
        <v>-50960</v>
      </c>
      <c r="F127" s="130">
        <f>+F124+F117+F93-F57</f>
        <v>-38100</v>
      </c>
    </row>
    <row r="128" spans="1:6" ht="15.75">
      <c r="A128" s="67" t="s">
        <v>357</v>
      </c>
      <c r="B128" s="46" t="s">
        <v>358</v>
      </c>
      <c r="C128" s="393"/>
      <c r="D128" s="393">
        <v>30000</v>
      </c>
      <c r="E128" s="22"/>
      <c r="F128" s="22"/>
    </row>
    <row r="129" spans="1:6" ht="15.75">
      <c r="A129" s="59" t="s">
        <v>783</v>
      </c>
      <c r="B129" s="46" t="s">
        <v>360</v>
      </c>
      <c r="C129" s="393"/>
      <c r="D129" s="22"/>
      <c r="E129" s="22"/>
      <c r="F129" s="22"/>
    </row>
    <row r="130" spans="1:6" ht="15.75">
      <c r="A130" s="67" t="s">
        <v>361</v>
      </c>
      <c r="B130" s="46" t="s">
        <v>362</v>
      </c>
      <c r="C130" s="393">
        <v>88500</v>
      </c>
      <c r="D130" s="397">
        <v>88500</v>
      </c>
      <c r="E130" s="397">
        <v>88500</v>
      </c>
      <c r="F130" s="397">
        <v>88500</v>
      </c>
    </row>
    <row r="131" spans="1:6" ht="15.75">
      <c r="A131" s="50" t="s">
        <v>657</v>
      </c>
      <c r="B131" s="49" t="s">
        <v>364</v>
      </c>
      <c r="C131" s="395">
        <f>SUM(C128:C130)</f>
        <v>88500</v>
      </c>
      <c r="D131" s="23">
        <f>SUM(D128:D130)</f>
        <v>118500</v>
      </c>
      <c r="E131" s="23">
        <f>SUM(E128:E130)</f>
        <v>88500</v>
      </c>
      <c r="F131" s="23">
        <f>SUM(F128:F130)</f>
        <v>88500</v>
      </c>
    </row>
    <row r="132" spans="1:6" ht="15.75">
      <c r="A132" s="59" t="s">
        <v>365</v>
      </c>
      <c r="B132" s="46" t="s">
        <v>366</v>
      </c>
      <c r="C132" s="393"/>
      <c r="D132" s="22"/>
      <c r="E132" s="22"/>
      <c r="F132" s="22"/>
    </row>
    <row r="133" spans="1:6" ht="15.75">
      <c r="A133" s="67" t="s">
        <v>789</v>
      </c>
      <c r="B133" s="46" t="s">
        <v>368</v>
      </c>
      <c r="C133" s="393"/>
      <c r="D133" s="22"/>
      <c r="E133" s="22"/>
      <c r="F133" s="22"/>
    </row>
    <row r="134" spans="1:6" ht="15.75">
      <c r="A134" s="59" t="s">
        <v>369</v>
      </c>
      <c r="B134" s="46" t="s">
        <v>370</v>
      </c>
      <c r="C134" s="393"/>
      <c r="D134" s="22"/>
      <c r="E134" s="22"/>
      <c r="F134" s="22"/>
    </row>
    <row r="135" spans="1:6" ht="15.75">
      <c r="A135" s="67" t="s">
        <v>791</v>
      </c>
      <c r="B135" s="46" t="s">
        <v>372</v>
      </c>
      <c r="C135" s="393"/>
      <c r="D135" s="22"/>
      <c r="E135" s="22"/>
      <c r="F135" s="22"/>
    </row>
    <row r="136" spans="1:6" ht="15.75">
      <c r="A136" s="71" t="s">
        <v>658</v>
      </c>
      <c r="B136" s="49" t="s">
        <v>374</v>
      </c>
      <c r="C136" s="395">
        <f>SUM(C132:C135)</f>
        <v>0</v>
      </c>
      <c r="D136" s="23">
        <f>SUM(D132:D135)</f>
        <v>0</v>
      </c>
      <c r="E136" s="23">
        <f>SUM(E132:E135)</f>
        <v>0</v>
      </c>
      <c r="F136" s="23">
        <f>SUM(F132:F135)</f>
        <v>0</v>
      </c>
    </row>
    <row r="137" spans="1:6" ht="15.75">
      <c r="A137" s="46" t="s">
        <v>375</v>
      </c>
      <c r="B137" s="46" t="s">
        <v>376</v>
      </c>
      <c r="C137" s="393">
        <v>168433</v>
      </c>
      <c r="D137" s="22">
        <v>36379</v>
      </c>
      <c r="E137" s="22">
        <v>19666</v>
      </c>
      <c r="F137" s="22">
        <v>7974</v>
      </c>
    </row>
    <row r="138" spans="1:6" ht="15.75">
      <c r="A138" s="46" t="s">
        <v>377</v>
      </c>
      <c r="B138" s="46" t="s">
        <v>376</v>
      </c>
      <c r="C138" s="393"/>
      <c r="D138" s="22"/>
      <c r="E138" s="22"/>
      <c r="F138" s="22"/>
    </row>
    <row r="139" spans="1:6" ht="15.75">
      <c r="A139" s="46" t="s">
        <v>378</v>
      </c>
      <c r="B139" s="46" t="s">
        <v>379</v>
      </c>
      <c r="C139" s="393"/>
      <c r="D139" s="22"/>
      <c r="E139" s="22"/>
      <c r="F139" s="22"/>
    </row>
    <row r="140" spans="1:6" ht="15.75">
      <c r="A140" s="46" t="s">
        <v>380</v>
      </c>
      <c r="B140" s="46" t="s">
        <v>379</v>
      </c>
      <c r="C140" s="393"/>
      <c r="D140" s="22"/>
      <c r="E140" s="22"/>
      <c r="F140" s="22"/>
    </row>
    <row r="141" spans="1:6" ht="15.75">
      <c r="A141" s="49" t="s">
        <v>75</v>
      </c>
      <c r="B141" s="49" t="s">
        <v>382</v>
      </c>
      <c r="C141" s="395">
        <f>SUM(C137:C140)</f>
        <v>168433</v>
      </c>
      <c r="D141" s="23">
        <f>SUM(D137:D140)</f>
        <v>36379</v>
      </c>
      <c r="E141" s="23">
        <f>SUM(E137:E140)</f>
        <v>19666</v>
      </c>
      <c r="F141" s="23">
        <f>SUM(F137:F140)</f>
        <v>7974</v>
      </c>
    </row>
    <row r="142" spans="1:6" ht="15.75">
      <c r="A142" s="67" t="s">
        <v>383</v>
      </c>
      <c r="B142" s="46" t="s">
        <v>384</v>
      </c>
      <c r="C142" s="393"/>
      <c r="D142" s="22"/>
      <c r="E142" s="22"/>
      <c r="F142" s="22"/>
    </row>
    <row r="143" spans="1:6" ht="15.75">
      <c r="A143" s="67" t="s">
        <v>385</v>
      </c>
      <c r="B143" s="46" t="s">
        <v>386</v>
      </c>
      <c r="C143" s="393"/>
      <c r="D143" s="22"/>
      <c r="E143" s="22"/>
      <c r="F143" s="22"/>
    </row>
    <row r="144" spans="1:6" ht="15.75">
      <c r="A144" s="67" t="s">
        <v>387</v>
      </c>
      <c r="B144" s="46" t="s">
        <v>388</v>
      </c>
      <c r="C144" s="393"/>
      <c r="D144" s="22"/>
      <c r="E144" s="22"/>
      <c r="F144" s="22"/>
    </row>
    <row r="145" spans="1:6" ht="15.75">
      <c r="A145" s="67" t="s">
        <v>792</v>
      </c>
      <c r="B145" s="46" t="s">
        <v>390</v>
      </c>
      <c r="C145" s="393"/>
      <c r="D145" s="22"/>
      <c r="E145" s="22"/>
      <c r="F145" s="22"/>
    </row>
    <row r="146" spans="1:6" ht="15.75" hidden="1">
      <c r="A146" s="59" t="s">
        <v>391</v>
      </c>
      <c r="B146" s="46" t="s">
        <v>392</v>
      </c>
      <c r="C146" s="393"/>
      <c r="D146" s="22"/>
      <c r="E146" s="22"/>
      <c r="F146" s="22"/>
    </row>
    <row r="147" spans="1:6" ht="15.75">
      <c r="A147" s="50" t="s">
        <v>76</v>
      </c>
      <c r="B147" s="49" t="s">
        <v>396</v>
      </c>
      <c r="C147" s="395">
        <f>SUM(C142:C146)+C141+C136+C131</f>
        <v>256933</v>
      </c>
      <c r="D147" s="23">
        <f>SUM(D142:D146)+D141+D136+D131</f>
        <v>154879</v>
      </c>
      <c r="E147" s="23">
        <f>SUM(E142:E146)+E141+E136+E131</f>
        <v>108166</v>
      </c>
      <c r="F147" s="23">
        <f>SUM(F142:F146)+F141+F136+F131</f>
        <v>96474</v>
      </c>
    </row>
    <row r="148" spans="1:6" ht="15.75" hidden="1">
      <c r="A148" s="67" t="s">
        <v>397</v>
      </c>
      <c r="B148" s="46" t="s">
        <v>398</v>
      </c>
      <c r="C148" s="393"/>
      <c r="D148" s="22"/>
      <c r="E148" s="22"/>
      <c r="F148" s="22"/>
    </row>
    <row r="149" spans="1:6" ht="15.75" hidden="1">
      <c r="A149" s="59" t="s">
        <v>399</v>
      </c>
      <c r="B149" s="46" t="s">
        <v>400</v>
      </c>
      <c r="C149" s="393"/>
      <c r="D149" s="22"/>
      <c r="E149" s="22"/>
      <c r="F149" s="22"/>
    </row>
    <row r="150" spans="1:6" ht="15.75">
      <c r="A150" s="354" t="s">
        <v>77</v>
      </c>
      <c r="B150" s="96" t="s">
        <v>404</v>
      </c>
      <c r="C150" s="282">
        <f>+C149+C148+C147</f>
        <v>256933</v>
      </c>
      <c r="D150" s="98">
        <f>+D149+D148+D147</f>
        <v>154879</v>
      </c>
      <c r="E150" s="98">
        <f>+E149+E148+E147</f>
        <v>108166</v>
      </c>
      <c r="F150" s="98">
        <f>+F149+F148+F147</f>
        <v>96474</v>
      </c>
    </row>
    <row r="151" spans="1:6" s="100" customFormat="1" ht="15.75">
      <c r="A151" s="121" t="s">
        <v>405</v>
      </c>
      <c r="B151" s="121" t="s">
        <v>406</v>
      </c>
      <c r="C151" s="282">
        <f>+C125+C150</f>
        <v>4488256</v>
      </c>
      <c r="D151" s="98">
        <f>+D125+D150</f>
        <v>3346349</v>
      </c>
      <c r="E151" s="98">
        <f>+E125+E150</f>
        <v>3190756</v>
      </c>
      <c r="F151" s="98">
        <f>+F125+F150</f>
        <v>3000374</v>
      </c>
    </row>
    <row r="152" spans="3:6" ht="15.75">
      <c r="C152" s="399">
        <f>+C151-C78</f>
        <v>0</v>
      </c>
      <c r="D152" s="399">
        <f>+D151-D78</f>
        <v>0</v>
      </c>
      <c r="E152" s="399">
        <f>+E151-E78</f>
        <v>0</v>
      </c>
      <c r="F152" s="399">
        <f>+F151-F78</f>
        <v>0</v>
      </c>
    </row>
    <row r="153" ht="15.75">
      <c r="C153" s="388"/>
    </row>
    <row r="154" ht="15.75">
      <c r="C154" s="388"/>
    </row>
    <row r="155" ht="15.75">
      <c r="C155" s="388"/>
    </row>
    <row r="156" ht="15.75">
      <c r="C156" s="388"/>
    </row>
    <row r="157" ht="15.75">
      <c r="C157" s="388"/>
    </row>
    <row r="158" ht="15.75">
      <c r="C158" s="388"/>
    </row>
    <row r="159" ht="15.75">
      <c r="C159" s="388"/>
    </row>
    <row r="160" ht="15.75">
      <c r="C160" s="388"/>
    </row>
    <row r="161" ht="15.75">
      <c r="C161" s="388"/>
    </row>
    <row r="162" ht="15.75">
      <c r="C162" s="388"/>
    </row>
    <row r="163" ht="15.75">
      <c r="C163" s="388"/>
    </row>
    <row r="164" ht="15.75">
      <c r="C164" s="388"/>
    </row>
    <row r="165" ht="15.75">
      <c r="C165" s="388"/>
    </row>
    <row r="166" ht="15.75">
      <c r="C166" s="388"/>
    </row>
    <row r="167" ht="15.75">
      <c r="C167" s="388"/>
    </row>
    <row r="168" ht="15.75">
      <c r="C168" s="388"/>
    </row>
    <row r="169" ht="15.75">
      <c r="C169" s="388"/>
    </row>
    <row r="170" ht="15.75">
      <c r="C170" s="388"/>
    </row>
    <row r="171" ht="15.75">
      <c r="C171" s="388"/>
    </row>
    <row r="172" ht="15.75">
      <c r="C172" s="388"/>
    </row>
    <row r="173" ht="15.75">
      <c r="C173" s="388"/>
    </row>
    <row r="174" ht="15.75">
      <c r="C174" s="388"/>
    </row>
    <row r="175" ht="15.75">
      <c r="C175" s="388"/>
    </row>
    <row r="176" ht="15.75">
      <c r="C176" s="388"/>
    </row>
    <row r="177" ht="15.75">
      <c r="C177" s="388"/>
    </row>
    <row r="178" ht="15.75">
      <c r="C178" s="388"/>
    </row>
    <row r="179" ht="15.75">
      <c r="C179" s="388"/>
    </row>
    <row r="180" ht="15.75">
      <c r="C180" s="388"/>
    </row>
    <row r="181" ht="15.75">
      <c r="C181" s="388"/>
    </row>
    <row r="182" ht="15.75">
      <c r="C182" s="388"/>
    </row>
    <row r="183" ht="15.75">
      <c r="C183" s="388"/>
    </row>
    <row r="184" ht="15.75">
      <c r="C184" s="388"/>
    </row>
    <row r="185" ht="15.75">
      <c r="C185" s="388"/>
    </row>
    <row r="186" ht="15.75">
      <c r="C186" s="388"/>
    </row>
    <row r="187" ht="15.75">
      <c r="C187" s="388"/>
    </row>
    <row r="188" ht="15.75">
      <c r="C188" s="388"/>
    </row>
    <row r="189" ht="15.75">
      <c r="C189" s="388"/>
    </row>
    <row r="190" ht="15.75">
      <c r="C190" s="388"/>
    </row>
    <row r="191" ht="15.75">
      <c r="C191" s="388"/>
    </row>
    <row r="192" ht="15.75">
      <c r="C192" s="388"/>
    </row>
    <row r="193" ht="15.75">
      <c r="C193" s="388"/>
    </row>
    <row r="194" ht="15.75">
      <c r="C194" s="388"/>
    </row>
    <row r="195" ht="15.75">
      <c r="C195" s="388"/>
    </row>
    <row r="196" ht="15.75">
      <c r="C196" s="388"/>
    </row>
    <row r="197" ht="15.75">
      <c r="C197" s="388"/>
    </row>
    <row r="198" ht="15.75">
      <c r="C198" s="388"/>
    </row>
    <row r="199" ht="15.75">
      <c r="C199" s="388"/>
    </row>
    <row r="200" ht="15.75">
      <c r="C200" s="388"/>
    </row>
    <row r="201" ht="15.75">
      <c r="C201" s="388"/>
    </row>
    <row r="202" ht="15.75">
      <c r="C202" s="388"/>
    </row>
    <row r="203" ht="15.75">
      <c r="C203" s="388"/>
    </row>
    <row r="204" ht="15.75">
      <c r="C204" s="388"/>
    </row>
    <row r="205" ht="15.75">
      <c r="C205" s="388"/>
    </row>
    <row r="206" ht="15.75">
      <c r="C206" s="388"/>
    </row>
    <row r="207" ht="15.75">
      <c r="C207" s="388"/>
    </row>
    <row r="208" ht="15.75">
      <c r="C208" s="388"/>
    </row>
    <row r="209" ht="15.75">
      <c r="C209" s="388"/>
    </row>
    <row r="210" ht="15.75">
      <c r="C210" s="388"/>
    </row>
    <row r="211" ht="15.75">
      <c r="C211" s="388"/>
    </row>
    <row r="212" ht="15.75">
      <c r="C212" s="388"/>
    </row>
    <row r="213" ht="15.75">
      <c r="C213" s="388"/>
    </row>
    <row r="214" ht="15.75">
      <c r="C214" s="388"/>
    </row>
    <row r="215" ht="15.75">
      <c r="C215" s="388"/>
    </row>
    <row r="216" ht="15.75">
      <c r="C216" s="388"/>
    </row>
    <row r="217" ht="15.75">
      <c r="C217" s="388"/>
    </row>
    <row r="218" ht="15.75">
      <c r="C218" s="388"/>
    </row>
    <row r="219" ht="15.75">
      <c r="C219" s="388"/>
    </row>
    <row r="220" ht="15.75">
      <c r="C220" s="388"/>
    </row>
    <row r="221" ht="15.75">
      <c r="C221" s="388"/>
    </row>
    <row r="222" ht="15.75">
      <c r="C222" s="388"/>
    </row>
    <row r="223" ht="15.75">
      <c r="C223" s="388"/>
    </row>
    <row r="224" ht="15.75">
      <c r="C224" s="388"/>
    </row>
    <row r="225" ht="15.75">
      <c r="C225" s="388"/>
    </row>
    <row r="226" ht="15.75">
      <c r="C226" s="388"/>
    </row>
    <row r="227" ht="15.75">
      <c r="C227" s="388"/>
    </row>
    <row r="228" ht="15.75">
      <c r="C228" s="388"/>
    </row>
    <row r="229" ht="15.75">
      <c r="C229" s="388"/>
    </row>
    <row r="230" ht="15.75">
      <c r="C230" s="388"/>
    </row>
    <row r="231" ht="15.75">
      <c r="C231" s="388"/>
    </row>
    <row r="232" ht="15.75">
      <c r="C232" s="388"/>
    </row>
    <row r="233" ht="15.75">
      <c r="C233" s="388"/>
    </row>
    <row r="234" ht="15.75">
      <c r="C234" s="388"/>
    </row>
    <row r="235" ht="15.75">
      <c r="C235" s="388"/>
    </row>
    <row r="236" ht="15.75">
      <c r="C236" s="388"/>
    </row>
    <row r="237" ht="15.75">
      <c r="C237" s="388"/>
    </row>
    <row r="238" ht="15.75">
      <c r="C238" s="388"/>
    </row>
    <row r="239" ht="15.75">
      <c r="C239" s="388"/>
    </row>
    <row r="240" ht="15.75">
      <c r="C240" s="388"/>
    </row>
    <row r="241" ht="15.75">
      <c r="C241" s="388"/>
    </row>
    <row r="242" ht="15.75">
      <c r="C242" s="388"/>
    </row>
    <row r="243" ht="15.75">
      <c r="C243" s="388"/>
    </row>
    <row r="244" ht="15.75">
      <c r="C244" s="388"/>
    </row>
    <row r="245" ht="15.75">
      <c r="C245" s="388"/>
    </row>
    <row r="246" ht="15.75">
      <c r="C246" s="388"/>
    </row>
    <row r="247" ht="15.75">
      <c r="C247" s="388"/>
    </row>
    <row r="248" ht="15.75">
      <c r="C248" s="388"/>
    </row>
    <row r="249" ht="15.75">
      <c r="C249" s="388"/>
    </row>
    <row r="250" ht="15.75">
      <c r="C250" s="388"/>
    </row>
    <row r="251" ht="15.75">
      <c r="C251" s="388"/>
    </row>
    <row r="252" ht="15.75">
      <c r="C252" s="388"/>
    </row>
    <row r="253" ht="15.75">
      <c r="C253" s="388"/>
    </row>
    <row r="254" ht="15.75">
      <c r="C254" s="388"/>
    </row>
    <row r="255" ht="15.75">
      <c r="C255" s="388"/>
    </row>
    <row r="256" ht="15.75">
      <c r="C256" s="388"/>
    </row>
    <row r="257" ht="15.75">
      <c r="C257" s="388"/>
    </row>
    <row r="258" ht="15.75">
      <c r="C258" s="388"/>
    </row>
    <row r="259" ht="15.75">
      <c r="C259" s="388"/>
    </row>
    <row r="260" ht="15.75">
      <c r="C260" s="388"/>
    </row>
    <row r="261" ht="15.75">
      <c r="C261" s="388"/>
    </row>
    <row r="262" ht="15.75">
      <c r="C262" s="388"/>
    </row>
    <row r="263" ht="15.75">
      <c r="C263" s="388"/>
    </row>
  </sheetData>
  <sheetProtection selectLockedCells="1" selectUnlockedCells="1"/>
  <mergeCells count="2">
    <mergeCell ref="A5:F5"/>
    <mergeCell ref="G5:L5"/>
  </mergeCells>
  <hyperlinks>
    <hyperlink ref="A34" r:id="rId1" display="Immateriális javak beszerzése, létesítése"/>
  </hyperlinks>
  <printOptions horizontalCentered="1"/>
  <pageMargins left="0.4722222222222222" right="0.3541666666666667" top="0.43333333333333335" bottom="0.5118055555555555" header="0.5118055555555555" footer="0.31527777777777777"/>
  <pageSetup horizontalDpi="300" verticalDpi="300" orientation="portrait" paperSize="9" scale="62" r:id="rId2"/>
  <headerFooter alignWithMargins="0">
    <oddFooter>&amp;R&amp;P</oddFooter>
  </headerFooter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1"/>
  <sheetViews>
    <sheetView view="pageBreakPreview" zoomScale="75" zoomScaleSheetLayoutView="75" workbookViewId="0" topLeftCell="A1">
      <selection activeCell="G143" sqref="G143"/>
    </sheetView>
  </sheetViews>
  <sheetFormatPr defaultColWidth="9.140625" defaultRowHeight="15"/>
  <cols>
    <col min="1" max="1" width="71.00390625" style="28" customWidth="1"/>
    <col min="2" max="2" width="10.421875" style="28" customWidth="1"/>
    <col min="3" max="3" width="12.140625" style="28" customWidth="1"/>
    <col min="4" max="4" width="12.28125" style="28" customWidth="1"/>
    <col min="5" max="5" width="13.8515625" style="29" customWidth="1"/>
    <col min="6" max="6" width="9.421875" style="28" customWidth="1"/>
    <col min="7" max="16384" width="9.140625" style="28" customWidth="1"/>
  </cols>
  <sheetData>
    <row r="1" s="12" customFormat="1" ht="15.75">
      <c r="E1" s="30" t="s">
        <v>117</v>
      </c>
    </row>
    <row r="2" spans="1:5" s="12" customFormat="1" ht="15.75">
      <c r="A2" s="31"/>
      <c r="E2" s="14" t="s">
        <v>88</v>
      </c>
    </row>
    <row r="3" spans="1:5" s="12" customFormat="1" ht="18.75">
      <c r="A3" s="32" t="s">
        <v>89</v>
      </c>
      <c r="B3" s="33"/>
      <c r="C3" s="33"/>
      <c r="D3" s="34"/>
      <c r="E3" s="35"/>
    </row>
    <row r="4" spans="1:5" s="12" customFormat="1" ht="15.75">
      <c r="A4" s="36" t="s">
        <v>118</v>
      </c>
      <c r="B4" s="37"/>
      <c r="C4" s="37"/>
      <c r="D4" s="37"/>
      <c r="E4" s="38"/>
    </row>
    <row r="5" spans="1:5" ht="15.75">
      <c r="A5" s="39"/>
      <c r="C5" s="402" t="s">
        <v>91</v>
      </c>
      <c r="D5" s="402"/>
      <c r="E5" s="402"/>
    </row>
    <row r="6" spans="1:5" ht="47.25">
      <c r="A6" s="17" t="s">
        <v>92</v>
      </c>
      <c r="B6" s="40" t="s">
        <v>119</v>
      </c>
      <c r="C6" s="41" t="s">
        <v>93</v>
      </c>
      <c r="D6" s="41" t="s">
        <v>94</v>
      </c>
      <c r="E6" s="42" t="s">
        <v>95</v>
      </c>
    </row>
    <row r="7" spans="1:6" ht="15.75">
      <c r="A7" s="43" t="s">
        <v>120</v>
      </c>
      <c r="B7" s="44" t="s">
        <v>121</v>
      </c>
      <c r="C7" s="22">
        <f>+'7 Önk'!D7+'8 PH'!D7+'9 VGIG'!D7+'10 Járób'!D7+'11 Szoci'!D7+'12 Ovi'!D7+'13 Művház'!D7+'14 Könyvt'!D7</f>
        <v>764799</v>
      </c>
      <c r="D7" s="22">
        <f>+'7 Önk'!E7+'8 PH'!E7+'9 VGIG'!E7+'10 Járób'!E7+'11 Szoci'!E7+'12 Ovi'!E7+'13 Művház'!E7+'14 Könyvt'!E7</f>
        <v>257725</v>
      </c>
      <c r="E7" s="23">
        <f>+C7+D7</f>
        <v>1022524</v>
      </c>
      <c r="F7" s="45"/>
    </row>
    <row r="8" spans="1:6" ht="15.75">
      <c r="A8" s="46" t="s">
        <v>122</v>
      </c>
      <c r="B8" s="44" t="s">
        <v>123</v>
      </c>
      <c r="C8" s="22">
        <f>+'7 Önk'!D8+'8 PH'!D8+'9 VGIG'!D8+'10 Járób'!D8+'11 Szoci'!D8+'12 Ovi'!D8+'13 Művház'!D8+'14 Könyvt'!D8</f>
        <v>34941</v>
      </c>
      <c r="D8" s="22">
        <f>+'7 Önk'!E8+'8 PH'!E8+'9 VGIG'!E8+'10 Járób'!E8+'11 Szoci'!E8+'12 Ovi'!E8+'13 Művház'!E8+'14 Könyvt'!E8</f>
        <v>5773</v>
      </c>
      <c r="E8" s="23">
        <f>+C8+D8</f>
        <v>40714</v>
      </c>
      <c r="F8" s="45"/>
    </row>
    <row r="9" spans="1:6" ht="15.75">
      <c r="A9" s="47" t="s">
        <v>124</v>
      </c>
      <c r="B9" s="48" t="s">
        <v>125</v>
      </c>
      <c r="C9" s="23">
        <f>SUM(C7:C8)</f>
        <v>799740</v>
      </c>
      <c r="D9" s="23">
        <f>SUM(D7:D8)</f>
        <v>263498</v>
      </c>
      <c r="E9" s="23">
        <f>SUM(E7:E8)</f>
        <v>1063238</v>
      </c>
      <c r="F9" s="45"/>
    </row>
    <row r="10" spans="1:6" ht="15.75">
      <c r="A10" s="49" t="s">
        <v>126</v>
      </c>
      <c r="B10" s="48" t="s">
        <v>127</v>
      </c>
      <c r="C10" s="22">
        <f>+'7 Önk'!D10+'8 PH'!D10+'9 VGIG'!D10+'10 Járób'!D10+'11 Szoci'!D10+'12 Ovi'!D10+'13 Művház'!D10+'14 Könyvt'!D10</f>
        <v>196662</v>
      </c>
      <c r="D10" s="22">
        <f>+'7 Önk'!E10+'8 PH'!E10+'9 VGIG'!E10+'10 Járób'!E10+'11 Szoci'!E10+'12 Ovi'!E10+'13 Művház'!E10+'14 Könyvt'!E10</f>
        <v>56852</v>
      </c>
      <c r="E10" s="23">
        <f aca="true" t="shared" si="0" ref="E10:E15">+C10+D10</f>
        <v>253514</v>
      </c>
      <c r="F10" s="45"/>
    </row>
    <row r="11" spans="1:6" ht="15.75">
      <c r="A11" s="46" t="s">
        <v>128</v>
      </c>
      <c r="B11" s="44" t="s">
        <v>129</v>
      </c>
      <c r="C11" s="22">
        <f>+'7 Önk'!D11+'8 PH'!D11+'9 VGIG'!D11+'10 Járób'!D11+'11 Szoci'!D11+'12 Ovi'!D11+'13 Művház'!D11+'14 Könyvt'!D11</f>
        <v>199656</v>
      </c>
      <c r="D11" s="22">
        <f>+'7 Önk'!E11+'8 PH'!E11+'9 VGIG'!E11+'10 Járób'!E11+'11 Szoci'!E11+'12 Ovi'!E11+'13 Művház'!E11+'14 Könyvt'!E11</f>
        <v>65500</v>
      </c>
      <c r="E11" s="23">
        <f t="shared" si="0"/>
        <v>265156</v>
      </c>
      <c r="F11" s="45"/>
    </row>
    <row r="12" spans="1:6" ht="15.75">
      <c r="A12" s="46" t="s">
        <v>130</v>
      </c>
      <c r="B12" s="44" t="s">
        <v>131</v>
      </c>
      <c r="C12" s="22">
        <f>+'7 Önk'!D12+'8 PH'!D12+'9 VGIG'!D12+'10 Járób'!D12+'11 Szoci'!D12+'12 Ovi'!D12+'13 Művház'!D12+'14 Könyvt'!D12</f>
        <v>8785</v>
      </c>
      <c r="D12" s="22">
        <f>+'7 Önk'!E12+'8 PH'!E12+'9 VGIG'!E12+'10 Járób'!E12+'11 Szoci'!E12+'12 Ovi'!E12+'13 Művház'!E12+'14 Könyvt'!E12</f>
        <v>6710</v>
      </c>
      <c r="E12" s="23">
        <f t="shared" si="0"/>
        <v>15495</v>
      </c>
      <c r="F12" s="45"/>
    </row>
    <row r="13" spans="1:6" ht="15.75">
      <c r="A13" s="46" t="s">
        <v>132</v>
      </c>
      <c r="B13" s="44" t="s">
        <v>133</v>
      </c>
      <c r="C13" s="22">
        <f>+'7 Önk'!D13+'8 PH'!D13+'9 VGIG'!D13+'10 Járób'!D13+'11 Szoci'!D13+'12 Ovi'!D13+'13 Művház'!D13+'14 Könyvt'!D13</f>
        <v>266958</v>
      </c>
      <c r="D13" s="22">
        <f>+'7 Önk'!E13+'8 PH'!E13+'9 VGIG'!E13+'10 Járób'!E13+'11 Szoci'!E13+'12 Ovi'!E13+'13 Művház'!E13+'14 Könyvt'!E13</f>
        <v>151413</v>
      </c>
      <c r="E13" s="23">
        <f t="shared" si="0"/>
        <v>418371</v>
      </c>
      <c r="F13" s="45"/>
    </row>
    <row r="14" spans="1:6" ht="15.75">
      <c r="A14" s="46" t="s">
        <v>134</v>
      </c>
      <c r="B14" s="44" t="s">
        <v>135</v>
      </c>
      <c r="C14" s="22">
        <f>+'7 Önk'!D14+'8 PH'!D14+'9 VGIG'!D14+'10 Járób'!D14+'11 Szoci'!D14+'12 Ovi'!D14+'13 Művház'!D14+'14 Könyvt'!D14</f>
        <v>5550</v>
      </c>
      <c r="D14" s="22">
        <f>+'7 Önk'!E14+'8 PH'!E14+'9 VGIG'!E14+'10 Járób'!E14+'11 Szoci'!E14+'12 Ovi'!E14+'13 Művház'!E14+'14 Könyvt'!E14</f>
        <v>2530</v>
      </c>
      <c r="E14" s="23">
        <f t="shared" si="0"/>
        <v>8080</v>
      </c>
      <c r="F14" s="45"/>
    </row>
    <row r="15" spans="1:6" ht="15.75">
      <c r="A15" s="46" t="s">
        <v>136</v>
      </c>
      <c r="B15" s="44" t="s">
        <v>137</v>
      </c>
      <c r="C15" s="22">
        <f>+'7 Önk'!D15+'8 PH'!D15+'9 VGIG'!D15+'10 Járób'!D15+'11 Szoci'!D15+'12 Ovi'!D15+'13 Művház'!D15+'14 Könyvt'!D15</f>
        <v>215023</v>
      </c>
      <c r="D15" s="22">
        <f>+'7 Önk'!E15+'8 PH'!E15+'9 VGIG'!E15+'10 Járób'!E15+'11 Szoci'!E15+'12 Ovi'!E15+'13 Művház'!E15+'14 Könyvt'!E15</f>
        <v>85710.97</v>
      </c>
      <c r="E15" s="23">
        <f t="shared" si="0"/>
        <v>300733.97</v>
      </c>
      <c r="F15" s="45"/>
    </row>
    <row r="16" spans="1:6" ht="15.75">
      <c r="A16" s="49" t="s">
        <v>138</v>
      </c>
      <c r="B16" s="48" t="s">
        <v>139</v>
      </c>
      <c r="C16" s="23">
        <f>SUM(C11:C15)</f>
        <v>695972</v>
      </c>
      <c r="D16" s="23">
        <f>SUM(D11:D15)</f>
        <v>311863.97</v>
      </c>
      <c r="E16" s="23">
        <f>SUM(E11:E15)</f>
        <v>1007835.97</v>
      </c>
      <c r="F16" s="45"/>
    </row>
    <row r="17" spans="1:6" ht="15.75">
      <c r="A17" s="50" t="s">
        <v>140</v>
      </c>
      <c r="B17" s="48" t="s">
        <v>141</v>
      </c>
      <c r="C17" s="23">
        <f>+'7 Önk'!D17+'8 PH'!D17+'9 VGIG'!D17+'10 Járób'!D17+'11 Szoci'!D17+'12 Ovi'!D17+'13 Művház'!D17+'14 Könyvt'!D17+'16 szociális kiad'!D27</f>
        <v>105033</v>
      </c>
      <c r="D17" s="22">
        <f>+'7 Önk'!E17+'8 PH'!E17+'9 VGIG'!E17+'10 Járób'!E17+'11 Szoci'!E17+'12 Ovi'!E17+'13 Művház'!E17+'14 Könyvt'!E17</f>
        <v>0</v>
      </c>
      <c r="E17" s="23">
        <f aca="true" t="shared" si="1" ref="E17:E31">+C17+D17</f>
        <v>105033</v>
      </c>
      <c r="F17" s="45"/>
    </row>
    <row r="18" spans="1:6" ht="15.75">
      <c r="A18" s="51" t="s">
        <v>142</v>
      </c>
      <c r="B18" s="44" t="s">
        <v>143</v>
      </c>
      <c r="C18" s="22">
        <f>+'7 Önk'!D18+'8 PH'!D18+'9 VGIG'!D18+'10 Járób'!D18+'11 Szoci'!D18+'12 Ovi'!D18+'13 Művház'!D18+'14 Könyvt'!D18</f>
        <v>0</v>
      </c>
      <c r="D18" s="22">
        <f>+'7 Önk'!E18+'8 PH'!E18+'9 VGIG'!E18+'10 Járób'!E18+'11 Szoci'!E18+'12 Ovi'!E18+'13 Művház'!E18+'14 Könyvt'!E18</f>
        <v>0</v>
      </c>
      <c r="E18" s="23">
        <f t="shared" si="1"/>
        <v>0</v>
      </c>
      <c r="F18" s="45"/>
    </row>
    <row r="19" spans="1:6" ht="15.75">
      <c r="A19" s="51" t="s">
        <v>144</v>
      </c>
      <c r="B19" s="44" t="s">
        <v>145</v>
      </c>
      <c r="C19" s="22">
        <f>+'7 Önk'!D19+'8 PH'!D19+'9 VGIG'!D19+'10 Járób'!D19+'11 Szoci'!D19+'12 Ovi'!D19+'13 Művház'!D19+'14 Könyvt'!D19</f>
        <v>12806</v>
      </c>
      <c r="D19" s="22">
        <f>+'7 Önk'!E19+'8 PH'!E19+'9 VGIG'!E19+'10 Járób'!E19+'11 Szoci'!E19+'12 Ovi'!E19+'13 Művház'!E19+'14 Könyvt'!E19</f>
        <v>0</v>
      </c>
      <c r="E19" s="23">
        <f t="shared" si="1"/>
        <v>12806</v>
      </c>
      <c r="F19" s="45"/>
    </row>
    <row r="20" spans="1:6" ht="31.5">
      <c r="A20" s="51" t="s">
        <v>146</v>
      </c>
      <c r="B20" s="44" t="s">
        <v>147</v>
      </c>
      <c r="C20" s="22">
        <f>+'7 Önk'!D20+'8 PH'!D20+'9 VGIG'!D20+'10 Járób'!D20+'11 Szoci'!D20+'12 Ovi'!D20+'13 Művház'!D20+'14 Könyvt'!D20</f>
        <v>0</v>
      </c>
      <c r="D20" s="22">
        <f>+'7 Önk'!E20+'8 PH'!E20+'9 VGIG'!E20+'10 Járób'!E20+'11 Szoci'!E20+'12 Ovi'!E20+'13 Művház'!E20+'14 Könyvt'!E20</f>
        <v>0</v>
      </c>
      <c r="E20" s="23">
        <f t="shared" si="1"/>
        <v>0</v>
      </c>
      <c r="F20" s="45"/>
    </row>
    <row r="21" spans="1:6" ht="15.75">
      <c r="A21" s="51" t="s">
        <v>148</v>
      </c>
      <c r="B21" s="44" t="s">
        <v>149</v>
      </c>
      <c r="C21" s="22">
        <f>+'7 Önk'!D21+'8 PH'!D21+'9 VGIG'!D21+'10 Járób'!D21+'11 Szoci'!D21+'12 Ovi'!D21+'13 Művház'!D21+'14 Könyvt'!D21</f>
        <v>0</v>
      </c>
      <c r="D21" s="22">
        <f>+'7 Önk'!E21+'8 PH'!E21+'9 VGIG'!E21+'10 Járób'!E21+'11 Szoci'!E21+'12 Ovi'!E21+'13 Művház'!E21+'14 Könyvt'!E21</f>
        <v>0</v>
      </c>
      <c r="E21" s="23">
        <f t="shared" si="1"/>
        <v>0</v>
      </c>
      <c r="F21" s="45"/>
    </row>
    <row r="22" spans="1:6" ht="31.5">
      <c r="A22" s="51" t="s">
        <v>150</v>
      </c>
      <c r="B22" s="44" t="s">
        <v>151</v>
      </c>
      <c r="C22" s="22">
        <f>+'7 Önk'!D22+'8 PH'!D22+'9 VGIG'!D22+'10 Járób'!D22+'11 Szoci'!D22+'12 Ovi'!D22+'13 Művház'!D22+'14 Könyvt'!D22</f>
        <v>0</v>
      </c>
      <c r="D22" s="22">
        <f>+'7 Önk'!E22+'8 PH'!E22+'9 VGIG'!E22+'10 Járób'!E22+'11 Szoci'!E22+'12 Ovi'!E22+'13 Művház'!E22+'14 Könyvt'!E22</f>
        <v>0</v>
      </c>
      <c r="E22" s="23">
        <f t="shared" si="1"/>
        <v>0</v>
      </c>
      <c r="F22" s="45"/>
    </row>
    <row r="23" spans="1:6" ht="15.75">
      <c r="A23" s="51" t="s">
        <v>152</v>
      </c>
      <c r="B23" s="44" t="s">
        <v>153</v>
      </c>
      <c r="C23" s="22">
        <f>+'7 Önk'!D23+'8 PH'!D23+'9 VGIG'!D23+'10 Járób'!D23+'11 Szoci'!D23+'12 Ovi'!D23+'13 Művház'!D23+'14 Könyvt'!D23</f>
        <v>150060</v>
      </c>
      <c r="D23" s="22">
        <f>+'7 Önk'!E23+'8 PH'!E23+'9 VGIG'!E23+'10 Járób'!E23+'11 Szoci'!E23+'12 Ovi'!E23+'13 Művház'!E23+'14 Könyvt'!E23</f>
        <v>2000</v>
      </c>
      <c r="E23" s="23">
        <f t="shared" si="1"/>
        <v>152060</v>
      </c>
      <c r="F23" s="45"/>
    </row>
    <row r="24" spans="1:6" ht="31.5">
      <c r="A24" s="51" t="s">
        <v>154</v>
      </c>
      <c r="B24" s="44" t="s">
        <v>155</v>
      </c>
      <c r="C24" s="22">
        <f>+'7 Önk'!D24+'8 PH'!D24+'9 VGIG'!D24+'10 Járób'!D24+'11 Szoci'!D24+'12 Ovi'!D24+'13 Művház'!D24+'14 Könyvt'!D24</f>
        <v>0</v>
      </c>
      <c r="D24" s="22">
        <f>+'7 Önk'!E24+'8 PH'!E24+'9 VGIG'!E24+'10 Járób'!E24+'11 Szoci'!E24+'12 Ovi'!E24+'13 Művház'!E24+'14 Könyvt'!E24</f>
        <v>0</v>
      </c>
      <c r="E24" s="23">
        <f t="shared" si="1"/>
        <v>0</v>
      </c>
      <c r="F24" s="45"/>
    </row>
    <row r="25" spans="1:6" ht="15.75">
      <c r="A25" s="51" t="s">
        <v>156</v>
      </c>
      <c r="B25" s="44" t="s">
        <v>157</v>
      </c>
      <c r="C25" s="22">
        <f>+'7 Önk'!D25+'8 PH'!D25+'9 VGIG'!D25+'10 Járób'!D25+'11 Szoci'!D25+'12 Ovi'!D25+'13 Művház'!D25+'14 Könyvt'!D25</f>
        <v>0</v>
      </c>
      <c r="D25" s="22">
        <f>+'7 Önk'!E25+'8 PH'!E25+'9 VGIG'!E25+'10 Járób'!E25+'11 Szoci'!E25+'12 Ovi'!E25+'13 Művház'!E25+'14 Könyvt'!E25</f>
        <v>0</v>
      </c>
      <c r="E25" s="23">
        <f t="shared" si="1"/>
        <v>0</v>
      </c>
      <c r="F25" s="45"/>
    </row>
    <row r="26" spans="1:6" ht="15.75">
      <c r="A26" s="51" t="s">
        <v>158</v>
      </c>
      <c r="B26" s="44" t="s">
        <v>159</v>
      </c>
      <c r="C26" s="22">
        <f>+'7 Önk'!D26+'8 PH'!D26+'9 VGIG'!D26+'10 Járób'!D26+'11 Szoci'!D26+'12 Ovi'!D26+'13 Művház'!D26+'14 Könyvt'!D26</f>
        <v>0</v>
      </c>
      <c r="D26" s="22">
        <f>+'7 Önk'!E26+'8 PH'!E26+'9 VGIG'!E26+'10 Járób'!E26+'11 Szoci'!E26+'12 Ovi'!E26+'13 Művház'!E26+'14 Könyvt'!E26</f>
        <v>0</v>
      </c>
      <c r="E26" s="23">
        <f t="shared" si="1"/>
        <v>0</v>
      </c>
      <c r="F26" s="45"/>
    </row>
    <row r="27" spans="1:6" ht="15.75">
      <c r="A27" s="52" t="s">
        <v>160</v>
      </c>
      <c r="B27" s="44" t="s">
        <v>161</v>
      </c>
      <c r="C27" s="22">
        <f>+'7 Önk'!D27+'8 PH'!D27+'9 VGIG'!D27+'10 Járób'!D27+'11 Szoci'!D27+'12 Ovi'!D27+'13 Művház'!D27+'14 Könyvt'!D27</f>
        <v>0</v>
      </c>
      <c r="D27" s="22">
        <f>+'7 Önk'!E27+'8 PH'!E27+'9 VGIG'!E27+'10 Járób'!E27+'11 Szoci'!E27+'12 Ovi'!E27+'13 Művház'!E27+'14 Könyvt'!E27</f>
        <v>0</v>
      </c>
      <c r="E27" s="23">
        <f t="shared" si="1"/>
        <v>0</v>
      </c>
      <c r="F27" s="45"/>
    </row>
    <row r="28" spans="1:6" ht="15.75">
      <c r="A28" s="51" t="s">
        <v>162</v>
      </c>
      <c r="B28" s="44" t="s">
        <v>163</v>
      </c>
      <c r="C28" s="22"/>
      <c r="D28" s="22"/>
      <c r="E28" s="23"/>
      <c r="F28" s="45"/>
    </row>
    <row r="29" spans="1:6" ht="15.75">
      <c r="A29" s="51" t="s">
        <v>164</v>
      </c>
      <c r="B29" s="44" t="s">
        <v>165</v>
      </c>
      <c r="C29" s="22">
        <f>+'7 Önk'!D29+'8 PH'!D29+'9 VGIG'!D29+'10 Járób'!D29+'11 Szoci'!D29+'12 Ovi'!D29+'13 Művház'!D29+'14 Könyvt'!D29</f>
        <v>11693</v>
      </c>
      <c r="D29" s="22">
        <f>+'7 Önk'!E29+'8 PH'!E29+'9 VGIG'!E29+'10 Járób'!E29+'11 Szoci'!E29+'12 Ovi'!E29+'13 Művház'!E29+'14 Könyvt'!E29</f>
        <v>28300</v>
      </c>
      <c r="E29" s="23">
        <f t="shared" si="1"/>
        <v>39993</v>
      </c>
      <c r="F29" s="45"/>
    </row>
    <row r="30" spans="1:6" ht="15.75">
      <c r="A30" s="52" t="s">
        <v>166</v>
      </c>
      <c r="B30" s="44" t="s">
        <v>167</v>
      </c>
      <c r="C30" s="22">
        <f>+'6 Tart'!D14</f>
        <v>40000</v>
      </c>
      <c r="D30" s="22">
        <f>+'6 Tart'!E14</f>
        <v>0</v>
      </c>
      <c r="E30" s="23">
        <f t="shared" si="1"/>
        <v>40000</v>
      </c>
      <c r="F30" s="45"/>
    </row>
    <row r="31" spans="1:6" ht="15.75">
      <c r="A31" s="52" t="s">
        <v>168</v>
      </c>
      <c r="B31" s="44" t="s">
        <v>167</v>
      </c>
      <c r="C31" s="22">
        <f>+'6 Tart'!D24</f>
        <v>4300</v>
      </c>
      <c r="D31" s="22">
        <f>+'6 Tart'!E24</f>
        <v>0</v>
      </c>
      <c r="E31" s="23">
        <f t="shared" si="1"/>
        <v>4300</v>
      </c>
      <c r="F31" s="45"/>
    </row>
    <row r="32" spans="1:6" s="29" customFormat="1" ht="15.75">
      <c r="A32" s="50" t="s">
        <v>169</v>
      </c>
      <c r="B32" s="48" t="s">
        <v>170</v>
      </c>
      <c r="C32" s="23">
        <f>SUM(C18:C31)</f>
        <v>218859</v>
      </c>
      <c r="D32" s="23">
        <f>SUM(D18:D31)</f>
        <v>30300</v>
      </c>
      <c r="E32" s="23">
        <f>SUM(E18:E31)</f>
        <v>249159</v>
      </c>
      <c r="F32" s="45"/>
    </row>
    <row r="33" spans="1:6" ht="15.75">
      <c r="A33" s="53" t="s">
        <v>171</v>
      </c>
      <c r="B33" s="54" t="s">
        <v>172</v>
      </c>
      <c r="C33" s="55">
        <f>+C32+C17+C16+C10+C9</f>
        <v>2016266</v>
      </c>
      <c r="D33" s="55">
        <f>+D32+D17+D16+D10+D9</f>
        <v>662513.97</v>
      </c>
      <c r="E33" s="55">
        <f>+E32+E17+E16+E10+E9</f>
        <v>2678779.9699999997</v>
      </c>
      <c r="F33" s="45"/>
    </row>
    <row r="34" spans="1:6" ht="15.75">
      <c r="A34" s="56" t="s">
        <v>173</v>
      </c>
      <c r="B34" s="44" t="s">
        <v>174</v>
      </c>
      <c r="C34" s="22">
        <f>+'7 Önk'!D34+'8 PH'!D34+'9 VGIG'!D34+'10 Járób'!D34+'11 Szoci'!D34+'12 Ovi'!D34+'13 Művház'!D34+'14 Könyvt'!D34+'5 Beruh kiad'!D12</f>
        <v>803</v>
      </c>
      <c r="D34" s="22">
        <f>+'7 Önk'!E34+'8 PH'!E34+'9 VGIG'!E34+'10 Járób'!E34+'11 Szoci'!E34+'12 Ovi'!E34+'13 Művház'!E34+'14 Könyvt'!E34+'5 Beruh kiad'!E12</f>
        <v>40</v>
      </c>
      <c r="E34" s="23">
        <f aca="true" t="shared" si="2" ref="E34:E40">+C34+D34</f>
        <v>843</v>
      </c>
      <c r="F34" s="45"/>
    </row>
    <row r="35" spans="1:6" ht="15.75">
      <c r="A35" s="56" t="s">
        <v>175</v>
      </c>
      <c r="B35" s="44" t="s">
        <v>176</v>
      </c>
      <c r="C35" s="22">
        <f>+'7 Önk'!D35+'8 PH'!D35+'9 VGIG'!D35+'10 Járób'!D35+'11 Szoci'!D35+'12 Ovi'!D35+'13 Művház'!D35+'14 Könyvt'!D35+'5 Beruh kiad'!D15</f>
        <v>3150</v>
      </c>
      <c r="D35" s="22">
        <f>+'7 Önk'!E35+'8 PH'!E35+'9 VGIG'!E35+'10 Járób'!E35+'11 Szoci'!E35+'12 Ovi'!E35+'13 Művház'!E35+'14 Könyvt'!E35+'5 Beruh kiad'!E15</f>
        <v>0</v>
      </c>
      <c r="E35" s="23">
        <f t="shared" si="2"/>
        <v>3150</v>
      </c>
      <c r="F35" s="45"/>
    </row>
    <row r="36" spans="1:6" ht="15.75">
      <c r="A36" s="56" t="s">
        <v>177</v>
      </c>
      <c r="B36" s="44" t="s">
        <v>178</v>
      </c>
      <c r="C36" s="22">
        <f>+'7 Önk'!D36+'8 PH'!D36+'9 VGIG'!D36+'10 Járób'!D36+'11 Szoci'!D36+'12 Ovi'!D36+'13 Művház'!D36+'14 Könyvt'!D36+'5 Beruh kiad'!D20</f>
        <v>2079</v>
      </c>
      <c r="D36" s="22">
        <f>+'7 Önk'!E36+'8 PH'!E36+'9 VGIG'!E36+'10 Járób'!E36+'11 Szoci'!E36+'12 Ovi'!E36+'13 Művház'!E36+'14 Könyvt'!E36+'5 Beruh kiad'!E20</f>
        <v>120</v>
      </c>
      <c r="E36" s="23">
        <f t="shared" si="2"/>
        <v>2199</v>
      </c>
      <c r="F36" s="45"/>
    </row>
    <row r="37" spans="1:6" ht="15.75">
      <c r="A37" s="56" t="s">
        <v>179</v>
      </c>
      <c r="B37" s="44" t="s">
        <v>180</v>
      </c>
      <c r="C37" s="22">
        <f>+'7 Önk'!D37+'8 PH'!D37+'9 VGIG'!D37+'10 Járób'!D37+'11 Szoci'!D37+'12 Ovi'!D37+'13 Művház'!D37+'14 Könyvt'!D37+'5 Beruh kiad'!D24</f>
        <v>12536</v>
      </c>
      <c r="D37" s="22">
        <f>+'7 Önk'!E37+'8 PH'!E37+'9 VGIG'!E37+'10 Járób'!E37+'11 Szoci'!E37+'12 Ovi'!E37+'13 Művház'!E37+'14 Könyvt'!E37+'5 Beruh kiad'!E24</f>
        <v>48720</v>
      </c>
      <c r="E37" s="23">
        <f t="shared" si="2"/>
        <v>61256</v>
      </c>
      <c r="F37" s="45"/>
    </row>
    <row r="38" spans="1:6" ht="15.75">
      <c r="A38" s="57" t="s">
        <v>181</v>
      </c>
      <c r="B38" s="44" t="s">
        <v>182</v>
      </c>
      <c r="C38" s="22">
        <f>+'7 Önk'!D38+'8 PH'!D38+'9 VGIG'!D38+'10 Járób'!D38+'11 Szoci'!D38+'12 Ovi'!D38+'13 Művház'!D38+'14 Könyvt'!D38+'5 Beruh kiad'!D27</f>
        <v>0</v>
      </c>
      <c r="D38" s="22">
        <f>+'7 Önk'!E38+'8 PH'!E38+'9 VGIG'!E38+'10 Járób'!E38+'11 Szoci'!E38+'12 Ovi'!E38+'13 Művház'!E38+'14 Könyvt'!E38+'5 Beruh kiad'!E27</f>
        <v>0</v>
      </c>
      <c r="E38" s="23">
        <f t="shared" si="2"/>
        <v>0</v>
      </c>
      <c r="F38" s="45"/>
    </row>
    <row r="39" spans="1:6" ht="15.75">
      <c r="A39" s="57" t="s">
        <v>183</v>
      </c>
      <c r="B39" s="44" t="s">
        <v>184</v>
      </c>
      <c r="C39" s="22">
        <f>+'7 Önk'!D39+'8 PH'!D39+'9 VGIG'!D39+'10 Járób'!D39+'11 Szoci'!D39+'12 Ovi'!D39+'13 Művház'!D39+'14 Könyvt'!D39+'5 Beruh kiad'!D30</f>
        <v>0</v>
      </c>
      <c r="D39" s="22">
        <f>+'7 Önk'!E39+'8 PH'!E39+'9 VGIG'!E39+'10 Járób'!E39+'11 Szoci'!E39+'12 Ovi'!E39+'13 Művház'!E39+'14 Könyvt'!E39+'5 Beruh kiad'!E30</f>
        <v>0</v>
      </c>
      <c r="E39" s="23">
        <f t="shared" si="2"/>
        <v>0</v>
      </c>
      <c r="F39" s="45"/>
    </row>
    <row r="40" spans="1:6" ht="15.75">
      <c r="A40" s="57" t="s">
        <v>185</v>
      </c>
      <c r="B40" s="44" t="s">
        <v>186</v>
      </c>
      <c r="C40" s="22">
        <f>+'7 Önk'!D40+'8 PH'!D40+'9 VGIG'!D40+'10 Járób'!D40+'11 Szoci'!D40+'12 Ovi'!D40+'13 Művház'!D40+'14 Könyvt'!D40+'5 Beruh kiad'!D40</f>
        <v>5233</v>
      </c>
      <c r="D40" s="22">
        <f>+'7 Önk'!E40+'8 PH'!E40+'9 VGIG'!E40+'10 Járób'!E40+'11 Szoci'!E40+'12 Ovi'!E40+'13 Művház'!E40+'14 Könyvt'!E40+'5 Beruh kiad'!E40</f>
        <v>13198</v>
      </c>
      <c r="E40" s="23">
        <f t="shared" si="2"/>
        <v>18431</v>
      </c>
      <c r="F40" s="45"/>
    </row>
    <row r="41" spans="1:6" s="29" customFormat="1" ht="15.75">
      <c r="A41" s="58" t="s">
        <v>187</v>
      </c>
      <c r="B41" s="48" t="s">
        <v>188</v>
      </c>
      <c r="C41" s="23">
        <f>SUM(C34:C40)</f>
        <v>23801</v>
      </c>
      <c r="D41" s="23">
        <f>SUM(D34:D40)</f>
        <v>62078</v>
      </c>
      <c r="E41" s="23">
        <f>SUM(E34:E40)</f>
        <v>85879</v>
      </c>
      <c r="F41" s="45"/>
    </row>
    <row r="42" spans="1:6" ht="15.75">
      <c r="A42" s="59" t="s">
        <v>189</v>
      </c>
      <c r="B42" s="44" t="s">
        <v>190</v>
      </c>
      <c r="C42" s="22">
        <f>+'7 Önk'!D42+'8 PH'!D42+'9 VGIG'!D42+'10 Járób'!D42+'11 Szoci'!D42+'12 Ovi'!D42+'13 Művház'!D42+'14 Könyvt'!D42+'5 Beruh kiad'!D54</f>
        <v>538357</v>
      </c>
      <c r="D42" s="22">
        <f>+'7 Önk'!E42+'8 PH'!E42+'9 VGIG'!E42+'10 Járób'!E42+'11 Szoci'!E42+'12 Ovi'!E42+'13 Művház'!E42+'14 Könyvt'!E42+'5 Beruh kiad'!E54</f>
        <v>529251</v>
      </c>
      <c r="E42" s="23">
        <f>+C42+D42</f>
        <v>1067608</v>
      </c>
      <c r="F42" s="45"/>
    </row>
    <row r="43" spans="1:6" ht="15.75">
      <c r="A43" s="59" t="s">
        <v>191</v>
      </c>
      <c r="B43" s="44" t="s">
        <v>192</v>
      </c>
      <c r="C43" s="22">
        <f>+'7 Önk'!D43+'8 PH'!D43+'9 VGIG'!D43+'10 Járób'!D43+'11 Szoci'!D43+'12 Ovi'!D43+'13 Művház'!D43+'14 Könyvt'!D43+'5 Beruh kiad'!D57</f>
        <v>0</v>
      </c>
      <c r="D43" s="22">
        <f>+'7 Önk'!E43+'8 PH'!E43+'9 VGIG'!E43+'10 Járób'!E43+'11 Szoci'!E43+'12 Ovi'!E43+'13 Művház'!E43+'14 Könyvt'!E43+'5 Beruh kiad'!E57</f>
        <v>0</v>
      </c>
      <c r="E43" s="23">
        <f>+C43+D43</f>
        <v>0</v>
      </c>
      <c r="F43" s="45"/>
    </row>
    <row r="44" spans="1:6" ht="15.75">
      <c r="A44" s="59" t="s">
        <v>193</v>
      </c>
      <c r="B44" s="44" t="s">
        <v>194</v>
      </c>
      <c r="C44" s="22">
        <f>+'7 Önk'!D44+'8 PH'!D44+'9 VGIG'!D44+'10 Járób'!D44+'11 Szoci'!D44+'12 Ovi'!D44+'13 Művház'!D44+'14 Könyvt'!D44+'5 Beruh kiad'!D60</f>
        <v>149685</v>
      </c>
      <c r="D44" s="22">
        <f>+'7 Önk'!E44+'8 PH'!E44+'9 VGIG'!E44+'10 Járób'!E44+'11 Szoci'!E44+'12 Ovi'!E44+'13 Művház'!E44+'14 Könyvt'!E44+'5 Beruh kiad'!E60</f>
        <v>0</v>
      </c>
      <c r="E44" s="23">
        <f>+C44+D44</f>
        <v>149685</v>
      </c>
      <c r="F44" s="45"/>
    </row>
    <row r="45" spans="1:6" ht="15.75">
      <c r="A45" s="59" t="s">
        <v>195</v>
      </c>
      <c r="B45" s="44" t="s">
        <v>196</v>
      </c>
      <c r="C45" s="22">
        <f>+'7 Önk'!D45+'8 PH'!D45+'9 VGIG'!D45+'10 Járób'!D45+'11 Szoci'!D45+'12 Ovi'!D45+'13 Művház'!D45+'14 Könyvt'!D45+'5 Beruh kiad'!D74</f>
        <v>185773</v>
      </c>
      <c r="D45" s="22">
        <f>+'7 Önk'!E45+'8 PH'!E45+'9 VGIG'!E45+'10 Járób'!E45+'11 Szoci'!E45+'12 Ovi'!E45+'13 Művház'!E45+'14 Könyvt'!E45+'5 Beruh kiad'!E74</f>
        <v>169899</v>
      </c>
      <c r="E45" s="23">
        <f>+C45+D45</f>
        <v>355672</v>
      </c>
      <c r="F45" s="45"/>
    </row>
    <row r="46" spans="1:6" s="29" customFormat="1" ht="15.75">
      <c r="A46" s="49" t="s">
        <v>197</v>
      </c>
      <c r="B46" s="48" t="s">
        <v>198</v>
      </c>
      <c r="C46" s="23">
        <f>SUM(C42:C45)</f>
        <v>873815</v>
      </c>
      <c r="D46" s="23">
        <f>SUM(D42:D45)</f>
        <v>699150</v>
      </c>
      <c r="E46" s="23">
        <f>SUM(E42:E45)</f>
        <v>1572965</v>
      </c>
      <c r="F46" s="45"/>
    </row>
    <row r="47" spans="1:6" ht="31.5">
      <c r="A47" s="59" t="s">
        <v>199</v>
      </c>
      <c r="B47" s="44" t="s">
        <v>200</v>
      </c>
      <c r="C47" s="22">
        <f>+'7 Önk'!D47+'8 PH'!D47+'9 VGIG'!D47+'10 Járób'!D47+'11 Szoci'!D47+'12 Ovi'!D47+'13 Művház'!D47+'14 Könyvt'!D47</f>
        <v>0</v>
      </c>
      <c r="D47" s="22">
        <f>+'7 Önk'!E47+'8 PH'!E47+'9 VGIG'!E47+'10 Járób'!E47+'11 Szoci'!E47+'12 Ovi'!E47+'13 Művház'!E47+'14 Könyvt'!E47</f>
        <v>0</v>
      </c>
      <c r="E47" s="23">
        <f aca="true" t="shared" si="3" ref="E47:E55">+C47+D47</f>
        <v>0</v>
      </c>
      <c r="F47" s="45"/>
    </row>
    <row r="48" spans="1:6" ht="31.5">
      <c r="A48" s="59" t="s">
        <v>201</v>
      </c>
      <c r="B48" s="44" t="s">
        <v>202</v>
      </c>
      <c r="C48" s="22">
        <f>+'7 Önk'!D48+'8 PH'!D48+'9 VGIG'!D48+'10 Járób'!D48+'11 Szoci'!D48+'12 Ovi'!D48+'13 Művház'!D48+'14 Könyvt'!D48</f>
        <v>0</v>
      </c>
      <c r="D48" s="22">
        <f>+'7 Önk'!E48+'8 PH'!E48+'9 VGIG'!E48+'10 Járób'!E48+'11 Szoci'!E48+'12 Ovi'!E48+'13 Művház'!E48+'14 Könyvt'!E48</f>
        <v>0</v>
      </c>
      <c r="E48" s="23">
        <f t="shared" si="3"/>
        <v>0</v>
      </c>
      <c r="F48" s="45"/>
    </row>
    <row r="49" spans="1:6" ht="31.5">
      <c r="A49" s="59" t="s">
        <v>203</v>
      </c>
      <c r="B49" s="44" t="s">
        <v>204</v>
      </c>
      <c r="C49" s="22">
        <f>+'7 Önk'!D49+'8 PH'!D49+'9 VGIG'!D49+'10 Járób'!D49+'11 Szoci'!D49+'12 Ovi'!D49+'13 Művház'!D49+'14 Könyvt'!D49</f>
        <v>0</v>
      </c>
      <c r="D49" s="22">
        <f>+'7 Önk'!E49+'8 PH'!E49+'9 VGIG'!E49+'10 Járób'!E49+'11 Szoci'!E49+'12 Ovi'!E49+'13 Művház'!E49+'14 Könyvt'!E49</f>
        <v>0</v>
      </c>
      <c r="E49" s="23">
        <f t="shared" si="3"/>
        <v>0</v>
      </c>
      <c r="F49" s="45"/>
    </row>
    <row r="50" spans="1:6" ht="15.75">
      <c r="A50" s="59" t="s">
        <v>205</v>
      </c>
      <c r="B50" s="44" t="s">
        <v>206</v>
      </c>
      <c r="C50" s="22">
        <f>+'7 Önk'!D50+'8 PH'!D50+'9 VGIG'!D50+'10 Járób'!D50+'11 Szoci'!D50+'12 Ovi'!D50+'13 Művház'!D50+'14 Könyvt'!D50</f>
        <v>59132</v>
      </c>
      <c r="D50" s="22">
        <f>+'7 Önk'!E50+'8 PH'!E50+'9 VGIG'!E50+'10 Járób'!E50+'11 Szoci'!E50+'12 Ovi'!E50+'13 Művház'!E50+'14 Könyvt'!E50</f>
        <v>0</v>
      </c>
      <c r="E50" s="23">
        <f t="shared" si="3"/>
        <v>59132</v>
      </c>
      <c r="F50" s="45"/>
    </row>
    <row r="51" spans="1:6" ht="31.5">
      <c r="A51" s="59" t="s">
        <v>207</v>
      </c>
      <c r="B51" s="44" t="s">
        <v>208</v>
      </c>
      <c r="C51" s="22">
        <f>+'7 Önk'!D51+'8 PH'!D51+'9 VGIG'!D51+'10 Járób'!D51+'11 Szoci'!D51+'12 Ovi'!D51+'13 Művház'!D51+'14 Könyvt'!D51</f>
        <v>0</v>
      </c>
      <c r="D51" s="22">
        <f>+'7 Önk'!E51+'8 PH'!E51+'9 VGIG'!E51+'10 Járób'!E51+'11 Szoci'!E51+'12 Ovi'!E51+'13 Művház'!E51+'14 Könyvt'!E51</f>
        <v>0</v>
      </c>
      <c r="E51" s="23">
        <f t="shared" si="3"/>
        <v>0</v>
      </c>
      <c r="F51" s="45"/>
    </row>
    <row r="52" spans="1:6" ht="31.5">
      <c r="A52" s="59" t="s">
        <v>209</v>
      </c>
      <c r="B52" s="44" t="s">
        <v>210</v>
      </c>
      <c r="C52" s="22">
        <f>+'7 Önk'!D52+'8 PH'!D52+'9 VGIG'!D52+'10 Járób'!D52+'11 Szoci'!D52+'12 Ovi'!D52+'13 Művház'!D52+'14 Könyvt'!D52</f>
        <v>0</v>
      </c>
      <c r="D52" s="22">
        <f>+'7 Önk'!E52+'8 PH'!E52+'9 VGIG'!E52+'10 Járób'!E52+'11 Szoci'!E52+'12 Ovi'!E52+'13 Művház'!E52+'14 Könyvt'!E52</f>
        <v>0</v>
      </c>
      <c r="E52" s="23">
        <f t="shared" si="3"/>
        <v>0</v>
      </c>
      <c r="F52" s="45"/>
    </row>
    <row r="53" spans="1:6" ht="15.75">
      <c r="A53" s="59" t="s">
        <v>211</v>
      </c>
      <c r="B53" s="44" t="s">
        <v>212</v>
      </c>
      <c r="C53" s="22">
        <f>+'7 Önk'!D53+'8 PH'!D53+'9 VGIG'!D53+'10 Járób'!D53+'11 Szoci'!D53+'12 Ovi'!D53+'13 Művház'!D53+'14 Könyvt'!D53</f>
        <v>0</v>
      </c>
      <c r="D53" s="22">
        <f>+'7 Önk'!E53+'8 PH'!E53+'9 VGIG'!E53+'10 Járób'!E53+'11 Szoci'!E53+'12 Ovi'!E53+'13 Művház'!E53+'14 Könyvt'!E53</f>
        <v>0</v>
      </c>
      <c r="E53" s="23">
        <f t="shared" si="3"/>
        <v>0</v>
      </c>
      <c r="F53" s="45"/>
    </row>
    <row r="54" spans="1:6" ht="15.75">
      <c r="A54" s="59" t="s">
        <v>213</v>
      </c>
      <c r="B54" s="44" t="s">
        <v>214</v>
      </c>
      <c r="C54" s="22"/>
      <c r="D54" s="22"/>
      <c r="E54" s="23"/>
      <c r="F54" s="45"/>
    </row>
    <row r="55" spans="1:6" ht="15.75">
      <c r="A55" s="59" t="s">
        <v>215</v>
      </c>
      <c r="B55" s="44" t="s">
        <v>216</v>
      </c>
      <c r="C55" s="22">
        <f>+'7 Önk'!D55+'8 PH'!D55+'9 VGIG'!D55+'10 Járób'!D55+'11 Szoci'!D55+'12 Ovi'!D55+'13 Művház'!D55+'14 Könyvt'!D55</f>
        <v>0</v>
      </c>
      <c r="D55" s="22">
        <f>+'7 Önk'!E55+'8 PH'!E55+'9 VGIG'!E55+'10 Járób'!E55+'11 Szoci'!E55+'12 Ovi'!E55+'13 Művház'!E55+'14 Könyvt'!E55</f>
        <v>3000</v>
      </c>
      <c r="E55" s="23">
        <f t="shared" si="3"/>
        <v>3000</v>
      </c>
      <c r="F55" s="45"/>
    </row>
    <row r="56" spans="1:6" s="29" customFormat="1" ht="15.75">
      <c r="A56" s="50" t="s">
        <v>217</v>
      </c>
      <c r="B56" s="48" t="s">
        <v>218</v>
      </c>
      <c r="C56" s="23">
        <f>SUM(C47:C55)</f>
        <v>59132</v>
      </c>
      <c r="D56" s="23">
        <f>SUM(D47:D55)</f>
        <v>3000</v>
      </c>
      <c r="E56" s="23">
        <f>SUM(E47:E55)</f>
        <v>62132</v>
      </c>
      <c r="F56" s="45"/>
    </row>
    <row r="57" spans="1:6" ht="15.75">
      <c r="A57" s="53" t="s">
        <v>219</v>
      </c>
      <c r="B57" s="54" t="s">
        <v>220</v>
      </c>
      <c r="C57" s="55">
        <f>+C56+C46+C41</f>
        <v>956748</v>
      </c>
      <c r="D57" s="55">
        <f>+D56+D46+D41</f>
        <v>764228</v>
      </c>
      <c r="E57" s="55">
        <f>+E56+E46+E41</f>
        <v>1720976</v>
      </c>
      <c r="F57" s="45"/>
    </row>
    <row r="58" spans="1:6" ht="15.75">
      <c r="A58" s="60" t="s">
        <v>221</v>
      </c>
      <c r="B58" s="61" t="s">
        <v>222</v>
      </c>
      <c r="C58" s="62">
        <f>+C56+C46+C41+C32+C17+C16+C10+C9</f>
        <v>2973014</v>
      </c>
      <c r="D58" s="62">
        <f>+D56+D46+D41+D32+D17+D16+D10+D9</f>
        <v>1426741.97</v>
      </c>
      <c r="E58" s="62">
        <f>+E56+E46+E41+E32+E17+E16+E10+E9</f>
        <v>4399755.97</v>
      </c>
      <c r="F58" s="45"/>
    </row>
    <row r="59" spans="1:18" ht="15.75">
      <c r="A59" s="59" t="s">
        <v>223</v>
      </c>
      <c r="B59" s="46" t="s">
        <v>224</v>
      </c>
      <c r="C59" s="22">
        <f>+'17 hitelek'!D13</f>
        <v>0</v>
      </c>
      <c r="D59" s="22">
        <f>+'17 hitelek'!E13</f>
        <v>0</v>
      </c>
      <c r="E59" s="23">
        <f>+C59+D59</f>
        <v>0</v>
      </c>
      <c r="F59" s="45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  <c r="R59" s="64"/>
    </row>
    <row r="60" spans="1:18" ht="15.75">
      <c r="A60" s="59" t="s">
        <v>225</v>
      </c>
      <c r="B60" s="46" t="s">
        <v>226</v>
      </c>
      <c r="C60" s="22">
        <f>+'17 hitelek'!D16</f>
        <v>0</v>
      </c>
      <c r="D60" s="22">
        <f>+'17 hitelek'!E16</f>
        <v>0</v>
      </c>
      <c r="E60" s="23">
        <f>+C60+D60</f>
        <v>0</v>
      </c>
      <c r="F60" s="45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  <c r="R60" s="64"/>
    </row>
    <row r="61" spans="1:18" ht="15.75">
      <c r="A61" s="59" t="s">
        <v>227</v>
      </c>
      <c r="B61" s="46" t="s">
        <v>228</v>
      </c>
      <c r="C61" s="22">
        <f>+'17 hitelek'!D19</f>
        <v>88500</v>
      </c>
      <c r="D61" s="22">
        <f>+'17 hitelek'!E19</f>
        <v>0</v>
      </c>
      <c r="E61" s="23">
        <f>+C61+D61</f>
        <v>88500</v>
      </c>
      <c r="F61" s="45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  <c r="R61" s="64"/>
    </row>
    <row r="62" spans="1:18" ht="15.75">
      <c r="A62" s="50" t="s">
        <v>229</v>
      </c>
      <c r="B62" s="49" t="s">
        <v>230</v>
      </c>
      <c r="C62" s="65">
        <f>SUM(C59:C61)</f>
        <v>88500</v>
      </c>
      <c r="D62" s="65">
        <f>SUM(D59:D61)</f>
        <v>0</v>
      </c>
      <c r="E62" s="65">
        <f>SUM(E59:E61)</f>
        <v>88500</v>
      </c>
      <c r="F62" s="4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4"/>
      <c r="R62" s="64"/>
    </row>
    <row r="63" spans="1:18" ht="15.75">
      <c r="A63" s="67" t="s">
        <v>231</v>
      </c>
      <c r="B63" s="46" t="s">
        <v>232</v>
      </c>
      <c r="C63" s="68"/>
      <c r="D63" s="68"/>
      <c r="E63" s="23">
        <f aca="true" t="shared" si="4" ref="E63:E69">+C63+D63</f>
        <v>0</v>
      </c>
      <c r="F63" s="45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4"/>
      <c r="R63" s="64"/>
    </row>
    <row r="64" spans="1:18" ht="15.75">
      <c r="A64" s="67" t="s">
        <v>233</v>
      </c>
      <c r="B64" s="46" t="s">
        <v>234</v>
      </c>
      <c r="C64" s="22"/>
      <c r="D64" s="22"/>
      <c r="E64" s="23">
        <f t="shared" si="4"/>
        <v>0</v>
      </c>
      <c r="F64" s="45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64"/>
      <c r="R64" s="64"/>
    </row>
    <row r="65" spans="1:18" ht="15.75">
      <c r="A65" s="67" t="s">
        <v>235</v>
      </c>
      <c r="B65" s="46" t="s">
        <v>236</v>
      </c>
      <c r="C65" s="22"/>
      <c r="D65" s="22"/>
      <c r="E65" s="23">
        <f t="shared" si="4"/>
        <v>0</v>
      </c>
      <c r="F65" s="45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64"/>
      <c r="R65" s="64"/>
    </row>
    <row r="66" spans="1:18" ht="15.75">
      <c r="A66" s="67" t="s">
        <v>237</v>
      </c>
      <c r="B66" s="46" t="s">
        <v>238</v>
      </c>
      <c r="C66" s="22"/>
      <c r="D66" s="22"/>
      <c r="E66" s="23">
        <f t="shared" si="4"/>
        <v>0</v>
      </c>
      <c r="F66" s="45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64"/>
      <c r="R66" s="64"/>
    </row>
    <row r="67" spans="1:18" ht="15.75">
      <c r="A67" s="67" t="s">
        <v>239</v>
      </c>
      <c r="B67" s="46" t="s">
        <v>240</v>
      </c>
      <c r="C67" s="22"/>
      <c r="D67" s="22"/>
      <c r="E67" s="23">
        <f t="shared" si="4"/>
        <v>0</v>
      </c>
      <c r="F67" s="45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64"/>
      <c r="R67" s="64"/>
    </row>
    <row r="68" spans="1:18" ht="15.75">
      <c r="A68" s="67" t="s">
        <v>241</v>
      </c>
      <c r="B68" s="46" t="s">
        <v>242</v>
      </c>
      <c r="C68" s="22"/>
      <c r="D68" s="22"/>
      <c r="E68" s="23">
        <f t="shared" si="4"/>
        <v>0</v>
      </c>
      <c r="F68" s="45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64"/>
      <c r="R68" s="64"/>
    </row>
    <row r="69" spans="1:18" ht="15.75">
      <c r="A69" s="67" t="s">
        <v>243</v>
      </c>
      <c r="B69" s="46" t="s">
        <v>244</v>
      </c>
      <c r="C69" s="22"/>
      <c r="D69" s="22"/>
      <c r="E69" s="23">
        <f t="shared" si="4"/>
        <v>0</v>
      </c>
      <c r="F69" s="45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64"/>
      <c r="R69" s="64"/>
    </row>
    <row r="70" spans="1:18" ht="15.75">
      <c r="A70" s="67" t="s">
        <v>245</v>
      </c>
      <c r="B70" s="46" t="s">
        <v>246</v>
      </c>
      <c r="C70" s="22"/>
      <c r="D70" s="22"/>
      <c r="E70" s="23"/>
      <c r="F70" s="45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64"/>
      <c r="R70" s="64"/>
    </row>
    <row r="71" spans="1:18" ht="15.75">
      <c r="A71" s="71" t="s">
        <v>247</v>
      </c>
      <c r="B71" s="49" t="s">
        <v>248</v>
      </c>
      <c r="C71" s="68">
        <f>+C69+C68+C67+C66+C65+C64+C63+C62</f>
        <v>88500</v>
      </c>
      <c r="D71" s="68">
        <f>+D69+D68+D67+D66+D65+D64+D63+D62</f>
        <v>0</v>
      </c>
      <c r="E71" s="68">
        <f>+E69+E68+E67+E66+E65+E64+E63+E62</f>
        <v>88500</v>
      </c>
      <c r="F71" s="45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4"/>
      <c r="R71" s="64"/>
    </row>
    <row r="72" spans="1:18" ht="15.75">
      <c r="A72" s="67" t="s">
        <v>249</v>
      </c>
      <c r="B72" s="46" t="s">
        <v>250</v>
      </c>
      <c r="C72" s="22">
        <f>+'7 Önk'!D60+'8 PH'!D60+'9 VGIG'!D60+'10 Járób'!D60+'11 Szoci'!D60+'12 Ovi'!D60+'13 Művház'!D60+'14 Könyvt'!D60</f>
        <v>0</v>
      </c>
      <c r="D72" s="22">
        <f>+'7 Önk'!E60+'8 PH'!E60+'9 VGIG'!E60+'10 Járób'!E60+'11 Szoci'!E60+'12 Ovi'!E60+'13 Művház'!E60+'14 Könyvt'!E60</f>
        <v>0</v>
      </c>
      <c r="E72" s="23">
        <f>+C72+D72</f>
        <v>0</v>
      </c>
      <c r="F72" s="45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4"/>
      <c r="R72" s="64"/>
    </row>
    <row r="73" spans="1:18" ht="15.75">
      <c r="A73" s="59" t="s">
        <v>251</v>
      </c>
      <c r="B73" s="46" t="s">
        <v>252</v>
      </c>
      <c r="C73" s="22">
        <f>+'7 Önk'!D61+'8 PH'!D61+'9 VGIG'!D61+'10 Járób'!D61+'11 Szoci'!D61+'12 Ovi'!D61+'13 Művház'!D61+'14 Könyvt'!D61</f>
        <v>0</v>
      </c>
      <c r="D73" s="22">
        <f>+'7 Önk'!E61+'8 PH'!E61+'9 VGIG'!E61+'10 Járób'!E61+'11 Szoci'!E61+'12 Ovi'!E61+'13 Művház'!E61+'14 Könyvt'!E61</f>
        <v>0</v>
      </c>
      <c r="E73" s="23">
        <f>+C73+D73</f>
        <v>0</v>
      </c>
      <c r="F73" s="45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4"/>
    </row>
    <row r="74" spans="1:18" ht="15.75">
      <c r="A74" s="59" t="s">
        <v>253</v>
      </c>
      <c r="B74" s="46" t="s">
        <v>254</v>
      </c>
      <c r="C74" s="22"/>
      <c r="D74" s="22"/>
      <c r="E74" s="23"/>
      <c r="F74" s="4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4"/>
    </row>
    <row r="75" spans="1:18" ht="15.75">
      <c r="A75" s="72" t="s">
        <v>255</v>
      </c>
      <c r="B75" s="73" t="s">
        <v>256</v>
      </c>
      <c r="C75" s="74">
        <f>+C73+C72+C71+C74</f>
        <v>88500</v>
      </c>
      <c r="D75" s="74">
        <f>+D73+D72+D71+D74</f>
        <v>0</v>
      </c>
      <c r="E75" s="74">
        <f>+E73+E72+E71+E74</f>
        <v>88500</v>
      </c>
      <c r="F75" s="45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4"/>
      <c r="R75" s="64"/>
    </row>
    <row r="76" spans="1:18" ht="15.75">
      <c r="A76" s="26" t="s">
        <v>257</v>
      </c>
      <c r="B76" s="26" t="s">
        <v>258</v>
      </c>
      <c r="C76" s="27">
        <f>+C58+C75</f>
        <v>3061514</v>
      </c>
      <c r="D76" s="27">
        <f>+D58+D75</f>
        <v>1426741.97</v>
      </c>
      <c r="E76" s="27">
        <f>+E58+E75</f>
        <v>4488255.97</v>
      </c>
      <c r="F76" s="45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5.75">
      <c r="A77" s="12"/>
      <c r="B77" s="75"/>
      <c r="C77" s="76"/>
      <c r="D77" s="76"/>
      <c r="E77" s="77"/>
      <c r="F77" s="45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ht="15.75" customHeight="1" hidden="1">
      <c r="A78" s="12"/>
      <c r="B78" s="75"/>
      <c r="C78" s="402" t="s">
        <v>259</v>
      </c>
      <c r="D78" s="402"/>
      <c r="E78" s="402"/>
      <c r="F78" s="45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ht="47.25">
      <c r="A79" s="17" t="s">
        <v>92</v>
      </c>
      <c r="B79" s="40" t="s">
        <v>260</v>
      </c>
      <c r="C79" s="78" t="s">
        <v>93</v>
      </c>
      <c r="D79" s="78" t="s">
        <v>94</v>
      </c>
      <c r="E79" s="79" t="s">
        <v>95</v>
      </c>
      <c r="F79" s="45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ht="15.75">
      <c r="A80" s="43" t="s">
        <v>261</v>
      </c>
      <c r="B80" s="57" t="s">
        <v>262</v>
      </c>
      <c r="C80" s="22">
        <f>+'3 Adók és tám'!D48</f>
        <v>242088</v>
      </c>
      <c r="D80" s="22"/>
      <c r="E80" s="23">
        <f aca="true" t="shared" si="5" ref="E80:E85">+D80+C80</f>
        <v>242088</v>
      </c>
      <c r="F80" s="45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ht="15.75">
      <c r="A81" s="46" t="s">
        <v>263</v>
      </c>
      <c r="B81" s="57" t="s">
        <v>264</v>
      </c>
      <c r="C81" s="22">
        <f>+'3 Adók és tám'!D54</f>
        <v>270670</v>
      </c>
      <c r="D81" s="22"/>
      <c r="E81" s="23">
        <f t="shared" si="5"/>
        <v>270670</v>
      </c>
      <c r="F81" s="45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ht="15.75">
      <c r="A82" s="46" t="s">
        <v>265</v>
      </c>
      <c r="B82" s="57" t="s">
        <v>266</v>
      </c>
      <c r="C82" s="22">
        <f>+'3 Adók és tám'!D66</f>
        <v>356931</v>
      </c>
      <c r="D82" s="22"/>
      <c r="E82" s="23">
        <f t="shared" si="5"/>
        <v>356931</v>
      </c>
      <c r="F82" s="45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ht="15.75">
      <c r="A83" s="46" t="s">
        <v>267</v>
      </c>
      <c r="B83" s="57" t="s">
        <v>268</v>
      </c>
      <c r="C83" s="22">
        <f>+'3 Adók és tám'!D68</f>
        <v>13012</v>
      </c>
      <c r="D83" s="22"/>
      <c r="E83" s="23">
        <f t="shared" si="5"/>
        <v>13012</v>
      </c>
      <c r="F83" s="45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ht="15.75">
      <c r="A84" s="46" t="s">
        <v>269</v>
      </c>
      <c r="B84" s="57" t="s">
        <v>270</v>
      </c>
      <c r="C84" s="22">
        <f>+'3 Adók és tám'!D77</f>
        <v>180671</v>
      </c>
      <c r="D84" s="22"/>
      <c r="E84" s="23">
        <f t="shared" si="5"/>
        <v>180671</v>
      </c>
      <c r="F84" s="45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ht="15.75">
      <c r="A85" s="46" t="s">
        <v>271</v>
      </c>
      <c r="B85" s="57" t="s">
        <v>272</v>
      </c>
      <c r="C85" s="22">
        <f>+'3 Adók és tám'!D79</f>
        <v>0</v>
      </c>
      <c r="D85" s="22"/>
      <c r="E85" s="23">
        <f t="shared" si="5"/>
        <v>0</v>
      </c>
      <c r="F85" s="45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ht="15.75">
      <c r="A86" s="49" t="s">
        <v>273</v>
      </c>
      <c r="B86" s="58" t="s">
        <v>274</v>
      </c>
      <c r="C86" s="23">
        <f>SUM(C80:C85)</f>
        <v>1063372</v>
      </c>
      <c r="D86" s="23">
        <f>SUM(D80:D85)</f>
        <v>0</v>
      </c>
      <c r="E86" s="23">
        <f>SUM(E80:E85)</f>
        <v>1063372</v>
      </c>
      <c r="F86" s="45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ht="15.75">
      <c r="A87" s="46" t="s">
        <v>275</v>
      </c>
      <c r="B87" s="57" t="s">
        <v>276</v>
      </c>
      <c r="C87" s="22">
        <f>+'7 Önk'!D69+'8 PH'!D69+'9 VGIG'!D69+'10 Járób'!D69+'11 Szoci'!D69+'12 Ovi'!D69+'13 Művház'!D69+'14 Könyvt'!D69</f>
        <v>0</v>
      </c>
      <c r="D87" s="22">
        <f>+'7 Önk'!E69+'8 PH'!E69+'9 VGIG'!E69+'10 Járób'!E69+'11 Szoci'!E69+'12 Ovi'!E69+'13 Művház'!E69+'14 Könyvt'!E69</f>
        <v>0</v>
      </c>
      <c r="E87" s="23">
        <f>+D87+C87</f>
        <v>0</v>
      </c>
      <c r="F87" s="45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31.5">
      <c r="A88" s="46" t="s">
        <v>277</v>
      </c>
      <c r="B88" s="57" t="s">
        <v>278</v>
      </c>
      <c r="C88" s="22">
        <f>+'7 Önk'!D70+'8 PH'!D70+'9 VGIG'!D70+'10 Járób'!D70+'11 Szoci'!D70+'12 Ovi'!D70+'13 Művház'!D70+'14 Könyvt'!D70</f>
        <v>0</v>
      </c>
      <c r="D88" s="22">
        <f>+'7 Önk'!E70+'8 PH'!E70+'9 VGIG'!E70+'10 Járób'!E70+'11 Szoci'!E70+'12 Ovi'!E70+'13 Művház'!E70+'14 Könyvt'!E70</f>
        <v>0</v>
      </c>
      <c r="E88" s="23">
        <f>+D88+C88</f>
        <v>0</v>
      </c>
      <c r="F88" s="45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31.5">
      <c r="A89" s="46" t="s">
        <v>279</v>
      </c>
      <c r="B89" s="57" t="s">
        <v>280</v>
      </c>
      <c r="C89" s="22">
        <f>+'7 Önk'!D71+'8 PH'!D71+'9 VGIG'!D71+'10 Járób'!D71+'11 Szoci'!D71+'12 Ovi'!D71+'13 Művház'!D71+'14 Könyvt'!D71</f>
        <v>0</v>
      </c>
      <c r="D89" s="22">
        <f>+'7 Önk'!E71+'8 PH'!E71+'9 VGIG'!E71+'10 Járób'!E71+'11 Szoci'!E71+'12 Ovi'!E71+'13 Művház'!E71+'14 Könyvt'!E71</f>
        <v>0</v>
      </c>
      <c r="E89" s="23">
        <f>+D89+C89</f>
        <v>0</v>
      </c>
      <c r="F89" s="45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ht="31.5">
      <c r="A90" s="46" t="s">
        <v>281</v>
      </c>
      <c r="B90" s="57" t="s">
        <v>282</v>
      </c>
      <c r="C90" s="22">
        <f>+'7 Önk'!D72+'8 PH'!D72+'9 VGIG'!D72+'10 Járób'!D72+'11 Szoci'!D72+'12 Ovi'!D72+'13 Művház'!D72+'14 Könyvt'!D72</f>
        <v>0</v>
      </c>
      <c r="D90" s="22">
        <f>+'7 Önk'!E72+'8 PH'!E72+'9 VGIG'!E72+'10 Járób'!E72+'11 Szoci'!E72+'12 Ovi'!E72+'13 Művház'!E72+'14 Könyvt'!E72</f>
        <v>0</v>
      </c>
      <c r="E90" s="23">
        <f>+D90+C90</f>
        <v>0</v>
      </c>
      <c r="F90" s="45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ht="15.75">
      <c r="A91" s="46" t="s">
        <v>283</v>
      </c>
      <c r="B91" s="57" t="s">
        <v>284</v>
      </c>
      <c r="C91" s="22">
        <f>+'7 Önk'!D73+'8 PH'!D73+'9 VGIG'!D73+'10 Járób'!D73+'11 Szoci'!D73+'12 Ovi'!D73+'13 Művház'!D73+'14 Könyvt'!D73+'4 Átvett és Felh bev'!D25</f>
        <v>161948</v>
      </c>
      <c r="D91" s="22">
        <f>+'7 Önk'!E73+'8 PH'!E73+'9 VGIG'!E73+'10 Járób'!E73+'11 Szoci'!E73+'12 Ovi'!E73+'13 Művház'!E73+'14 Könyvt'!E73+'4 Átvett és Felh bev'!E25</f>
        <v>471417</v>
      </c>
      <c r="E91" s="23">
        <f>+D91+C91</f>
        <v>633365</v>
      </c>
      <c r="F91" s="45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15.75">
      <c r="A92" s="49" t="s">
        <v>285</v>
      </c>
      <c r="B92" s="58" t="s">
        <v>286</v>
      </c>
      <c r="C92" s="23">
        <f>+C91+C90+C89+C88+C87+C86</f>
        <v>1225320</v>
      </c>
      <c r="D92" s="23">
        <f>+D91+D90+D89+D88+D87+D86</f>
        <v>471417</v>
      </c>
      <c r="E92" s="23">
        <f>+E91+E90+E89+E88+E87+E86</f>
        <v>1696737</v>
      </c>
      <c r="F92" s="45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ht="15.75">
      <c r="A93" s="49" t="s">
        <v>287</v>
      </c>
      <c r="B93" s="58" t="s">
        <v>288</v>
      </c>
      <c r="C93" s="23">
        <f>+'7 Önk'!D75+'8 PH'!D75+'9 VGIG'!D75+'10 Járób'!D75+'11 Szoci'!D75+'12 Ovi'!D75+'13 Művház'!D75+'14 Könyvt'!D75+'4 Átvett és Felh bev'!D61</f>
        <v>899854</v>
      </c>
      <c r="D93" s="23">
        <f>+'7 Önk'!E75+'8 PH'!E75+'9 VGIG'!E75+'10 Járób'!E75+'11 Szoci'!E75+'12 Ovi'!E75+'13 Művház'!E75+'14 Könyvt'!E75+'4 Átvett és Felh bev'!E61</f>
        <v>731252</v>
      </c>
      <c r="E93" s="23">
        <f aca="true" t="shared" si="6" ref="E93:E99">+D93+C93</f>
        <v>1631106</v>
      </c>
      <c r="F93" s="45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ht="15.75">
      <c r="A94" s="46" t="s">
        <v>289</v>
      </c>
      <c r="B94" s="57" t="s">
        <v>290</v>
      </c>
      <c r="C94" s="22">
        <f>+'7 Önk'!D76+'8 PH'!D76+'9 VGIG'!D76+'10 Járób'!D76+'11 Szoci'!D76+'12 Ovi'!D76+'13 Művház'!D76+'14 Könyvt'!D76</f>
        <v>0</v>
      </c>
      <c r="D94" s="22">
        <f>+'7 Önk'!E76+'8 PH'!E76+'9 VGIG'!E76+'10 Járób'!E76+'11 Szoci'!E76+'12 Ovi'!E76+'13 Művház'!E76+'14 Könyvt'!E76</f>
        <v>0</v>
      </c>
      <c r="E94" s="23">
        <f t="shared" si="6"/>
        <v>0</v>
      </c>
      <c r="F94" s="45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ht="15.75">
      <c r="A95" s="46" t="s">
        <v>291</v>
      </c>
      <c r="B95" s="57" t="s">
        <v>292</v>
      </c>
      <c r="C95" s="22">
        <f>+'7 Önk'!D77+'8 PH'!D77+'9 VGIG'!D77+'10 Járób'!D77+'11 Szoci'!D77+'12 Ovi'!D77+'13 Művház'!D77+'14 Könyvt'!D77</f>
        <v>0</v>
      </c>
      <c r="D95" s="22">
        <f>+'7 Önk'!E77+'8 PH'!E77+'9 VGIG'!E77+'10 Járób'!E77+'11 Szoci'!E77+'12 Ovi'!E77+'13 Művház'!E77+'14 Könyvt'!E77</f>
        <v>0</v>
      </c>
      <c r="E95" s="23">
        <f t="shared" si="6"/>
        <v>0</v>
      </c>
      <c r="F95" s="45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ht="15.75">
      <c r="A96" s="46" t="s">
        <v>293</v>
      </c>
      <c r="B96" s="57" t="s">
        <v>294</v>
      </c>
      <c r="C96" s="22">
        <f>+'7 Önk'!D78+'8 PH'!D78+'9 VGIG'!D78+'10 Járób'!D78+'11 Szoci'!D78+'12 Ovi'!D78+'13 Művház'!D78+'14 Könyvt'!D78</f>
        <v>0</v>
      </c>
      <c r="D96" s="22">
        <f>+'7 Önk'!E78+'8 PH'!E78+'9 VGIG'!E78+'10 Járób'!E78+'11 Szoci'!E78+'12 Ovi'!E78+'13 Művház'!E78+'14 Könyvt'!E78</f>
        <v>0</v>
      </c>
      <c r="E96" s="23">
        <f t="shared" si="6"/>
        <v>0</v>
      </c>
      <c r="F96" s="45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ht="15.75">
      <c r="A97" s="46" t="s">
        <v>295</v>
      </c>
      <c r="B97" s="57" t="s">
        <v>296</v>
      </c>
      <c r="C97" s="22">
        <f>+'3 Adók és tám'!D13</f>
        <v>96750</v>
      </c>
      <c r="D97" s="22"/>
      <c r="E97" s="23">
        <f t="shared" si="6"/>
        <v>96750</v>
      </c>
      <c r="F97" s="45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ht="15.75">
      <c r="A98" s="46" t="s">
        <v>297</v>
      </c>
      <c r="B98" s="57" t="s">
        <v>298</v>
      </c>
      <c r="C98" s="22">
        <f>+'3 Adók és tám'!D25-D98</f>
        <v>235423</v>
      </c>
      <c r="D98" s="22">
        <v>22027</v>
      </c>
      <c r="E98" s="23">
        <f t="shared" si="6"/>
        <v>257450</v>
      </c>
      <c r="F98" s="45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ht="15.75">
      <c r="A99" s="46" t="s">
        <v>299</v>
      </c>
      <c r="B99" s="57" t="s">
        <v>300</v>
      </c>
      <c r="C99" s="22">
        <f>+'3 Adók és tám'!D36</f>
        <v>3500</v>
      </c>
      <c r="D99" s="22"/>
      <c r="E99" s="23">
        <f t="shared" si="6"/>
        <v>3500</v>
      </c>
      <c r="F99" s="45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ht="15.75">
      <c r="A100" s="49" t="s">
        <v>301</v>
      </c>
      <c r="B100" s="58" t="s">
        <v>302</v>
      </c>
      <c r="C100" s="23">
        <f>SUM(C94:C99)</f>
        <v>335673</v>
      </c>
      <c r="D100" s="23">
        <f>SUM(D94:D99)</f>
        <v>22027</v>
      </c>
      <c r="E100" s="23">
        <f>SUM(E94:E99)</f>
        <v>357700</v>
      </c>
      <c r="F100" s="45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ht="15.75">
      <c r="A101" s="59" t="s">
        <v>303</v>
      </c>
      <c r="B101" s="57" t="s">
        <v>304</v>
      </c>
      <c r="C101" s="22">
        <f>+'7 Önk'!D83+'8 PH'!D83+'9 VGIG'!D83+'10 Járób'!D83+'11 Szoci'!D83+'12 Ovi'!D83+'13 Művház'!D83+'14 Könyvt'!D83</f>
        <v>650</v>
      </c>
      <c r="D101" s="22">
        <f>+'7 Önk'!E83+'8 PH'!E83+'9 VGIG'!E83+'10 Járób'!E83+'11 Szoci'!E83+'12 Ovi'!E83+'13 Művház'!E83+'14 Könyvt'!E83</f>
        <v>200</v>
      </c>
      <c r="E101" s="23">
        <f aca="true" t="shared" si="7" ref="E101:E111">+D101+C101</f>
        <v>850</v>
      </c>
      <c r="F101" s="45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ht="15.75">
      <c r="A102" s="59" t="s">
        <v>305</v>
      </c>
      <c r="B102" s="57" t="s">
        <v>306</v>
      </c>
      <c r="C102" s="22">
        <f>+'7 Önk'!D84+'8 PH'!D84+'9 VGIG'!D84+'10 Járób'!D84+'11 Szoci'!D84+'12 Ovi'!D84+'13 Művház'!D84+'14 Könyvt'!D84</f>
        <v>75244</v>
      </c>
      <c r="D102" s="22">
        <f>+'7 Önk'!E84+'8 PH'!E84+'9 VGIG'!E84+'10 Járób'!E84+'11 Szoci'!E84+'12 Ovi'!E84+'13 Művház'!E84+'14 Könyvt'!E84</f>
        <v>154418</v>
      </c>
      <c r="E102" s="23">
        <f t="shared" si="7"/>
        <v>229662</v>
      </c>
      <c r="F102" s="45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ht="15.75">
      <c r="A103" s="59" t="s">
        <v>307</v>
      </c>
      <c r="B103" s="57" t="s">
        <v>308</v>
      </c>
      <c r="C103" s="22">
        <f>+'7 Önk'!D85+'8 PH'!D85+'9 VGIG'!D85+'10 Járób'!D85+'11 Szoci'!D85+'12 Ovi'!D85+'13 Művház'!D85+'14 Könyvt'!D85</f>
        <v>270</v>
      </c>
      <c r="D103" s="22">
        <f>+'7 Önk'!E85+'8 PH'!E85+'9 VGIG'!E85+'10 Járób'!E85+'11 Szoci'!E85+'12 Ovi'!E85+'13 Művház'!E85+'14 Könyvt'!E85</f>
        <v>1400</v>
      </c>
      <c r="E103" s="23">
        <f t="shared" si="7"/>
        <v>1670</v>
      </c>
      <c r="F103" s="45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ht="15.75">
      <c r="A104" s="59" t="s">
        <v>309</v>
      </c>
      <c r="B104" s="57" t="s">
        <v>310</v>
      </c>
      <c r="C104" s="22">
        <f>+'7 Önk'!D86+'8 PH'!D86+'9 VGIG'!D86+'10 Járób'!D86+'11 Szoci'!D86+'12 Ovi'!D86+'13 Művház'!D86+'14 Könyvt'!D86</f>
        <v>4173</v>
      </c>
      <c r="D104" s="22">
        <f>+'7 Önk'!E86+'8 PH'!E86+'9 VGIG'!E86+'10 Járób'!E86+'11 Szoci'!E86+'12 Ovi'!E86+'13 Művház'!E86+'14 Könyvt'!E86</f>
        <v>1000</v>
      </c>
      <c r="E104" s="23">
        <f t="shared" si="7"/>
        <v>5173</v>
      </c>
      <c r="F104" s="45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ht="15.75">
      <c r="A105" s="59" t="s">
        <v>311</v>
      </c>
      <c r="B105" s="57" t="s">
        <v>312</v>
      </c>
      <c r="C105" s="22">
        <f>+'7 Önk'!D87+'8 PH'!D87+'9 VGIG'!D87+'10 Járób'!D87+'11 Szoci'!D87+'12 Ovi'!D87+'13 Művház'!D87+'14 Könyvt'!D87</f>
        <v>168655</v>
      </c>
      <c r="D105" s="22">
        <f>+'7 Önk'!E87+'8 PH'!E87+'9 VGIG'!E87+'10 Járób'!E87+'11 Szoci'!E87+'12 Ovi'!E87+'13 Művház'!E87+'14 Könyvt'!E87</f>
        <v>0</v>
      </c>
      <c r="E105" s="23">
        <f t="shared" si="7"/>
        <v>168655</v>
      </c>
      <c r="F105" s="45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ht="15.75">
      <c r="A106" s="59" t="s">
        <v>313</v>
      </c>
      <c r="B106" s="57" t="s">
        <v>314</v>
      </c>
      <c r="C106" s="22">
        <f>+'7 Önk'!D88+'8 PH'!D88+'9 VGIG'!D88+'10 Járób'!D88+'11 Szoci'!D88+'12 Ovi'!D88+'13 Művház'!D88+'14 Könyvt'!D88</f>
        <v>30187</v>
      </c>
      <c r="D106" s="22">
        <f>+'7 Önk'!E88+'8 PH'!E88+'9 VGIG'!E88+'10 Járób'!E88+'11 Szoci'!E88+'12 Ovi'!E88+'13 Művház'!E88+'14 Könyvt'!E88</f>
        <v>440</v>
      </c>
      <c r="E106" s="23">
        <f t="shared" si="7"/>
        <v>30627</v>
      </c>
      <c r="F106" s="45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ht="15.75">
      <c r="A107" s="59" t="s">
        <v>315</v>
      </c>
      <c r="B107" s="57" t="s">
        <v>316</v>
      </c>
      <c r="C107" s="22">
        <f>+'7 Önk'!D89+'8 PH'!D89+'9 VGIG'!D89+'10 Járób'!D89+'11 Szoci'!D89+'12 Ovi'!D89+'13 Művház'!D89+'14 Könyvt'!D89</f>
        <v>0</v>
      </c>
      <c r="D107" s="22">
        <f>+'7 Önk'!E89+'8 PH'!E89+'9 VGIG'!E89+'10 Járób'!E89+'11 Szoci'!E89+'12 Ovi'!E89+'13 Művház'!E89+'14 Könyvt'!E89</f>
        <v>0</v>
      </c>
      <c r="E107" s="23">
        <f t="shared" si="7"/>
        <v>0</v>
      </c>
      <c r="F107" s="45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ht="15.75">
      <c r="A108" s="59" t="s">
        <v>317</v>
      </c>
      <c r="B108" s="57" t="s">
        <v>318</v>
      </c>
      <c r="C108" s="22">
        <f>+'7 Önk'!D90+'8 PH'!D90+'9 VGIG'!D90+'10 Járób'!D90+'11 Szoci'!D90+'12 Ovi'!D90+'13 Művház'!D90+'14 Könyvt'!D90</f>
        <v>2000</v>
      </c>
      <c r="D108" s="22">
        <f>+'7 Önk'!E90+'8 PH'!E90+'9 VGIG'!E90+'10 Járób'!E90+'11 Szoci'!E90+'12 Ovi'!E90+'13 Művház'!E90+'14 Könyvt'!E90</f>
        <v>50</v>
      </c>
      <c r="E108" s="23">
        <f t="shared" si="7"/>
        <v>2050</v>
      </c>
      <c r="F108" s="45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ht="15.75">
      <c r="A109" s="59" t="s">
        <v>319</v>
      </c>
      <c r="B109" s="57" t="s">
        <v>320</v>
      </c>
      <c r="C109" s="22">
        <f>+'7 Önk'!D91+'8 PH'!D91+'9 VGIG'!D91+'10 Járób'!D91+'11 Szoci'!D91+'12 Ovi'!D91+'13 Művház'!D91+'14 Könyvt'!D91</f>
        <v>0</v>
      </c>
      <c r="D109" s="22">
        <f>+'7 Önk'!E91+'8 PH'!E91+'9 VGIG'!E91+'10 Járób'!E91+'11 Szoci'!E91+'12 Ovi'!E91+'13 Művház'!E91+'14 Könyvt'!E91</f>
        <v>0</v>
      </c>
      <c r="E109" s="23">
        <f t="shared" si="7"/>
        <v>0</v>
      </c>
      <c r="F109" s="45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ht="15.75">
      <c r="A110" s="59" t="s">
        <v>321</v>
      </c>
      <c r="B110" s="57" t="s">
        <v>322</v>
      </c>
      <c r="C110" s="22">
        <f>+'7 Önk'!D92+'8 PH'!D92+'9 VGIG'!D92+'10 Járób'!D92+'11 Szoci'!D92+'12 Ovi'!D92+'13 Művház'!D92+'14 Könyvt'!D92</f>
        <v>0</v>
      </c>
      <c r="D110" s="22">
        <f>+'7 Önk'!E92+'8 PH'!E92+'9 VGIG'!E92+'10 Járób'!E92+'11 Szoci'!E92+'12 Ovi'!E92+'13 Művház'!E92+'14 Könyvt'!E92</f>
        <v>0</v>
      </c>
      <c r="E110" s="23">
        <f>+D110+C110</f>
        <v>0</v>
      </c>
      <c r="F110" s="45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ht="15.75">
      <c r="A111" s="59" t="s">
        <v>323</v>
      </c>
      <c r="B111" s="57" t="s">
        <v>324</v>
      </c>
      <c r="C111" s="22">
        <f>+'7 Önk'!D93+'8 PH'!D93+'9 VGIG'!D93+'10 Járób'!D93+'11 Szoci'!D93+'12 Ovi'!D93+'13 Művház'!D93+'14 Könyvt'!D93</f>
        <v>340</v>
      </c>
      <c r="D111" s="22">
        <f>+'7 Önk'!E93+'8 PH'!E93+'9 VGIG'!E93+'10 Járób'!E93+'11 Szoci'!E93+'12 Ovi'!E93+'13 Művház'!E93+'14 Könyvt'!E93</f>
        <v>0</v>
      </c>
      <c r="E111" s="23">
        <f t="shared" si="7"/>
        <v>340</v>
      </c>
      <c r="F111" s="45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ht="15.75">
      <c r="A112" s="50" t="s">
        <v>325</v>
      </c>
      <c r="B112" s="58" t="s">
        <v>326</v>
      </c>
      <c r="C112" s="23">
        <f>SUM(C101:C111)</f>
        <v>281519</v>
      </c>
      <c r="D112" s="23">
        <f>SUM(D101:D111)</f>
        <v>157508</v>
      </c>
      <c r="E112" s="23">
        <f>SUM(E101:E111)</f>
        <v>439027</v>
      </c>
      <c r="F112" s="45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ht="15.75">
      <c r="A113" s="59" t="s">
        <v>327</v>
      </c>
      <c r="B113" s="57" t="s">
        <v>328</v>
      </c>
      <c r="C113" s="22">
        <f>+'7 Önk'!D95+'8 PH'!D95+'9 VGIG'!D95+'10 Járób'!D95+'11 Szoci'!D95+'12 Ovi'!D95+'13 Művház'!D95+'14 Könyvt'!D95+'4 Átvett és Felh bev'!E79</f>
        <v>0</v>
      </c>
      <c r="D113" s="22">
        <f>+'7 Önk'!E95+'8 PH'!E95+'9 VGIG'!E95+'10 Járób'!E95+'11 Szoci'!E95+'12 Ovi'!E95+'13 Művház'!E95+'14 Könyvt'!E95+'4 Átvett és Felh bev'!F79</f>
        <v>0</v>
      </c>
      <c r="E113" s="23">
        <f>+D113+C113</f>
        <v>0</v>
      </c>
      <c r="F113" s="45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ht="15.75">
      <c r="A114" s="59" t="s">
        <v>329</v>
      </c>
      <c r="B114" s="57" t="s">
        <v>330</v>
      </c>
      <c r="C114" s="22">
        <f>+'7 Önk'!D96+'8 PH'!D96+'9 VGIG'!D96+'10 Járób'!D96+'11 Szoci'!D96+'12 Ovi'!D96+'13 Művház'!D96+'14 Könyvt'!D96+'4 Átvett és Felh bev'!D85</f>
        <v>24632</v>
      </c>
      <c r="D114" s="22">
        <f>+'7 Önk'!E96+'8 PH'!E96+'9 VGIG'!E96+'10 Járób'!E96+'11 Szoci'!E96+'12 Ovi'!E96+'13 Művház'!E96+'14 Könyvt'!E96+'4 Átvett és Felh bev'!E85</f>
        <v>32976</v>
      </c>
      <c r="E114" s="23">
        <f>+D114+C114</f>
        <v>57608</v>
      </c>
      <c r="F114" s="45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ht="15.75">
      <c r="A115" s="59" t="s">
        <v>331</v>
      </c>
      <c r="B115" s="57" t="s">
        <v>332</v>
      </c>
      <c r="C115" s="22">
        <f>+'7 Önk'!D97+'8 PH'!D97+'9 VGIG'!D97+'10 Járób'!D97+'11 Szoci'!D97+'12 Ovi'!D97+'13 Művház'!D97+'14 Könyvt'!D97+'4 Átvett és Felh bev'!D88</f>
        <v>0</v>
      </c>
      <c r="D115" s="22">
        <f>+'7 Önk'!E97+'8 PH'!E97+'9 VGIG'!E97+'10 Járób'!E97+'11 Szoci'!E97+'12 Ovi'!E97+'13 Művház'!E97+'14 Könyvt'!E97+'4 Átvett és Felh bev'!E88</f>
        <v>0</v>
      </c>
      <c r="E115" s="23">
        <f>+D115+C115</f>
        <v>0</v>
      </c>
      <c r="F115" s="45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ht="15.75">
      <c r="A116" s="59" t="s">
        <v>333</v>
      </c>
      <c r="B116" s="57" t="s">
        <v>334</v>
      </c>
      <c r="C116" s="22">
        <f>+'7 Önk'!D98+'8 PH'!D98+'9 VGIG'!D98+'10 Járób'!D98+'11 Szoci'!D98+'12 Ovi'!D98+'13 Művház'!D98+'14 Könyvt'!D98+'4 Átvett és Felh bev'!D91</f>
        <v>0</v>
      </c>
      <c r="D116" s="22">
        <f>+'7 Önk'!E98+'8 PH'!E98+'9 VGIG'!E98+'10 Járób'!E98+'11 Szoci'!E98+'12 Ovi'!E98+'13 Művház'!E98+'14 Könyvt'!E98+'4 Átvett és Felh bev'!E91</f>
        <v>0</v>
      </c>
      <c r="E116" s="23">
        <f>+D116+C116</f>
        <v>0</v>
      </c>
      <c r="F116" s="45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ht="15.75">
      <c r="A117" s="59" t="s">
        <v>335</v>
      </c>
      <c r="B117" s="57" t="s">
        <v>336</v>
      </c>
      <c r="C117" s="22">
        <f>+'7 Önk'!D99+'8 PH'!D99+'9 VGIG'!D99+'10 Járób'!D99+'11 Szoci'!D99+'12 Ovi'!D99+'13 Művház'!D99+'14 Könyvt'!D99+'4 Átvett és Felh bev'!D94</f>
        <v>0</v>
      </c>
      <c r="D117" s="22">
        <f>+'7 Önk'!E99+'8 PH'!E99+'9 VGIG'!E99+'10 Járób'!E99+'11 Szoci'!E99+'12 Ovi'!E99+'13 Művház'!E99+'14 Könyvt'!E99+'4 Átvett és Felh bev'!E94</f>
        <v>0</v>
      </c>
      <c r="E117" s="23">
        <f>+D117+C117</f>
        <v>0</v>
      </c>
      <c r="F117" s="45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ht="15.75">
      <c r="A118" s="49" t="s">
        <v>337</v>
      </c>
      <c r="B118" s="58" t="s">
        <v>338</v>
      </c>
      <c r="C118" s="23">
        <f>SUM(C113:C117)</f>
        <v>24632</v>
      </c>
      <c r="D118" s="23">
        <f>SUM(D113:D117)</f>
        <v>32976</v>
      </c>
      <c r="E118" s="23">
        <f>SUM(E113:E117)</f>
        <v>57608</v>
      </c>
      <c r="F118" s="45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ht="15.75">
      <c r="A119" s="49" t="s">
        <v>339</v>
      </c>
      <c r="B119" s="58" t="s">
        <v>340</v>
      </c>
      <c r="C119" s="22">
        <f>+'7 Önk'!D101+'8 PH'!D101+'9 VGIG'!D101+'10 Járób'!D101+'11 Szoci'!D101+'12 Ovi'!D101+'13 Művház'!D101+'14 Könyvt'!D101</f>
        <v>8301</v>
      </c>
      <c r="D119" s="22">
        <f>+'7 Önk'!E101+'8 PH'!E101+'9 VGIG'!E101+'10 Járób'!E101+'11 Szoci'!E101+'12 Ovi'!E101+'13 Művház'!E101+'14 Könyvt'!E101</f>
        <v>8582</v>
      </c>
      <c r="E119" s="23">
        <f aca="true" t="shared" si="8" ref="E119:E124">+D119+C119</f>
        <v>16883</v>
      </c>
      <c r="F119" s="45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ht="31.5">
      <c r="A120" s="59" t="s">
        <v>341</v>
      </c>
      <c r="B120" s="57" t="s">
        <v>342</v>
      </c>
      <c r="C120" s="22">
        <f>+'7 Önk'!D102+'8 PH'!D102+'9 VGIG'!D102+'10 Járób'!D102+'11 Szoci'!D102+'12 Ovi'!D102+'13 Művház'!D102+'14 Könyvt'!D102</f>
        <v>0</v>
      </c>
      <c r="D120" s="22">
        <f>+'7 Önk'!E102+'8 PH'!E102+'9 VGIG'!E102+'10 Járób'!E102+'11 Szoci'!E102+'12 Ovi'!E102+'13 Művház'!E102+'14 Könyvt'!E102</f>
        <v>0</v>
      </c>
      <c r="E120" s="23">
        <f t="shared" si="8"/>
        <v>0</v>
      </c>
      <c r="F120" s="45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ht="15.75">
      <c r="A121" s="46" t="s">
        <v>343</v>
      </c>
      <c r="B121" s="57" t="s">
        <v>344</v>
      </c>
      <c r="C121" s="22">
        <f>+'7 Önk'!D103+'8 PH'!D103+'9 VGIG'!D103+'10 Járób'!D103+'11 Szoci'!D103+'12 Ovi'!D103+'13 Művház'!D103+'14 Könyvt'!D103</f>
        <v>0</v>
      </c>
      <c r="D121" s="22">
        <f>+'7 Önk'!E103+'8 PH'!E103+'9 VGIG'!E103+'10 Járób'!E103+'11 Szoci'!E103+'12 Ovi'!E103+'13 Művház'!E103+'14 Könyvt'!E103</f>
        <v>0</v>
      </c>
      <c r="E121" s="23">
        <f t="shared" si="8"/>
        <v>0</v>
      </c>
      <c r="F121" s="45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ht="31.5">
      <c r="A122" s="59" t="s">
        <v>345</v>
      </c>
      <c r="B122" s="57" t="s">
        <v>346</v>
      </c>
      <c r="C122" s="22">
        <f>+'7 Önk'!D104+'8 PH'!D104+'9 VGIG'!D104+'10 Járób'!D104+'11 Szoci'!D104+'12 Ovi'!D104+'13 Művház'!D104+'14 Könyvt'!D104</f>
        <v>0</v>
      </c>
      <c r="D122" s="22">
        <f>+'7 Önk'!E104+'8 PH'!E104+'9 VGIG'!E104+'10 Járób'!E104+'11 Szoci'!E104+'12 Ovi'!E104+'13 Művház'!E104+'14 Könyvt'!E104</f>
        <v>0</v>
      </c>
      <c r="E122" s="23">
        <f t="shared" si="8"/>
        <v>0</v>
      </c>
      <c r="F122" s="45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ht="31.5">
      <c r="A123" s="59" t="s">
        <v>347</v>
      </c>
      <c r="B123" s="57" t="s">
        <v>348</v>
      </c>
      <c r="C123" s="22">
        <f>+'7 Önk'!D105+'8 PH'!D105+'9 VGIG'!D105+'10 Járób'!D105+'11 Szoci'!D105+'12 Ovi'!D105+'13 Művház'!D105+'14 Könyvt'!D105</f>
        <v>0</v>
      </c>
      <c r="D123" s="22">
        <f>+'7 Önk'!E105+'8 PH'!E105+'9 VGIG'!E105+'10 Járób'!E105+'11 Szoci'!E105+'12 Ovi'!E105+'13 Művház'!E105+'14 Könyvt'!E105</f>
        <v>0</v>
      </c>
      <c r="E123" s="23">
        <f t="shared" si="8"/>
        <v>0</v>
      </c>
      <c r="F123" s="45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ht="15.75">
      <c r="A124" s="59" t="s">
        <v>349</v>
      </c>
      <c r="B124" s="57" t="s">
        <v>350</v>
      </c>
      <c r="C124" s="22">
        <f>+'7 Önk'!D106+'8 PH'!D106+'9 VGIG'!D106+'10 Járób'!D106+'11 Szoci'!D106+'12 Ovi'!D106+'13 Művház'!D106+'14 Könyvt'!D106+'4 Átvett és Felh bev'!E73</f>
        <v>32262</v>
      </c>
      <c r="D124" s="22">
        <f>+'7 Önk'!E106+'8 PH'!E106+'9 VGIG'!E106+'10 Járób'!E106+'11 Szoci'!E106+'12 Ovi'!E106+'13 Művház'!E106+'14 Könyvt'!E106+'4 Átvett és Felh bev'!F73</f>
        <v>0</v>
      </c>
      <c r="E124" s="23">
        <f t="shared" si="8"/>
        <v>32262</v>
      </c>
      <c r="F124" s="45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ht="15.75">
      <c r="A125" s="49" t="s">
        <v>351</v>
      </c>
      <c r="B125" s="58" t="s">
        <v>352</v>
      </c>
      <c r="C125" s="23">
        <f>SUM(C120:C124)</f>
        <v>32262</v>
      </c>
      <c r="D125" s="23">
        <f>SUM(D120:D124)</f>
        <v>0</v>
      </c>
      <c r="E125" s="23">
        <f>SUM(E120:E124)</f>
        <v>32262</v>
      </c>
      <c r="F125" s="45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ht="15.75">
      <c r="A126" s="80" t="s">
        <v>353</v>
      </c>
      <c r="B126" s="60" t="s">
        <v>354</v>
      </c>
      <c r="C126" s="62">
        <f>+C125+C119+C118+C112+C100+C93+C92</f>
        <v>2807561</v>
      </c>
      <c r="D126" s="62">
        <f>+D125+D119+D118+D112+D100+D93+D92</f>
        <v>1423762</v>
      </c>
      <c r="E126" s="62">
        <f>+E125+E119+E118+E112+E100+E93+E92</f>
        <v>4231323</v>
      </c>
      <c r="F126" s="45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ht="15.75">
      <c r="A127" s="81" t="s">
        <v>355</v>
      </c>
      <c r="B127" s="82"/>
      <c r="C127" s="83">
        <f>+C119+C112+C100+C92-C33</f>
        <v>-165453</v>
      </c>
      <c r="D127" s="83">
        <f>+D119+D112+D100+D92-D33</f>
        <v>-2979.969999999972</v>
      </c>
      <c r="E127" s="83">
        <f>+D127+C127</f>
        <v>-168432.96999999997</v>
      </c>
      <c r="F127" s="45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ht="15.75">
      <c r="A128" s="81" t="s">
        <v>356</v>
      </c>
      <c r="B128" s="82"/>
      <c r="C128" s="83">
        <f>+C125+C118+C93-C57</f>
        <v>0</v>
      </c>
      <c r="D128" s="83">
        <f>+D125+D118+D93-D57</f>
        <v>0</v>
      </c>
      <c r="E128" s="83">
        <f>+D128+C128</f>
        <v>0</v>
      </c>
      <c r="F128" s="45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ht="15.75">
      <c r="A129" s="67" t="s">
        <v>357</v>
      </c>
      <c r="B129" s="46" t="s">
        <v>358</v>
      </c>
      <c r="C129" s="22">
        <f>+'17 hitelek'!D55</f>
        <v>0</v>
      </c>
      <c r="D129" s="22">
        <f>+'17 hitelek'!E55</f>
        <v>0</v>
      </c>
      <c r="E129" s="23">
        <f>+D129+C129</f>
        <v>0</v>
      </c>
      <c r="F129" s="45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ht="15.75">
      <c r="A130" s="59" t="s">
        <v>359</v>
      </c>
      <c r="B130" s="46" t="s">
        <v>360</v>
      </c>
      <c r="C130" s="22">
        <f>+'17 hitelek'!D58</f>
        <v>0</v>
      </c>
      <c r="D130" s="22">
        <f>+'17 hitelek'!E58</f>
        <v>0</v>
      </c>
      <c r="E130" s="23">
        <f>+D130+C130</f>
        <v>0</v>
      </c>
      <c r="F130" s="45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ht="15.75">
      <c r="A131" s="67" t="s">
        <v>361</v>
      </c>
      <c r="B131" s="46" t="s">
        <v>362</v>
      </c>
      <c r="C131" s="22">
        <f>+'17 hitelek'!D60</f>
        <v>88500</v>
      </c>
      <c r="D131" s="22">
        <f>+'17 hitelek'!E60</f>
        <v>0</v>
      </c>
      <c r="E131" s="23">
        <f>+D131+C131</f>
        <v>88500</v>
      </c>
      <c r="F131" s="45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6" ht="15.75">
      <c r="A132" s="50" t="s">
        <v>363</v>
      </c>
      <c r="B132" s="49" t="s">
        <v>364</v>
      </c>
      <c r="C132" s="23">
        <f>SUM(C129:C131)</f>
        <v>88500</v>
      </c>
      <c r="D132" s="23">
        <f>SUM(D129:D131)</f>
        <v>0</v>
      </c>
      <c r="E132" s="23">
        <f>SUM(E129:E131)</f>
        <v>88500</v>
      </c>
      <c r="F132" s="45"/>
    </row>
    <row r="133" spans="1:6" ht="15.75">
      <c r="A133" s="59" t="s">
        <v>365</v>
      </c>
      <c r="B133" s="46" t="s">
        <v>366</v>
      </c>
      <c r="C133" s="22"/>
      <c r="D133" s="22"/>
      <c r="E133" s="23">
        <f>+D133+C133</f>
        <v>0</v>
      </c>
      <c r="F133" s="45"/>
    </row>
    <row r="134" spans="1:6" ht="15.75">
      <c r="A134" s="67" t="s">
        <v>367</v>
      </c>
      <c r="B134" s="46" t="s">
        <v>368</v>
      </c>
      <c r="C134" s="22"/>
      <c r="D134" s="22"/>
      <c r="E134" s="23">
        <f>+D134+C134</f>
        <v>0</v>
      </c>
      <c r="F134" s="45"/>
    </row>
    <row r="135" spans="1:6" ht="15.75">
      <c r="A135" s="59" t="s">
        <v>369</v>
      </c>
      <c r="B135" s="46" t="s">
        <v>370</v>
      </c>
      <c r="C135" s="22"/>
      <c r="D135" s="22"/>
      <c r="E135" s="23">
        <f>+D135+C135</f>
        <v>0</v>
      </c>
      <c r="F135" s="45"/>
    </row>
    <row r="136" spans="1:6" ht="15.75">
      <c r="A136" s="67" t="s">
        <v>371</v>
      </c>
      <c r="B136" s="46" t="s">
        <v>372</v>
      </c>
      <c r="C136" s="22"/>
      <c r="D136" s="22"/>
      <c r="E136" s="23">
        <f>+D136+C136</f>
        <v>0</v>
      </c>
      <c r="F136" s="45"/>
    </row>
    <row r="137" spans="1:6" ht="15.75">
      <c r="A137" s="71" t="s">
        <v>373</v>
      </c>
      <c r="B137" s="49" t="s">
        <v>374</v>
      </c>
      <c r="C137" s="23">
        <f>SUM(C133:C136)</f>
        <v>0</v>
      </c>
      <c r="D137" s="23">
        <f>SUM(D133:D136)</f>
        <v>0</v>
      </c>
      <c r="E137" s="23">
        <f>SUM(E133:E136)</f>
        <v>0</v>
      </c>
      <c r="F137" s="45"/>
    </row>
    <row r="138" spans="1:6" ht="15.75">
      <c r="A138" s="46" t="s">
        <v>375</v>
      </c>
      <c r="B138" s="46" t="s">
        <v>376</v>
      </c>
      <c r="C138" s="22">
        <f>+'7 Önk'!D113+'8 PH'!D113+'9 VGIG'!D113+'10 Járób'!D113+'11 Szoci'!D113+'12 Ovi'!D113+'13 Művház'!D113+'14 Könyvt'!D113</f>
        <v>165453</v>
      </c>
      <c r="D138" s="22">
        <f>+'7 Önk'!E113+'8 PH'!E113+'9 VGIG'!E113+'10 Járób'!E113+'11 Szoci'!E113+'12 Ovi'!E113+'13 Művház'!E113+'14 Könyvt'!D113</f>
        <v>2980</v>
      </c>
      <c r="E138" s="23">
        <f>+D138+C138</f>
        <v>168433</v>
      </c>
      <c r="F138" s="45"/>
    </row>
    <row r="139" spans="1:6" ht="15.75">
      <c r="A139" s="46" t="s">
        <v>377</v>
      </c>
      <c r="B139" s="46" t="s">
        <v>376</v>
      </c>
      <c r="C139" s="22">
        <f>+'7 Önk'!D114+'8 PH'!D114+'9 VGIG'!D114+'10 Járób'!D114+'11 Szoci'!D114+'12 Ovi'!D114+'13 Művház'!D114+'14 Könyvt'!D114+'4 Átvett és Felh bev'!D76</f>
        <v>0</v>
      </c>
      <c r="D139" s="22">
        <f>+'7 Önk'!E114+'8 PH'!E114+'9 VGIG'!E114+'10 Járób'!E114+'11 Szoci'!E114+'12 Ovi'!E114+'13 Művház'!E114+'14 Könyvt'!E114+'4 Átvett és Felh bev'!E76</f>
        <v>0</v>
      </c>
      <c r="E139" s="23">
        <f>+D139+C139</f>
        <v>0</v>
      </c>
      <c r="F139" s="45"/>
    </row>
    <row r="140" spans="1:6" ht="15.75">
      <c r="A140" s="46" t="s">
        <v>378</v>
      </c>
      <c r="B140" s="46" t="s">
        <v>379</v>
      </c>
      <c r="C140" s="22">
        <f>+'7 Önk'!D115+'8 PH'!D115+'9 VGIG'!D115+'10 Járób'!D115+'11 Szoci'!D115+'12 Ovi'!D115+'13 Művház'!D115+'14 Könyvt'!D115</f>
        <v>0</v>
      </c>
      <c r="D140" s="22">
        <f>+'7 Önk'!E115+'8 PH'!E115+'9 VGIG'!E115+'10 Járób'!E115+'11 Szoci'!E115+'12 Ovi'!E115+'13 Művház'!E115+'14 Könyvt'!E115</f>
        <v>0</v>
      </c>
      <c r="E140" s="23">
        <f>+D140+C140</f>
        <v>0</v>
      </c>
      <c r="F140" s="45"/>
    </row>
    <row r="141" spans="1:6" ht="15.75">
      <c r="A141" s="46" t="s">
        <v>380</v>
      </c>
      <c r="B141" s="46" t="s">
        <v>379</v>
      </c>
      <c r="C141" s="22">
        <f>+'7 Önk'!D116+'8 PH'!D116+'9 VGIG'!D116+'10 Járób'!D116+'11 Szoci'!D116+'12 Ovi'!D116+'13 Művház'!D116+'14 Könyvt'!D116+'4 Átvett és Felh bev'!D76</f>
        <v>0</v>
      </c>
      <c r="D141" s="22">
        <f>+'7 Önk'!E116+'8 PH'!E116+'9 VGIG'!E116+'10 Járób'!E116+'11 Szoci'!E116+'12 Ovi'!E116+'13 Művház'!E116+'14 Könyvt'!E116+'4 Átvett és Felh bev'!E76</f>
        <v>0</v>
      </c>
      <c r="E141" s="23">
        <f>+D141+C141</f>
        <v>0</v>
      </c>
      <c r="F141" s="45"/>
    </row>
    <row r="142" spans="1:6" ht="15.75">
      <c r="A142" s="49" t="s">
        <v>381</v>
      </c>
      <c r="B142" s="49" t="s">
        <v>382</v>
      </c>
      <c r="C142" s="23">
        <f>SUM(C138:C141)</f>
        <v>165453</v>
      </c>
      <c r="D142" s="23">
        <f>SUM(D138:D141)</f>
        <v>2980</v>
      </c>
      <c r="E142" s="23">
        <f>SUM(E138:E141)</f>
        <v>168433</v>
      </c>
      <c r="F142" s="45"/>
    </row>
    <row r="143" spans="1:6" ht="15.75">
      <c r="A143" s="67" t="s">
        <v>383</v>
      </c>
      <c r="B143" s="46" t="s">
        <v>384</v>
      </c>
      <c r="C143" s="22">
        <f>+'7 Önk'!D118+'8 PH'!D118+'9 VGIG'!D118+'10 Járób'!D118+'11 Szoci'!D118+'12 Ovi'!D118+'13 Művház'!D118+'14 Könyvt'!D118</f>
        <v>0</v>
      </c>
      <c r="D143" s="22">
        <f>+'7 Önk'!E118+'8 PH'!E118+'9 VGIG'!E118+'10 Járób'!E118+'11 Szoci'!E118+'12 Ovi'!E118+'13 Művház'!E118+'14 Könyvt'!E118</f>
        <v>0</v>
      </c>
      <c r="E143" s="23">
        <f>+D143+C143</f>
        <v>0</v>
      </c>
      <c r="F143" s="45"/>
    </row>
    <row r="144" spans="1:6" ht="15.75">
      <c r="A144" s="67" t="s">
        <v>385</v>
      </c>
      <c r="B144" s="46" t="s">
        <v>386</v>
      </c>
      <c r="C144" s="22">
        <f>+'7 Önk'!D119+'8 PH'!D119+'9 VGIG'!D119+'10 Járób'!D119+'11 Szoci'!D119+'12 Ovi'!D119+'13 Művház'!D119+'14 Könyvt'!D119</f>
        <v>0</v>
      </c>
      <c r="D144" s="22">
        <f>+'7 Önk'!E119+'8 PH'!E119+'9 VGIG'!E119+'10 Járób'!E119+'11 Szoci'!E119+'12 Ovi'!E119+'13 Művház'!E119+'14 Könyvt'!E119</f>
        <v>0</v>
      </c>
      <c r="E144" s="23">
        <f>+D144+C144</f>
        <v>0</v>
      </c>
      <c r="F144" s="45"/>
    </row>
    <row r="145" spans="1:6" ht="15.75">
      <c r="A145" s="67" t="s">
        <v>387</v>
      </c>
      <c r="B145" s="46" t="s">
        <v>388</v>
      </c>
      <c r="C145" s="22"/>
      <c r="D145" s="22"/>
      <c r="E145" s="23"/>
      <c r="F145" s="45"/>
    </row>
    <row r="146" spans="1:6" ht="15.75">
      <c r="A146" s="67" t="s">
        <v>389</v>
      </c>
      <c r="B146" s="46" t="s">
        <v>390</v>
      </c>
      <c r="C146" s="22">
        <f>+'7 Önk'!D123+'8 PH'!D123+'9 VGIG'!D123+'10 Járób'!D123+'11 Szoci'!D123+'12 Ovi'!D123+'13 Művház'!D123+'14 Könyvt'!D123</f>
        <v>0</v>
      </c>
      <c r="D146" s="22">
        <f>+'7 Önk'!E123+'8 PH'!E123+'9 VGIG'!E123+'10 Járób'!E123+'11 Szoci'!E123+'12 Ovi'!E123+'13 Művház'!E123+'14 Könyvt'!E123</f>
        <v>0</v>
      </c>
      <c r="E146" s="23">
        <f>+D146+C146</f>
        <v>0</v>
      </c>
      <c r="F146" s="45"/>
    </row>
    <row r="147" spans="1:6" ht="15.75">
      <c r="A147" s="59" t="s">
        <v>391</v>
      </c>
      <c r="B147" s="46" t="s">
        <v>392</v>
      </c>
      <c r="C147" s="22">
        <f>+'7 Önk'!D124+'8 PH'!D124+'9 VGIG'!D124+'10 Járób'!D124+'11 Szoci'!D124+'12 Ovi'!D124+'13 Művház'!D124+'14 Könyvt'!D124</f>
        <v>0</v>
      </c>
      <c r="D147" s="22">
        <f>+'7 Önk'!E124+'8 PH'!E124+'9 VGIG'!E124+'10 Járób'!E124+'11 Szoci'!E124+'12 Ovi'!E124+'13 Művház'!E124+'14 Könyvt'!E124</f>
        <v>0</v>
      </c>
      <c r="E147" s="23">
        <f>+D147+C147</f>
        <v>0</v>
      </c>
      <c r="F147" s="45"/>
    </row>
    <row r="148" spans="1:6" ht="15.75">
      <c r="A148" s="59" t="s">
        <v>393</v>
      </c>
      <c r="B148" s="46" t="s">
        <v>394</v>
      </c>
      <c r="C148" s="22">
        <f>+'7 Önk'!D125+'8 PH'!D125+'9 VGIG'!D125+'10 Járób'!D125+'11 Szoci'!D125+'12 Ovi'!D125+'13 Művház'!D125+'14 Könyvt'!D125</f>
        <v>0</v>
      </c>
      <c r="D148" s="22">
        <f>+'7 Önk'!E125+'8 PH'!E125+'9 VGIG'!E125+'10 Járób'!E125+'11 Szoci'!E125+'12 Ovi'!E125+'13 Művház'!E125+'14 Könyvt'!E125</f>
        <v>0</v>
      </c>
      <c r="E148" s="23">
        <f>+D148+C148</f>
        <v>0</v>
      </c>
      <c r="F148" s="45"/>
    </row>
    <row r="149" spans="1:6" ht="15.75">
      <c r="A149" s="50" t="s">
        <v>395</v>
      </c>
      <c r="B149" s="49" t="s">
        <v>396</v>
      </c>
      <c r="C149" s="23">
        <f>SUM(C143:C147)+C142+C137+C132</f>
        <v>253953</v>
      </c>
      <c r="D149" s="23">
        <f>SUM(D143:D147)+D142+D137+D132</f>
        <v>2980</v>
      </c>
      <c r="E149" s="23">
        <f>SUM(E143:E147)+E142+E137+E132</f>
        <v>256933</v>
      </c>
      <c r="F149" s="45"/>
    </row>
    <row r="150" spans="1:6" ht="15.75">
      <c r="A150" s="67" t="s">
        <v>397</v>
      </c>
      <c r="B150" s="46" t="s">
        <v>398</v>
      </c>
      <c r="C150" s="22">
        <f>+'7 Önk'!D127+'8 PH'!D127+'9 VGIG'!D127+'10 Járób'!D127+'11 Szoci'!D127+'12 Ovi'!D127+'13 Művház'!D127+'14 Könyvt'!D127</f>
        <v>0</v>
      </c>
      <c r="D150" s="22">
        <f>+'7 Önk'!E127+'8 PH'!E127+'9 VGIG'!E127+'10 Járób'!E127+'11 Szoci'!E127+'12 Ovi'!E127+'13 Művház'!E127+'14 Könyvt'!E127</f>
        <v>0</v>
      </c>
      <c r="E150" s="23">
        <f>+D150+C150</f>
        <v>0</v>
      </c>
      <c r="F150" s="45"/>
    </row>
    <row r="151" spans="1:6" ht="15.75">
      <c r="A151" s="59" t="s">
        <v>399</v>
      </c>
      <c r="B151" s="46" t="s">
        <v>400</v>
      </c>
      <c r="C151" s="22">
        <f>+'7 Önk'!D128+'8 PH'!D128+'9 VGIG'!D128+'10 Járób'!D128+'11 Szoci'!D128+'12 Ovi'!D128+'13 Művház'!D128+'14 Könyvt'!D128</f>
        <v>0</v>
      </c>
      <c r="D151" s="22">
        <f>+'7 Önk'!E128+'8 PH'!E128+'9 VGIG'!E128+'10 Járób'!E128+'11 Szoci'!E128+'12 Ovi'!E128+'13 Művház'!E128+'14 Könyvt'!E128</f>
        <v>0</v>
      </c>
      <c r="E151" s="23">
        <f>+D151+C151</f>
        <v>0</v>
      </c>
      <c r="F151" s="45"/>
    </row>
    <row r="152" spans="1:6" ht="15.75">
      <c r="A152" s="59" t="s">
        <v>401</v>
      </c>
      <c r="B152" s="46" t="s">
        <v>402</v>
      </c>
      <c r="C152" s="22">
        <f>+'7 Önk'!D129+'8 PH'!D129+'9 VGIG'!D129+'10 Járób'!D129+'11 Szoci'!D129+'12 Ovi'!D129+'13 Művház'!D129+'14 Könyvt'!D129</f>
        <v>0</v>
      </c>
      <c r="D152" s="22">
        <f>+'7 Önk'!E129+'8 PH'!E129+'9 VGIG'!E129+'10 Járób'!E129+'11 Szoci'!E129+'12 Ovi'!E129+'13 Művház'!E129+'14 Könyvt'!E129</f>
        <v>0</v>
      </c>
      <c r="E152" s="23">
        <f>+D152+C152</f>
        <v>0</v>
      </c>
      <c r="F152" s="45"/>
    </row>
    <row r="153" spans="1:6" ht="15.75">
      <c r="A153" s="72" t="s">
        <v>403</v>
      </c>
      <c r="B153" s="73" t="s">
        <v>404</v>
      </c>
      <c r="C153" s="62">
        <f>+C151+C150+C149+C152</f>
        <v>253953</v>
      </c>
      <c r="D153" s="62">
        <f>+D151+D150+D149+D152</f>
        <v>2980</v>
      </c>
      <c r="E153" s="62">
        <f>+E151+E150+E149+E152</f>
        <v>256933</v>
      </c>
      <c r="F153" s="45"/>
    </row>
    <row r="154" spans="1:6" ht="15.75">
      <c r="A154" s="26" t="s">
        <v>405</v>
      </c>
      <c r="B154" s="26" t="s">
        <v>406</v>
      </c>
      <c r="C154" s="27">
        <f>+C126+C153</f>
        <v>3061514</v>
      </c>
      <c r="D154" s="27">
        <f>+D126+D153</f>
        <v>1426742</v>
      </c>
      <c r="E154" s="27">
        <f>+E126+E153</f>
        <v>4488256</v>
      </c>
      <c r="F154" s="45"/>
    </row>
    <row r="155" spans="1:5" ht="15.75">
      <c r="A155" s="12"/>
      <c r="B155" s="12"/>
      <c r="C155" s="13"/>
      <c r="D155" s="13"/>
      <c r="E155" s="84"/>
    </row>
    <row r="156" spans="1:6" ht="15.75">
      <c r="A156" s="24" t="s">
        <v>407</v>
      </c>
      <c r="B156" s="24"/>
      <c r="C156" s="23">
        <f>+C126-C58</f>
        <v>-165453</v>
      </c>
      <c r="D156" s="23">
        <f>+D126-D58</f>
        <v>-2979.969999999972</v>
      </c>
      <c r="E156" s="23">
        <f>+E126-E58</f>
        <v>-168432.96999999974</v>
      </c>
      <c r="F156" s="85">
        <f>+E156+E157</f>
        <v>0.03000000026077032</v>
      </c>
    </row>
    <row r="157" spans="1:5" ht="15.75">
      <c r="A157" s="24" t="s">
        <v>408</v>
      </c>
      <c r="B157" s="24"/>
      <c r="C157" s="23">
        <f>+C153-C75</f>
        <v>165453</v>
      </c>
      <c r="D157" s="23">
        <f>+D153-D75</f>
        <v>2980</v>
      </c>
      <c r="E157" s="23">
        <f>+E153-E75</f>
        <v>168433</v>
      </c>
    </row>
    <row r="158" spans="1:5" ht="15.75">
      <c r="A158" s="86"/>
      <c r="B158" s="86"/>
      <c r="C158" s="77"/>
      <c r="D158" s="77"/>
      <c r="E158" s="77"/>
    </row>
    <row r="159" spans="1:5" ht="15.75">
      <c r="A159" s="24" t="s">
        <v>409</v>
      </c>
      <c r="B159" s="24"/>
      <c r="C159" s="23">
        <f>+C127+C131+C138-C61</f>
        <v>0</v>
      </c>
      <c r="D159" s="23">
        <f>+D127+D132+D138-D61</f>
        <v>0.030000000027939677</v>
      </c>
      <c r="E159" s="23">
        <f>+C159+D159</f>
        <v>0.030000000027939677</v>
      </c>
    </row>
    <row r="160" spans="1:6" ht="15.75">
      <c r="A160" s="24" t="s">
        <v>410</v>
      </c>
      <c r="B160" s="24"/>
      <c r="C160" s="23">
        <f>+C128+C139-C59+C129+C130</f>
        <v>0</v>
      </c>
      <c r="D160" s="23">
        <f>+D128+D139-D59+D129+D130</f>
        <v>0</v>
      </c>
      <c r="E160" s="23">
        <f>+C160+D160</f>
        <v>0</v>
      </c>
      <c r="F160" s="85">
        <f>+E160+E159</f>
        <v>0.030000000027939677</v>
      </c>
    </row>
    <row r="161" spans="1:6" ht="15.75">
      <c r="A161" s="12"/>
      <c r="B161" s="12"/>
      <c r="C161" s="13"/>
      <c r="D161" s="13"/>
      <c r="E161" s="84"/>
      <c r="F161" s="85"/>
    </row>
    <row r="162" spans="1:5" ht="15.75">
      <c r="A162" s="87" t="s">
        <v>411</v>
      </c>
      <c r="B162" s="12"/>
      <c r="C162" s="13">
        <f>+C154-C76</f>
        <v>0</v>
      </c>
      <c r="D162" s="13">
        <f>+D154-D76</f>
        <v>0.030000000027939677</v>
      </c>
      <c r="E162" s="13">
        <f>+E154-E76</f>
        <v>0.03000000026077032</v>
      </c>
    </row>
    <row r="163" spans="1:5" ht="15.75">
      <c r="A163" s="12"/>
      <c r="B163" s="12"/>
      <c r="C163" s="13"/>
      <c r="D163" s="13"/>
      <c r="E163" s="84"/>
    </row>
    <row r="164" spans="1:5" ht="15.75">
      <c r="A164" s="12"/>
      <c r="B164" s="12"/>
      <c r="C164" s="13"/>
      <c r="D164" s="13"/>
      <c r="E164" s="84"/>
    </row>
    <row r="165" spans="1:5" ht="15.75">
      <c r="A165" s="12"/>
      <c r="B165" s="12"/>
      <c r="C165" s="13"/>
      <c r="D165" s="13"/>
      <c r="E165" s="84"/>
    </row>
    <row r="166" spans="1:5" ht="15.75">
      <c r="A166" s="12"/>
      <c r="B166" s="12"/>
      <c r="C166" s="13"/>
      <c r="D166" s="13"/>
      <c r="E166" s="84"/>
    </row>
    <row r="167" spans="1:5" ht="15.75">
      <c r="A167" s="12"/>
      <c r="B167" s="12"/>
      <c r="C167" s="13"/>
      <c r="D167" s="13"/>
      <c r="E167" s="84"/>
    </row>
    <row r="168" spans="1:5" ht="15.75">
      <c r="A168" s="12"/>
      <c r="B168" s="12"/>
      <c r="C168" s="13"/>
      <c r="D168" s="13"/>
      <c r="E168" s="84"/>
    </row>
    <row r="169" spans="1:5" ht="15.75">
      <c r="A169" s="12"/>
      <c r="B169" s="12"/>
      <c r="C169" s="13"/>
      <c r="D169" s="13"/>
      <c r="E169" s="84"/>
    </row>
    <row r="170" spans="1:5" ht="15.75">
      <c r="A170" s="12"/>
      <c r="B170" s="12"/>
      <c r="C170" s="13"/>
      <c r="D170" s="13"/>
      <c r="E170" s="84"/>
    </row>
    <row r="171" spans="1:5" ht="15.75">
      <c r="A171" s="12"/>
      <c r="B171" s="12"/>
      <c r="C171" s="13"/>
      <c r="D171" s="13"/>
      <c r="E171" s="84"/>
    </row>
    <row r="172" spans="1:5" ht="15.75">
      <c r="A172" s="12"/>
      <c r="B172" s="12"/>
      <c r="C172" s="13"/>
      <c r="D172" s="13"/>
      <c r="E172" s="84"/>
    </row>
    <row r="173" spans="1:5" ht="15.75">
      <c r="A173" s="12"/>
      <c r="B173" s="12"/>
      <c r="C173" s="13"/>
      <c r="D173" s="13"/>
      <c r="E173" s="84"/>
    </row>
    <row r="174" spans="1:5" ht="15.75">
      <c r="A174" s="12"/>
      <c r="B174" s="12"/>
      <c r="C174" s="13"/>
      <c r="D174" s="13"/>
      <c r="E174" s="84"/>
    </row>
    <row r="175" spans="1:5" ht="15.75">
      <c r="A175" s="12"/>
      <c r="B175" s="12"/>
      <c r="C175" s="13"/>
      <c r="D175" s="13"/>
      <c r="E175" s="84"/>
    </row>
    <row r="176" spans="1:5" ht="15.75">
      <c r="A176" s="12"/>
      <c r="B176" s="12"/>
      <c r="C176" s="13"/>
      <c r="D176" s="13"/>
      <c r="E176" s="84"/>
    </row>
    <row r="177" spans="1:5" ht="15.75">
      <c r="A177" s="12"/>
      <c r="B177" s="12"/>
      <c r="C177" s="13"/>
      <c r="D177" s="13"/>
      <c r="E177" s="84"/>
    </row>
    <row r="178" spans="1:5" ht="15.75">
      <c r="A178" s="12"/>
      <c r="B178" s="12"/>
      <c r="C178" s="13"/>
      <c r="D178" s="13"/>
      <c r="E178" s="84"/>
    </row>
    <row r="179" spans="1:5" ht="15.75">
      <c r="A179" s="12"/>
      <c r="B179" s="12"/>
      <c r="C179" s="13"/>
      <c r="D179" s="13"/>
      <c r="E179" s="84"/>
    </row>
    <row r="180" spans="1:5" ht="15.75">
      <c r="A180" s="12"/>
      <c r="B180" s="12"/>
      <c r="C180" s="13"/>
      <c r="D180" s="13"/>
      <c r="E180" s="84"/>
    </row>
    <row r="181" spans="1:5" ht="15.75">
      <c r="A181" s="12"/>
      <c r="B181" s="12"/>
      <c r="C181" s="13"/>
      <c r="D181" s="13"/>
      <c r="E181" s="84"/>
    </row>
    <row r="182" spans="1:5" ht="15.75">
      <c r="A182" s="12"/>
      <c r="B182" s="12"/>
      <c r="C182" s="13"/>
      <c r="D182" s="13"/>
      <c r="E182" s="84"/>
    </row>
    <row r="183" spans="1:5" ht="15.75">
      <c r="A183" s="12"/>
      <c r="B183" s="12"/>
      <c r="C183" s="13"/>
      <c r="D183" s="13"/>
      <c r="E183" s="84"/>
    </row>
    <row r="184" spans="1:5" ht="15.75">
      <c r="A184" s="12"/>
      <c r="B184" s="12"/>
      <c r="C184" s="13"/>
      <c r="D184" s="13"/>
      <c r="E184" s="84"/>
    </row>
    <row r="185" spans="1:5" ht="15.75">
      <c r="A185" s="12"/>
      <c r="B185" s="12"/>
      <c r="C185" s="13"/>
      <c r="D185" s="13"/>
      <c r="E185" s="84"/>
    </row>
    <row r="186" spans="1:5" ht="15.75">
      <c r="A186" s="12"/>
      <c r="B186" s="12"/>
      <c r="C186" s="13"/>
      <c r="D186" s="13"/>
      <c r="E186" s="84"/>
    </row>
    <row r="187" spans="1:5" ht="15.75">
      <c r="A187" s="12"/>
      <c r="B187" s="12"/>
      <c r="C187" s="13"/>
      <c r="D187" s="13"/>
      <c r="E187" s="84"/>
    </row>
    <row r="188" spans="1:5" ht="15.75">
      <c r="A188" s="12"/>
      <c r="B188" s="12"/>
      <c r="C188" s="13"/>
      <c r="D188" s="13"/>
      <c r="E188" s="84"/>
    </row>
    <row r="189" spans="1:5" ht="15.75">
      <c r="A189" s="12"/>
      <c r="B189" s="12"/>
      <c r="C189" s="13"/>
      <c r="D189" s="13"/>
      <c r="E189" s="84"/>
    </row>
    <row r="190" spans="1:5" ht="15.75">
      <c r="A190" s="12"/>
      <c r="B190" s="12"/>
      <c r="C190" s="13"/>
      <c r="D190" s="13"/>
      <c r="E190" s="84"/>
    </row>
    <row r="191" spans="1:5" ht="15.75">
      <c r="A191" s="12"/>
      <c r="B191" s="12"/>
      <c r="C191" s="13"/>
      <c r="D191" s="13"/>
      <c r="E191" s="84"/>
    </row>
    <row r="192" spans="1:5" ht="15.75">
      <c r="A192" s="12"/>
      <c r="B192" s="12"/>
      <c r="C192" s="13"/>
      <c r="D192" s="13"/>
      <c r="E192" s="84"/>
    </row>
    <row r="193" spans="1:5" ht="15.75">
      <c r="A193" s="12"/>
      <c r="B193" s="12"/>
      <c r="C193" s="13"/>
      <c r="D193" s="13"/>
      <c r="E193" s="84"/>
    </row>
    <row r="194" spans="1:5" ht="15.75">
      <c r="A194" s="12"/>
      <c r="B194" s="12"/>
      <c r="C194" s="13"/>
      <c r="D194" s="13"/>
      <c r="E194" s="84"/>
    </row>
    <row r="195" spans="1:5" ht="15.75">
      <c r="A195" s="12"/>
      <c r="B195" s="12"/>
      <c r="C195" s="13"/>
      <c r="D195" s="13"/>
      <c r="E195" s="84"/>
    </row>
    <row r="196" spans="1:5" ht="15.75">
      <c r="A196" s="12"/>
      <c r="B196" s="12"/>
      <c r="C196" s="13"/>
      <c r="D196" s="13"/>
      <c r="E196" s="84"/>
    </row>
    <row r="197" spans="1:5" ht="15.75">
      <c r="A197" s="12"/>
      <c r="B197" s="12"/>
      <c r="C197" s="13"/>
      <c r="D197" s="13"/>
      <c r="E197" s="84"/>
    </row>
    <row r="198" spans="1:5" ht="15.75">
      <c r="A198" s="12"/>
      <c r="B198" s="12"/>
      <c r="C198" s="13"/>
      <c r="D198" s="13"/>
      <c r="E198" s="84"/>
    </row>
    <row r="199" spans="1:5" ht="15.75">
      <c r="A199" s="12"/>
      <c r="B199" s="12"/>
      <c r="C199" s="13"/>
      <c r="D199" s="13"/>
      <c r="E199" s="84"/>
    </row>
    <row r="200" spans="1:5" ht="15.75">
      <c r="A200" s="12"/>
      <c r="B200" s="12"/>
      <c r="C200" s="13"/>
      <c r="D200" s="13"/>
      <c r="E200" s="84"/>
    </row>
    <row r="201" spans="1:5" ht="15.75">
      <c r="A201" s="12"/>
      <c r="B201" s="12"/>
      <c r="C201" s="13"/>
      <c r="D201" s="13"/>
      <c r="E201" s="84"/>
    </row>
    <row r="202" spans="1:5" ht="15.75">
      <c r="A202" s="12"/>
      <c r="B202" s="12"/>
      <c r="C202" s="13"/>
      <c r="D202" s="13"/>
      <c r="E202" s="84"/>
    </row>
    <row r="203" spans="1:5" ht="15.75">
      <c r="A203" s="12"/>
      <c r="B203" s="12"/>
      <c r="C203" s="13"/>
      <c r="D203" s="13"/>
      <c r="E203" s="84"/>
    </row>
    <row r="204" spans="1:5" ht="15.75">
      <c r="A204" s="12"/>
      <c r="B204" s="12"/>
      <c r="C204" s="13"/>
      <c r="D204" s="13"/>
      <c r="E204" s="84"/>
    </row>
    <row r="205" spans="1:5" ht="15.75">
      <c r="A205" s="12"/>
      <c r="B205" s="12"/>
      <c r="C205" s="13"/>
      <c r="D205" s="13"/>
      <c r="E205" s="84"/>
    </row>
    <row r="206" spans="1:5" ht="15.75">
      <c r="A206" s="12"/>
      <c r="B206" s="12"/>
      <c r="C206" s="13"/>
      <c r="D206" s="13"/>
      <c r="E206" s="84"/>
    </row>
    <row r="207" spans="1:5" ht="15.75">
      <c r="A207" s="12"/>
      <c r="B207" s="12"/>
      <c r="C207" s="13"/>
      <c r="D207" s="13"/>
      <c r="E207" s="84"/>
    </row>
    <row r="208" spans="1:5" ht="15.75">
      <c r="A208" s="12"/>
      <c r="B208" s="12"/>
      <c r="C208" s="13"/>
      <c r="D208" s="13"/>
      <c r="E208" s="84"/>
    </row>
    <row r="209" spans="1:5" ht="15.75">
      <c r="A209" s="12"/>
      <c r="B209" s="12"/>
      <c r="C209" s="13"/>
      <c r="D209" s="13"/>
      <c r="E209" s="84"/>
    </row>
    <row r="210" spans="1:5" ht="15.75">
      <c r="A210" s="12"/>
      <c r="B210" s="12"/>
      <c r="C210" s="13"/>
      <c r="D210" s="13"/>
      <c r="E210" s="84"/>
    </row>
    <row r="211" spans="1:5" ht="15.75">
      <c r="A211" s="12"/>
      <c r="B211" s="12"/>
      <c r="C211" s="13"/>
      <c r="D211" s="13"/>
      <c r="E211" s="84"/>
    </row>
    <row r="212" spans="1:5" ht="15.75">
      <c r="A212" s="12"/>
      <c r="B212" s="12"/>
      <c r="C212" s="13"/>
      <c r="D212" s="13"/>
      <c r="E212" s="84"/>
    </row>
    <row r="213" spans="1:5" ht="15.75">
      <c r="A213" s="12"/>
      <c r="B213" s="12"/>
      <c r="C213" s="13"/>
      <c r="D213" s="13"/>
      <c r="E213" s="84"/>
    </row>
    <row r="214" spans="1:5" ht="15.75">
      <c r="A214" s="12"/>
      <c r="B214" s="12"/>
      <c r="C214" s="13"/>
      <c r="D214" s="13"/>
      <c r="E214" s="84"/>
    </row>
    <row r="215" spans="1:5" ht="15.75">
      <c r="A215" s="12"/>
      <c r="B215" s="12"/>
      <c r="C215" s="13"/>
      <c r="D215" s="13"/>
      <c r="E215" s="84"/>
    </row>
    <row r="216" spans="1:5" ht="15.75">
      <c r="A216" s="12"/>
      <c r="B216" s="12"/>
      <c r="C216" s="12"/>
      <c r="D216" s="12"/>
      <c r="E216" s="25"/>
    </row>
    <row r="217" spans="1:5" ht="15.75">
      <c r="A217" s="12"/>
      <c r="B217" s="12"/>
      <c r="C217" s="12"/>
      <c r="D217" s="12"/>
      <c r="E217" s="25"/>
    </row>
    <row r="218" spans="1:5" ht="15.75">
      <c r="A218" s="12"/>
      <c r="B218" s="12"/>
      <c r="C218" s="12"/>
      <c r="D218" s="12"/>
      <c r="E218" s="25"/>
    </row>
    <row r="219" spans="1:5" ht="15.75">
      <c r="A219" s="12"/>
      <c r="B219" s="12"/>
      <c r="C219" s="12"/>
      <c r="D219" s="12"/>
      <c r="E219" s="25"/>
    </row>
    <row r="220" spans="1:5" ht="15.75">
      <c r="A220" s="12"/>
      <c r="B220" s="12"/>
      <c r="C220" s="12"/>
      <c r="D220" s="12"/>
      <c r="E220" s="25"/>
    </row>
    <row r="221" spans="1:5" ht="15.75">
      <c r="A221" s="12"/>
      <c r="B221" s="12"/>
      <c r="C221" s="12"/>
      <c r="D221" s="12"/>
      <c r="E221" s="25"/>
    </row>
    <row r="222" spans="1:5" ht="15.75">
      <c r="A222" s="12"/>
      <c r="B222" s="12"/>
      <c r="C222" s="12"/>
      <c r="D222" s="12"/>
      <c r="E222" s="25"/>
    </row>
    <row r="223" spans="1:5" ht="15.75">
      <c r="A223" s="12"/>
      <c r="B223" s="12"/>
      <c r="C223" s="12"/>
      <c r="D223" s="12"/>
      <c r="E223" s="25"/>
    </row>
    <row r="224" spans="1:5" ht="15.75">
      <c r="A224" s="12"/>
      <c r="B224" s="12"/>
      <c r="C224" s="12"/>
      <c r="D224" s="12"/>
      <c r="E224" s="25"/>
    </row>
    <row r="225" spans="1:5" ht="15.75">
      <c r="A225" s="12"/>
      <c r="B225" s="12"/>
      <c r="C225" s="12"/>
      <c r="D225" s="12"/>
      <c r="E225" s="25"/>
    </row>
    <row r="226" spans="1:5" ht="15.75">
      <c r="A226" s="12"/>
      <c r="B226" s="12"/>
      <c r="C226" s="12"/>
      <c r="D226" s="12"/>
      <c r="E226" s="25"/>
    </row>
    <row r="227" spans="1:5" ht="15.75">
      <c r="A227" s="12"/>
      <c r="B227" s="12"/>
      <c r="C227" s="12"/>
      <c r="D227" s="12"/>
      <c r="E227" s="25"/>
    </row>
    <row r="228" spans="1:5" ht="15.75">
      <c r="A228" s="12"/>
      <c r="B228" s="12"/>
      <c r="C228" s="12"/>
      <c r="D228" s="12"/>
      <c r="E228" s="25"/>
    </row>
    <row r="229" spans="1:5" ht="15.75">
      <c r="A229" s="12"/>
      <c r="B229" s="12"/>
      <c r="C229" s="12"/>
      <c r="D229" s="12"/>
      <c r="E229" s="25"/>
    </row>
    <row r="230" spans="1:5" ht="15.75">
      <c r="A230" s="12"/>
      <c r="B230" s="12"/>
      <c r="C230" s="12"/>
      <c r="D230" s="12"/>
      <c r="E230" s="25"/>
    </row>
    <row r="231" spans="1:5" ht="15.75">
      <c r="A231" s="12"/>
      <c r="B231" s="12"/>
      <c r="C231" s="12"/>
      <c r="D231" s="12"/>
      <c r="E231" s="25"/>
    </row>
    <row r="232" spans="1:5" ht="15.75">
      <c r="A232" s="12"/>
      <c r="B232" s="12"/>
      <c r="C232" s="12"/>
      <c r="D232" s="12"/>
      <c r="E232" s="25"/>
    </row>
    <row r="233" spans="1:5" ht="15.75">
      <c r="A233" s="12"/>
      <c r="B233" s="12"/>
      <c r="C233" s="12"/>
      <c r="D233" s="12"/>
      <c r="E233" s="25"/>
    </row>
    <row r="234" spans="1:5" ht="15.75">
      <c r="A234" s="12"/>
      <c r="B234" s="12"/>
      <c r="C234" s="12"/>
      <c r="D234" s="12"/>
      <c r="E234" s="25"/>
    </row>
    <row r="235" spans="1:5" ht="15.75">
      <c r="A235" s="12"/>
      <c r="B235" s="12"/>
      <c r="C235" s="12"/>
      <c r="D235" s="12"/>
      <c r="E235" s="25"/>
    </row>
    <row r="236" spans="1:5" ht="15.75">
      <c r="A236" s="12"/>
      <c r="B236" s="12"/>
      <c r="C236" s="12"/>
      <c r="D236" s="12"/>
      <c r="E236" s="25"/>
    </row>
    <row r="237" spans="1:5" ht="15.75">
      <c r="A237" s="12"/>
      <c r="B237" s="12"/>
      <c r="C237" s="12"/>
      <c r="D237" s="12"/>
      <c r="E237" s="25"/>
    </row>
    <row r="238" spans="1:5" ht="15.75">
      <c r="A238" s="12"/>
      <c r="B238" s="12"/>
      <c r="C238" s="12"/>
      <c r="D238" s="12"/>
      <c r="E238" s="25"/>
    </row>
    <row r="239" spans="1:5" ht="15.75">
      <c r="A239" s="12"/>
      <c r="B239" s="12"/>
      <c r="C239" s="12"/>
      <c r="D239" s="12"/>
      <c r="E239" s="25"/>
    </row>
    <row r="240" spans="1:5" ht="15.75">
      <c r="A240" s="12"/>
      <c r="B240" s="12"/>
      <c r="C240" s="12"/>
      <c r="D240" s="12"/>
      <c r="E240" s="25"/>
    </row>
    <row r="241" spans="1:5" ht="15.75">
      <c r="A241" s="12"/>
      <c r="B241" s="12"/>
      <c r="C241" s="12"/>
      <c r="D241" s="12"/>
      <c r="E241" s="25"/>
    </row>
    <row r="242" spans="1:5" ht="15.75">
      <c r="A242" s="12"/>
      <c r="B242" s="12"/>
      <c r="C242" s="12"/>
      <c r="D242" s="12"/>
      <c r="E242" s="25"/>
    </row>
    <row r="243" spans="1:5" ht="15.75">
      <c r="A243" s="12"/>
      <c r="B243" s="12"/>
      <c r="C243" s="12"/>
      <c r="D243" s="12"/>
      <c r="E243" s="25"/>
    </row>
    <row r="244" spans="1:5" ht="15.75">
      <c r="A244" s="12"/>
      <c r="B244" s="12"/>
      <c r="C244" s="12"/>
      <c r="D244" s="12"/>
      <c r="E244" s="25"/>
    </row>
    <row r="245" spans="1:5" ht="15.75">
      <c r="A245" s="12"/>
      <c r="B245" s="12"/>
      <c r="C245" s="12"/>
      <c r="D245" s="12"/>
      <c r="E245" s="25"/>
    </row>
    <row r="246" spans="1:5" ht="15.75">
      <c r="A246" s="12"/>
      <c r="B246" s="12"/>
      <c r="C246" s="12"/>
      <c r="D246" s="12"/>
      <c r="E246" s="25"/>
    </row>
    <row r="247" spans="1:5" ht="15.75">
      <c r="A247" s="12"/>
      <c r="B247" s="12"/>
      <c r="C247" s="12"/>
      <c r="D247" s="12"/>
      <c r="E247" s="25"/>
    </row>
    <row r="248" spans="1:5" ht="15.75">
      <c r="A248" s="12"/>
      <c r="B248" s="12"/>
      <c r="C248" s="12"/>
      <c r="D248" s="12"/>
      <c r="E248" s="25"/>
    </row>
    <row r="249" spans="1:5" ht="15.75">
      <c r="A249" s="12"/>
      <c r="B249" s="12"/>
      <c r="C249" s="12"/>
      <c r="D249" s="12"/>
      <c r="E249" s="25"/>
    </row>
    <row r="250" spans="1:5" ht="15.75">
      <c r="A250" s="12"/>
      <c r="B250" s="12"/>
      <c r="C250" s="12"/>
      <c r="D250" s="12"/>
      <c r="E250" s="25"/>
    </row>
    <row r="251" spans="1:5" ht="15.75">
      <c r="A251" s="12"/>
      <c r="B251" s="12"/>
      <c r="C251" s="12"/>
      <c r="D251" s="12"/>
      <c r="E251" s="25"/>
    </row>
    <row r="252" spans="1:5" ht="15.75">
      <c r="A252" s="12"/>
      <c r="B252" s="12"/>
      <c r="C252" s="12"/>
      <c r="D252" s="12"/>
      <c r="E252" s="25"/>
    </row>
    <row r="253" spans="1:5" ht="15.75">
      <c r="A253" s="12"/>
      <c r="B253" s="12"/>
      <c r="C253" s="12"/>
      <c r="D253" s="12"/>
      <c r="E253" s="25"/>
    </row>
    <row r="254" spans="1:5" ht="15.75">
      <c r="A254" s="12"/>
      <c r="B254" s="12"/>
      <c r="C254" s="12"/>
      <c r="D254" s="12"/>
      <c r="E254" s="25"/>
    </row>
    <row r="255" spans="1:5" ht="15.75">
      <c r="A255" s="12"/>
      <c r="B255" s="12"/>
      <c r="C255" s="12"/>
      <c r="D255" s="12"/>
      <c r="E255" s="25"/>
    </row>
    <row r="256" spans="1:5" ht="15.75">
      <c r="A256" s="12"/>
      <c r="B256" s="12"/>
      <c r="C256" s="12"/>
      <c r="D256" s="12"/>
      <c r="E256" s="25"/>
    </row>
    <row r="257" spans="1:5" ht="15.75">
      <c r="A257" s="12"/>
      <c r="B257" s="12"/>
      <c r="C257" s="12"/>
      <c r="D257" s="12"/>
      <c r="E257" s="25"/>
    </row>
    <row r="258" spans="1:5" ht="15.75">
      <c r="A258" s="12"/>
      <c r="B258" s="12"/>
      <c r="C258" s="12"/>
      <c r="D258" s="12"/>
      <c r="E258" s="25"/>
    </row>
    <row r="259" spans="1:5" ht="15.75">
      <c r="A259" s="12"/>
      <c r="B259" s="12"/>
      <c r="C259" s="12"/>
      <c r="D259" s="12"/>
      <c r="E259" s="25"/>
    </row>
    <row r="260" spans="1:5" ht="15.75">
      <c r="A260" s="12"/>
      <c r="B260" s="12"/>
      <c r="C260" s="12"/>
      <c r="D260" s="12"/>
      <c r="E260" s="25"/>
    </row>
    <row r="261" spans="1:5" ht="15.75">
      <c r="A261" s="12"/>
      <c r="B261" s="12"/>
      <c r="C261" s="12"/>
      <c r="D261" s="12"/>
      <c r="E261" s="25"/>
    </row>
    <row r="262" spans="1:5" ht="15.75">
      <c r="A262" s="12"/>
      <c r="B262" s="12"/>
      <c r="C262" s="12"/>
      <c r="D262" s="12"/>
      <c r="E262" s="25"/>
    </row>
    <row r="263" spans="1:5" ht="15.75">
      <c r="A263" s="12"/>
      <c r="B263" s="12"/>
      <c r="C263" s="12"/>
      <c r="D263" s="12"/>
      <c r="E263" s="25"/>
    </row>
    <row r="264" spans="1:5" ht="15.75">
      <c r="A264" s="12"/>
      <c r="B264" s="12"/>
      <c r="C264" s="12"/>
      <c r="D264" s="12"/>
      <c r="E264" s="25"/>
    </row>
    <row r="265" spans="1:5" ht="15.75">
      <c r="A265" s="12"/>
      <c r="B265" s="12"/>
      <c r="C265" s="12"/>
      <c r="D265" s="12"/>
      <c r="E265" s="25"/>
    </row>
    <row r="266" spans="1:5" ht="15.75">
      <c r="A266" s="12"/>
      <c r="B266" s="12"/>
      <c r="C266" s="12"/>
      <c r="D266" s="12"/>
      <c r="E266" s="25"/>
    </row>
    <row r="267" spans="1:5" ht="15.75">
      <c r="A267" s="12"/>
      <c r="B267" s="12"/>
      <c r="C267" s="12"/>
      <c r="D267" s="12"/>
      <c r="E267" s="25"/>
    </row>
    <row r="268" spans="1:5" ht="15.75">
      <c r="A268" s="12"/>
      <c r="B268" s="12"/>
      <c r="C268" s="12"/>
      <c r="D268" s="12"/>
      <c r="E268" s="25"/>
    </row>
    <row r="269" spans="1:5" ht="15.75">
      <c r="A269" s="12"/>
      <c r="B269" s="12"/>
      <c r="C269" s="12"/>
      <c r="D269" s="12"/>
      <c r="E269" s="25"/>
    </row>
    <row r="270" spans="1:5" ht="15.75">
      <c r="A270" s="12"/>
      <c r="B270" s="12"/>
      <c r="C270" s="12"/>
      <c r="D270" s="12"/>
      <c r="E270" s="25"/>
    </row>
    <row r="271" spans="1:5" ht="15.75">
      <c r="A271" s="12"/>
      <c r="B271" s="12"/>
      <c r="C271" s="12"/>
      <c r="D271" s="12"/>
      <c r="E271" s="25"/>
    </row>
    <row r="272" spans="1:5" ht="15.75">
      <c r="A272" s="12"/>
      <c r="B272" s="12"/>
      <c r="C272" s="12"/>
      <c r="D272" s="12"/>
      <c r="E272" s="25"/>
    </row>
    <row r="273" spans="1:5" ht="15.75">
      <c r="A273" s="12"/>
      <c r="B273" s="12"/>
      <c r="C273" s="12"/>
      <c r="D273" s="12"/>
      <c r="E273" s="25"/>
    </row>
    <row r="274" spans="1:5" ht="15.75">
      <c r="A274" s="12"/>
      <c r="B274" s="12"/>
      <c r="C274" s="12"/>
      <c r="D274" s="12"/>
      <c r="E274" s="25"/>
    </row>
    <row r="275" spans="1:5" ht="15.75">
      <c r="A275" s="12"/>
      <c r="B275" s="12"/>
      <c r="C275" s="12"/>
      <c r="D275" s="12"/>
      <c r="E275" s="25"/>
    </row>
    <row r="276" spans="1:5" ht="15.75">
      <c r="A276" s="12"/>
      <c r="B276" s="12"/>
      <c r="C276" s="12"/>
      <c r="D276" s="12"/>
      <c r="E276" s="25"/>
    </row>
    <row r="277" spans="1:5" ht="15.75">
      <c r="A277" s="12"/>
      <c r="B277" s="12"/>
      <c r="C277" s="12"/>
      <c r="D277" s="12"/>
      <c r="E277" s="25"/>
    </row>
    <row r="278" spans="1:5" ht="15.75">
      <c r="A278" s="12"/>
      <c r="B278" s="12"/>
      <c r="C278" s="12"/>
      <c r="D278" s="12"/>
      <c r="E278" s="25"/>
    </row>
    <row r="279" spans="1:5" ht="15.75">
      <c r="A279" s="12"/>
      <c r="B279" s="12"/>
      <c r="C279" s="12"/>
      <c r="D279" s="12"/>
      <c r="E279" s="25"/>
    </row>
    <row r="280" spans="1:5" ht="15.75">
      <c r="A280" s="12"/>
      <c r="B280" s="12"/>
      <c r="C280" s="12"/>
      <c r="D280" s="12"/>
      <c r="E280" s="25"/>
    </row>
    <row r="281" spans="1:5" ht="15.75">
      <c r="A281" s="12"/>
      <c r="B281" s="12"/>
      <c r="C281" s="12"/>
      <c r="D281" s="12"/>
      <c r="E281" s="25"/>
    </row>
  </sheetData>
  <sheetProtection selectLockedCells="1" selectUnlockedCells="1"/>
  <mergeCells count="2">
    <mergeCell ref="C5:E5"/>
    <mergeCell ref="C78:E78"/>
  </mergeCells>
  <printOptions horizontalCentered="1"/>
  <pageMargins left="0.5201388888888889" right="0.39375" top="0.5" bottom="0.5118055555555555" header="0.5118055555555555" footer="0.31527777777777777"/>
  <pageSetup horizontalDpi="300" verticalDpi="300" orientation="portrait" paperSize="9" scale="55" r:id="rId3"/>
  <headerFooter alignWithMargins="0">
    <oddFooter>&amp;R&amp;P</oddFooter>
  </headerFooter>
  <rowBreaks count="1" manualBreakCount="1">
    <brk id="7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0.421875" style="88" customWidth="1"/>
    <col min="2" max="2" width="67.57421875" style="12" customWidth="1"/>
    <col min="3" max="3" width="7.8515625" style="12" customWidth="1"/>
    <col min="4" max="4" width="15.140625" style="12" customWidth="1"/>
    <col min="5" max="5" width="17.57421875" style="12" customWidth="1"/>
    <col min="6" max="16384" width="9.140625" style="12" customWidth="1"/>
  </cols>
  <sheetData>
    <row r="1" ht="15.75">
      <c r="D1" s="30" t="s">
        <v>412</v>
      </c>
    </row>
    <row r="2" ht="15.75">
      <c r="D2" s="14" t="s">
        <v>88</v>
      </c>
    </row>
    <row r="3" ht="15.75">
      <c r="D3" s="30"/>
    </row>
    <row r="4" spans="2:4" ht="24" customHeight="1">
      <c r="B4" s="32" t="s">
        <v>89</v>
      </c>
      <c r="C4" s="89"/>
      <c r="D4" s="89"/>
    </row>
    <row r="5" spans="2:4" ht="18.75">
      <c r="B5" s="32"/>
      <c r="C5" s="90"/>
      <c r="D5" s="90"/>
    </row>
    <row r="6" spans="2:4" ht="31.5">
      <c r="B6" s="36" t="s">
        <v>413</v>
      </c>
      <c r="C6" s="91"/>
      <c r="D6" s="91"/>
    </row>
    <row r="8" spans="2:5" ht="31.5">
      <c r="B8" s="17" t="s">
        <v>92</v>
      </c>
      <c r="C8" s="40" t="s">
        <v>119</v>
      </c>
      <c r="D8" s="92" t="s">
        <v>91</v>
      </c>
      <c r="E8" s="93"/>
    </row>
    <row r="9" spans="2:5" ht="15.75">
      <c r="B9" s="94" t="s">
        <v>414</v>
      </c>
      <c r="C9" s="46" t="s">
        <v>296</v>
      </c>
      <c r="D9" s="22">
        <v>45400</v>
      </c>
      <c r="E9" s="95"/>
    </row>
    <row r="10" spans="2:5" ht="15.75">
      <c r="B10" s="94" t="s">
        <v>415</v>
      </c>
      <c r="C10" s="46" t="s">
        <v>296</v>
      </c>
      <c r="D10" s="22"/>
      <c r="E10" s="95"/>
    </row>
    <row r="11" spans="2:5" ht="15.75">
      <c r="B11" s="94" t="s">
        <v>416</v>
      </c>
      <c r="C11" s="46" t="s">
        <v>296</v>
      </c>
      <c r="D11" s="22">
        <v>49400</v>
      </c>
      <c r="E11" s="95"/>
    </row>
    <row r="12" spans="2:5" ht="15.75">
      <c r="B12" s="94" t="s">
        <v>417</v>
      </c>
      <c r="C12" s="46" t="s">
        <v>296</v>
      </c>
      <c r="D12" s="22">
        <v>1950</v>
      </c>
      <c r="E12" s="95"/>
    </row>
    <row r="13" spans="1:5" s="100" customFormat="1" ht="15.75">
      <c r="A13" s="88"/>
      <c r="B13" s="96" t="s">
        <v>418</v>
      </c>
      <c r="C13" s="97" t="s">
        <v>296</v>
      </c>
      <c r="D13" s="98">
        <f>SUM(D9:D12)</f>
        <v>96750</v>
      </c>
      <c r="E13" s="99"/>
    </row>
    <row r="14" spans="2:5" ht="15.75">
      <c r="B14" s="94" t="s">
        <v>419</v>
      </c>
      <c r="C14" s="57" t="s">
        <v>420</v>
      </c>
      <c r="D14" s="22">
        <f>SUM(D15:D16)</f>
        <v>231400</v>
      </c>
      <c r="E14" s="95"/>
    </row>
    <row r="15" spans="2:6" ht="31.5">
      <c r="B15" s="101" t="s">
        <v>421</v>
      </c>
      <c r="C15" s="102" t="s">
        <v>420</v>
      </c>
      <c r="D15" s="103">
        <v>231400</v>
      </c>
      <c r="E15" s="95"/>
      <c r="F15" s="13"/>
    </row>
    <row r="16" spans="2:5" ht="31.5">
      <c r="B16" s="101" t="s">
        <v>422</v>
      </c>
      <c r="C16" s="102" t="s">
        <v>420</v>
      </c>
      <c r="D16" s="103"/>
      <c r="E16" s="95"/>
    </row>
    <row r="17" spans="2:5" ht="15.75">
      <c r="B17" s="104" t="s">
        <v>423</v>
      </c>
      <c r="C17" s="67" t="s">
        <v>424</v>
      </c>
      <c r="D17" s="22">
        <f>SUM(D18:D21)</f>
        <v>25600</v>
      </c>
      <c r="E17" s="95"/>
    </row>
    <row r="18" spans="2:5" ht="31.5">
      <c r="B18" s="101" t="s">
        <v>425</v>
      </c>
      <c r="C18" s="102" t="s">
        <v>424</v>
      </c>
      <c r="D18" s="103"/>
      <c r="E18" s="95"/>
    </row>
    <row r="19" spans="2:5" ht="31.5">
      <c r="B19" s="101" t="s">
        <v>426</v>
      </c>
      <c r="C19" s="102" t="s">
        <v>424</v>
      </c>
      <c r="D19" s="103">
        <f>64000*0.4</f>
        <v>25600</v>
      </c>
      <c r="E19" s="95"/>
    </row>
    <row r="20" spans="2:5" ht="15.75">
      <c r="B20" s="101" t="s">
        <v>427</v>
      </c>
      <c r="C20" s="102" t="s">
        <v>424</v>
      </c>
      <c r="D20" s="22"/>
      <c r="E20" s="13"/>
    </row>
    <row r="21" spans="2:5" ht="15.75">
      <c r="B21" s="101" t="s">
        <v>428</v>
      </c>
      <c r="C21" s="102" t="s">
        <v>424</v>
      </c>
      <c r="D21" s="22"/>
      <c r="E21" s="13"/>
    </row>
    <row r="22" spans="2:5" ht="15.75">
      <c r="B22" s="104" t="s">
        <v>429</v>
      </c>
      <c r="C22" s="67" t="s">
        <v>430</v>
      </c>
      <c r="D22" s="22">
        <f>SUM(D23:D24)</f>
        <v>450</v>
      </c>
      <c r="E22" s="13"/>
    </row>
    <row r="23" spans="2:5" ht="15.75">
      <c r="B23" s="101" t="s">
        <v>431</v>
      </c>
      <c r="C23" s="102" t="s">
        <v>430</v>
      </c>
      <c r="D23" s="103">
        <v>450</v>
      </c>
      <c r="E23" s="95"/>
    </row>
    <row r="24" spans="2:4" ht="15.75">
      <c r="B24" s="101" t="s">
        <v>432</v>
      </c>
      <c r="C24" s="102" t="s">
        <v>430</v>
      </c>
      <c r="D24" s="103"/>
    </row>
    <row r="25" spans="1:4" s="100" customFormat="1" ht="15.75">
      <c r="A25" s="88"/>
      <c r="B25" s="96" t="s">
        <v>433</v>
      </c>
      <c r="C25" s="97" t="s">
        <v>298</v>
      </c>
      <c r="D25" s="98">
        <f>+D22+D17+D14</f>
        <v>257450</v>
      </c>
    </row>
    <row r="26" spans="2:4" ht="15.75" hidden="1">
      <c r="B26" s="94" t="s">
        <v>434</v>
      </c>
      <c r="C26" s="46" t="s">
        <v>300</v>
      </c>
      <c r="D26" s="22"/>
    </row>
    <row r="27" spans="2:4" ht="15.75" hidden="1">
      <c r="B27" s="94" t="s">
        <v>435</v>
      </c>
      <c r="C27" s="46" t="s">
        <v>300</v>
      </c>
      <c r="D27" s="22"/>
    </row>
    <row r="28" spans="2:4" ht="15.75" hidden="1">
      <c r="B28" s="94" t="s">
        <v>436</v>
      </c>
      <c r="C28" s="46" t="s">
        <v>300</v>
      </c>
      <c r="D28" s="22"/>
    </row>
    <row r="29" spans="2:4" ht="15.75" hidden="1">
      <c r="B29" s="94" t="s">
        <v>437</v>
      </c>
      <c r="C29" s="46" t="s">
        <v>300</v>
      </c>
      <c r="D29" s="22"/>
    </row>
    <row r="30" spans="2:4" ht="15.75" hidden="1">
      <c r="B30" s="94" t="s">
        <v>438</v>
      </c>
      <c r="C30" s="46" t="s">
        <v>300</v>
      </c>
      <c r="D30" s="22"/>
    </row>
    <row r="31" spans="2:4" ht="15.75" hidden="1">
      <c r="B31" s="94" t="s">
        <v>439</v>
      </c>
      <c r="C31" s="46" t="s">
        <v>300</v>
      </c>
      <c r="D31" s="22"/>
    </row>
    <row r="32" spans="2:4" ht="15.75" hidden="1">
      <c r="B32" s="94" t="s">
        <v>440</v>
      </c>
      <c r="C32" s="46" t="s">
        <v>300</v>
      </c>
      <c r="D32" s="22"/>
    </row>
    <row r="33" spans="2:4" ht="15.75" hidden="1">
      <c r="B33" s="94" t="s">
        <v>441</v>
      </c>
      <c r="C33" s="46" t="s">
        <v>300</v>
      </c>
      <c r="D33" s="22"/>
    </row>
    <row r="34" spans="2:4" ht="39" customHeight="1">
      <c r="B34" s="94" t="s">
        <v>442</v>
      </c>
      <c r="C34" s="46" t="s">
        <v>300</v>
      </c>
      <c r="D34" s="22">
        <v>500</v>
      </c>
    </row>
    <row r="35" spans="2:5" ht="15.75">
      <c r="B35" s="94" t="s">
        <v>443</v>
      </c>
      <c r="C35" s="46" t="s">
        <v>300</v>
      </c>
      <c r="D35" s="22">
        <v>3000</v>
      </c>
      <c r="E35" s="93"/>
    </row>
    <row r="36" spans="1:5" s="100" customFormat="1" ht="15.75">
      <c r="A36" s="88"/>
      <c r="B36" s="96" t="s">
        <v>444</v>
      </c>
      <c r="C36" s="97" t="s">
        <v>300</v>
      </c>
      <c r="D36" s="98">
        <f>SUM(D26:D35)</f>
        <v>3500</v>
      </c>
      <c r="E36" s="105"/>
    </row>
    <row r="38" ht="15.75">
      <c r="D38" s="13"/>
    </row>
    <row r="39" spans="2:4" ht="31.5">
      <c r="B39" s="17" t="s">
        <v>92</v>
      </c>
      <c r="C39" s="40" t="s">
        <v>260</v>
      </c>
      <c r="D39" s="106" t="s">
        <v>445</v>
      </c>
    </row>
    <row r="40" spans="2:4" ht="15.75">
      <c r="B40" s="107" t="s">
        <v>446</v>
      </c>
      <c r="C40" s="57" t="s">
        <v>262</v>
      </c>
      <c r="D40" s="108">
        <v>137308</v>
      </c>
    </row>
    <row r="41" spans="2:4" ht="15.75">
      <c r="B41" s="107" t="s">
        <v>447</v>
      </c>
      <c r="C41" s="57" t="s">
        <v>262</v>
      </c>
      <c r="D41" s="108">
        <f>SUM(D42:D45)</f>
        <v>55756</v>
      </c>
    </row>
    <row r="42" spans="2:4" ht="31.5">
      <c r="B42" s="109" t="s">
        <v>448</v>
      </c>
      <c r="C42" s="57" t="s">
        <v>262</v>
      </c>
      <c r="D42" s="108">
        <v>10622</v>
      </c>
    </row>
    <row r="43" spans="2:4" ht="15.75">
      <c r="B43" s="109" t="s">
        <v>449</v>
      </c>
      <c r="C43" s="57" t="s">
        <v>262</v>
      </c>
      <c r="D43" s="108">
        <v>27520</v>
      </c>
    </row>
    <row r="44" spans="2:4" ht="15.75">
      <c r="B44" s="109" t="s">
        <v>450</v>
      </c>
      <c r="C44" s="57" t="s">
        <v>262</v>
      </c>
      <c r="D44" s="108">
        <v>100</v>
      </c>
    </row>
    <row r="45" spans="2:4" ht="15.75">
      <c r="B45" s="109" t="s">
        <v>451</v>
      </c>
      <c r="C45" s="57" t="s">
        <v>262</v>
      </c>
      <c r="D45" s="108">
        <v>17514</v>
      </c>
    </row>
    <row r="46" spans="2:4" ht="15.75">
      <c r="B46" s="107" t="s">
        <v>452</v>
      </c>
      <c r="C46" s="57" t="s">
        <v>262</v>
      </c>
      <c r="D46" s="108">
        <v>1029</v>
      </c>
    </row>
    <row r="47" spans="2:4" ht="15.75">
      <c r="B47" s="110" t="s">
        <v>453</v>
      </c>
      <c r="C47" s="57" t="s">
        <v>262</v>
      </c>
      <c r="D47" s="108">
        <v>47995</v>
      </c>
    </row>
    <row r="48" spans="1:4" s="113" customFormat="1" ht="31.5">
      <c r="A48" s="88"/>
      <c r="B48" s="111" t="s">
        <v>454</v>
      </c>
      <c r="C48" s="97" t="s">
        <v>262</v>
      </c>
      <c r="D48" s="112">
        <f>SUM(D40:D47)-D41</f>
        <v>242088</v>
      </c>
    </row>
    <row r="49" spans="1:4" s="25" customFormat="1" ht="15.75">
      <c r="A49" s="88"/>
      <c r="B49" s="114" t="s">
        <v>455</v>
      </c>
      <c r="C49" s="57" t="s">
        <v>264</v>
      </c>
      <c r="D49" s="108">
        <f>73629+34185+864</f>
        <v>108678</v>
      </c>
    </row>
    <row r="50" spans="1:4" s="25" customFormat="1" ht="15.75">
      <c r="A50" s="88"/>
      <c r="B50" s="114" t="s">
        <v>456</v>
      </c>
      <c r="C50" s="57" t="s">
        <v>264</v>
      </c>
      <c r="D50" s="108">
        <f>21600+9600</f>
        <v>31200</v>
      </c>
    </row>
    <row r="51" spans="1:4" s="25" customFormat="1" ht="15.75">
      <c r="A51" s="88"/>
      <c r="B51" s="114" t="s">
        <v>457</v>
      </c>
      <c r="C51" s="57" t="s">
        <v>264</v>
      </c>
      <c r="D51" s="108">
        <f>14140+6533</f>
        <v>20673</v>
      </c>
    </row>
    <row r="52" spans="1:4" s="25" customFormat="1" ht="15.75">
      <c r="A52" s="88"/>
      <c r="B52" s="114" t="s">
        <v>458</v>
      </c>
      <c r="C52" s="57" t="s">
        <v>264</v>
      </c>
      <c r="D52" s="108">
        <f>352+1286</f>
        <v>1638</v>
      </c>
    </row>
    <row r="53" spans="1:4" s="25" customFormat="1" ht="15.75">
      <c r="A53" s="88"/>
      <c r="B53" s="107" t="s">
        <v>459</v>
      </c>
      <c r="C53" s="57" t="s">
        <v>264</v>
      </c>
      <c r="D53" s="108">
        <v>108481</v>
      </c>
    </row>
    <row r="54" spans="1:4" s="113" customFormat="1" ht="31.5">
      <c r="A54" s="88"/>
      <c r="B54" s="96" t="s">
        <v>460</v>
      </c>
      <c r="C54" s="97" t="s">
        <v>264</v>
      </c>
      <c r="D54" s="112">
        <f>SUM(D49:D53)</f>
        <v>270670</v>
      </c>
    </row>
    <row r="55" spans="1:4" s="25" customFormat="1" ht="15.75">
      <c r="A55" s="88"/>
      <c r="B55" s="107" t="s">
        <v>461</v>
      </c>
      <c r="C55" s="57" t="s">
        <v>266</v>
      </c>
      <c r="D55" s="108">
        <v>4509</v>
      </c>
    </row>
    <row r="56" spans="1:4" s="25" customFormat="1" ht="15.75">
      <c r="A56" s="88"/>
      <c r="B56" s="107" t="s">
        <v>462</v>
      </c>
      <c r="C56" s="57" t="s">
        <v>266</v>
      </c>
      <c r="D56" s="108">
        <v>4509</v>
      </c>
    </row>
    <row r="57" spans="1:4" s="25" customFormat="1" ht="15.75">
      <c r="A57" s="88"/>
      <c r="B57" s="107" t="s">
        <v>463</v>
      </c>
      <c r="C57" s="57" t="s">
        <v>266</v>
      </c>
      <c r="D57" s="108">
        <v>11072</v>
      </c>
    </row>
    <row r="58" spans="1:4" s="25" customFormat="1" ht="15.75">
      <c r="A58" s="88"/>
      <c r="B58" s="107" t="s">
        <v>464</v>
      </c>
      <c r="C58" s="57" t="s">
        <v>266</v>
      </c>
      <c r="D58" s="108">
        <v>7250</v>
      </c>
    </row>
    <row r="59" spans="1:4" s="25" customFormat="1" ht="15.75">
      <c r="A59" s="88"/>
      <c r="B59" s="107" t="s">
        <v>465</v>
      </c>
      <c r="C59" s="57" t="s">
        <v>266</v>
      </c>
      <c r="D59" s="108">
        <v>3815</v>
      </c>
    </row>
    <row r="60" spans="1:4" s="25" customFormat="1" ht="15.75">
      <c r="A60" s="88"/>
      <c r="B60" s="107" t="s">
        <v>466</v>
      </c>
      <c r="C60" s="57" t="s">
        <v>266</v>
      </c>
      <c r="D60" s="108">
        <f>15317+2075</f>
        <v>17392</v>
      </c>
    </row>
    <row r="61" spans="1:4" s="25" customFormat="1" ht="15.75">
      <c r="A61" s="88"/>
      <c r="B61" s="107" t="s">
        <v>467</v>
      </c>
      <c r="C61" s="57" t="s">
        <v>266</v>
      </c>
      <c r="D61" s="108">
        <v>104242</v>
      </c>
    </row>
    <row r="62" spans="1:4" s="25" customFormat="1" ht="15.75">
      <c r="A62" s="88"/>
      <c r="B62" s="107" t="s">
        <v>468</v>
      </c>
      <c r="C62" s="57" t="s">
        <v>266</v>
      </c>
      <c r="D62" s="108">
        <v>65318</v>
      </c>
    </row>
    <row r="63" spans="1:4" s="25" customFormat="1" ht="15.75">
      <c r="A63" s="88"/>
      <c r="B63" s="107" t="s">
        <v>469</v>
      </c>
      <c r="C63" s="57" t="s">
        <v>266</v>
      </c>
      <c r="D63" s="108">
        <v>73195</v>
      </c>
    </row>
    <row r="64" spans="1:4" s="25" customFormat="1" ht="15.75">
      <c r="A64" s="88"/>
      <c r="B64" s="107" t="s">
        <v>470</v>
      </c>
      <c r="C64" s="57" t="s">
        <v>266</v>
      </c>
      <c r="D64" s="108">
        <v>65629</v>
      </c>
    </row>
    <row r="65" spans="1:4" s="25" customFormat="1" ht="15.75">
      <c r="A65" s="88"/>
      <c r="B65" s="110"/>
      <c r="C65" s="57"/>
      <c r="D65" s="108"/>
    </row>
    <row r="66" spans="1:4" s="100" customFormat="1" ht="31.5">
      <c r="A66" s="88"/>
      <c r="B66" s="96" t="s">
        <v>471</v>
      </c>
      <c r="C66" s="97" t="s">
        <v>266</v>
      </c>
      <c r="D66" s="112">
        <f>SUM(D55:D65)</f>
        <v>356931</v>
      </c>
    </row>
    <row r="67" spans="2:4" ht="15.75">
      <c r="B67" s="107" t="s">
        <v>472</v>
      </c>
      <c r="C67" s="57" t="s">
        <v>268</v>
      </c>
      <c r="D67" s="108">
        <v>13012</v>
      </c>
    </row>
    <row r="68" spans="1:4" s="100" customFormat="1" ht="31.5">
      <c r="A68" s="88"/>
      <c r="B68" s="96" t="s">
        <v>473</v>
      </c>
      <c r="C68" s="97" t="s">
        <v>268</v>
      </c>
      <c r="D68" s="112">
        <f>SUM(D67:D67)</f>
        <v>13012</v>
      </c>
    </row>
    <row r="69" spans="2:4" ht="15.75">
      <c r="B69" s="107" t="s">
        <v>474</v>
      </c>
      <c r="C69" s="57" t="s">
        <v>270</v>
      </c>
      <c r="D69" s="108">
        <v>0</v>
      </c>
    </row>
    <row r="70" spans="2:4" ht="15.75" hidden="1">
      <c r="B70" s="107" t="s">
        <v>475</v>
      </c>
      <c r="C70" s="57" t="s">
        <v>270</v>
      </c>
      <c r="D70" s="108"/>
    </row>
    <row r="71" spans="2:4" ht="15.75" hidden="1">
      <c r="B71" s="107" t="s">
        <v>476</v>
      </c>
      <c r="C71" s="57" t="s">
        <v>270</v>
      </c>
      <c r="D71" s="108"/>
    </row>
    <row r="72" spans="2:4" ht="15.75" hidden="1">
      <c r="B72" s="107" t="s">
        <v>477</v>
      </c>
      <c r="C72" s="57" t="s">
        <v>270</v>
      </c>
      <c r="D72" s="108"/>
    </row>
    <row r="73" spans="2:4" ht="15.75" hidden="1">
      <c r="B73" s="110" t="s">
        <v>478</v>
      </c>
      <c r="C73" s="57" t="s">
        <v>270</v>
      </c>
      <c r="D73" s="108"/>
    </row>
    <row r="74" spans="2:4" ht="15.75" hidden="1">
      <c r="B74" s="115" t="s">
        <v>479</v>
      </c>
      <c r="C74" s="57" t="s">
        <v>270</v>
      </c>
      <c r="D74" s="108"/>
    </row>
    <row r="75" spans="2:4" ht="15.75" hidden="1">
      <c r="B75" s="115" t="s">
        <v>480</v>
      </c>
      <c r="C75" s="57" t="s">
        <v>270</v>
      </c>
      <c r="D75" s="108"/>
    </row>
    <row r="76" spans="1:4" s="120" customFormat="1" ht="17.25" customHeight="1">
      <c r="A76" s="116"/>
      <c r="B76" s="117" t="s">
        <v>481</v>
      </c>
      <c r="C76" s="118" t="s">
        <v>270</v>
      </c>
      <c r="D76" s="119">
        <v>180671</v>
      </c>
    </row>
    <row r="77" spans="1:5" s="113" customFormat="1" ht="31.5">
      <c r="A77" s="88"/>
      <c r="B77" s="96" t="s">
        <v>482</v>
      </c>
      <c r="C77" s="97" t="s">
        <v>270</v>
      </c>
      <c r="D77" s="112">
        <f>SUM(D69:D76)</f>
        <v>180671</v>
      </c>
      <c r="E77" s="12"/>
    </row>
    <row r="78" spans="2:4" ht="15.75">
      <c r="B78" s="107"/>
      <c r="C78" s="57" t="s">
        <v>272</v>
      </c>
      <c r="D78" s="108"/>
    </row>
    <row r="79" spans="1:5" s="113" customFormat="1" ht="15.75">
      <c r="A79" s="88"/>
      <c r="B79" s="96" t="s">
        <v>483</v>
      </c>
      <c r="C79" s="97" t="s">
        <v>272</v>
      </c>
      <c r="D79" s="112">
        <f>SUM(D78:D78)</f>
        <v>0</v>
      </c>
      <c r="E79" s="12"/>
    </row>
    <row r="80" spans="1:5" s="100" customFormat="1" ht="15.75">
      <c r="A80" s="88"/>
      <c r="B80" s="121" t="s">
        <v>273</v>
      </c>
      <c r="C80" s="121" t="s">
        <v>274</v>
      </c>
      <c r="D80" s="98">
        <f>+D79+D77+D68+D66+D54+D48</f>
        <v>1063372</v>
      </c>
      <c r="E80" s="105"/>
    </row>
    <row r="81" ht="15.75">
      <c r="D81" s="122"/>
    </row>
    <row r="82" ht="15.75">
      <c r="D82" s="13"/>
    </row>
    <row r="83" ht="15.75">
      <c r="D83" s="123"/>
    </row>
    <row r="84" ht="15.75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ht="15.75">
      <c r="D90" s="13"/>
    </row>
    <row r="91" ht="15.75">
      <c r="D91" s="13"/>
    </row>
    <row r="92" ht="15.75">
      <c r="D92" s="13"/>
    </row>
  </sheetData>
  <sheetProtection selectLockedCells="1" selectUnlockedCells="1"/>
  <printOptions/>
  <pageMargins left="0.7083333333333334" right="0.43333333333333335" top="0.7479166666666667" bottom="0.7486111111111111" header="0.5118055555555555" footer="0.31527777777777777"/>
  <pageSetup horizontalDpi="300" verticalDpi="300" orientation="portrait" paperSize="9" scale="80" r:id="rId1"/>
  <headerFooter alignWithMargins="0">
    <oddFooter>&amp;R&amp;P</oddFoot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1.7109375" style="88" customWidth="1"/>
    <col min="2" max="2" width="87.57421875" style="12" customWidth="1"/>
    <col min="3" max="3" width="9.140625" style="12" customWidth="1"/>
    <col min="4" max="4" width="10.8515625" style="13" customWidth="1"/>
    <col min="5" max="5" width="12.57421875" style="13" customWidth="1"/>
    <col min="6" max="16384" width="9.140625" style="12" customWidth="1"/>
  </cols>
  <sheetData>
    <row r="1" ht="15.75">
      <c r="E1" s="30" t="s">
        <v>484</v>
      </c>
    </row>
    <row r="2" ht="15.75">
      <c r="E2" s="14" t="s">
        <v>88</v>
      </c>
    </row>
    <row r="3" ht="15.75">
      <c r="E3" s="30"/>
    </row>
    <row r="4" spans="2:4" ht="27" customHeight="1">
      <c r="B4" s="32" t="s">
        <v>89</v>
      </c>
      <c r="C4" s="34"/>
      <c r="D4" s="34"/>
    </row>
    <row r="5" spans="2:4" ht="15.75">
      <c r="B5" s="38"/>
      <c r="C5" s="37"/>
      <c r="D5" s="37"/>
    </row>
    <row r="6" spans="2:3" ht="12.75" customHeight="1">
      <c r="B6" s="403" t="s">
        <v>485</v>
      </c>
      <c r="C6" s="403"/>
    </row>
    <row r="7" spans="2:4" ht="15.75" customHeight="1">
      <c r="B7" s="36"/>
      <c r="C7" s="37"/>
      <c r="D7" s="125"/>
    </row>
    <row r="8" spans="4:5" ht="21" customHeight="1">
      <c r="D8" s="404" t="s">
        <v>91</v>
      </c>
      <c r="E8" s="404"/>
    </row>
    <row r="9" spans="2:5" ht="31.5">
      <c r="B9" s="17" t="s">
        <v>92</v>
      </c>
      <c r="C9" s="40" t="s">
        <v>119</v>
      </c>
      <c r="D9" s="78" t="s">
        <v>486</v>
      </c>
      <c r="E9" s="78" t="s">
        <v>487</v>
      </c>
    </row>
    <row r="10" spans="2:5" ht="15.75">
      <c r="B10" s="59"/>
      <c r="C10" s="57"/>
      <c r="D10" s="22"/>
      <c r="E10" s="22"/>
    </row>
    <row r="11" spans="2:5" ht="15.75">
      <c r="B11" s="59"/>
      <c r="C11" s="57"/>
      <c r="D11" s="22"/>
      <c r="E11" s="22"/>
    </row>
    <row r="12" spans="1:5" s="100" customFormat="1" ht="31.5">
      <c r="A12" s="88"/>
      <c r="B12" s="96" t="s">
        <v>488</v>
      </c>
      <c r="C12" s="97" t="s">
        <v>280</v>
      </c>
      <c r="D12" s="98">
        <f>SUM(D10:D11)</f>
        <v>0</v>
      </c>
      <c r="E12" s="98">
        <f>SUM(E10:E11)</f>
        <v>0</v>
      </c>
    </row>
    <row r="13" spans="2:5" ht="15.75">
      <c r="B13" s="59"/>
      <c r="C13" s="57"/>
      <c r="D13" s="22"/>
      <c r="E13" s="22"/>
    </row>
    <row r="14" spans="2:5" ht="15.75">
      <c r="B14" s="59"/>
      <c r="C14" s="57"/>
      <c r="D14" s="22"/>
      <c r="E14" s="22"/>
    </row>
    <row r="15" spans="1:5" s="100" customFormat="1" ht="31.5">
      <c r="A15" s="88"/>
      <c r="B15" s="96" t="s">
        <v>489</v>
      </c>
      <c r="C15" s="97" t="s">
        <v>282</v>
      </c>
      <c r="D15" s="98">
        <f>SUM(D13:D14)</f>
        <v>0</v>
      </c>
      <c r="E15" s="98">
        <f>SUM(E13:E14)</f>
        <v>0</v>
      </c>
    </row>
    <row r="16" spans="2:5" ht="15.75">
      <c r="B16" s="49"/>
      <c r="C16" s="58"/>
      <c r="D16" s="23"/>
      <c r="E16" s="22"/>
    </row>
    <row r="17" spans="2:6" ht="15.75">
      <c r="B17" s="126" t="s">
        <v>490</v>
      </c>
      <c r="C17" s="118" t="s">
        <v>491</v>
      </c>
      <c r="D17" s="22"/>
      <c r="E17" s="22">
        <f>21680-5478-2544</f>
        <v>13658</v>
      </c>
      <c r="F17" s="127"/>
    </row>
    <row r="18" spans="1:6" s="100" customFormat="1" ht="15.75">
      <c r="A18" s="88"/>
      <c r="B18" s="128" t="s">
        <v>492</v>
      </c>
      <c r="C18" s="129" t="s">
        <v>491</v>
      </c>
      <c r="D18" s="130">
        <f>SUM(D16:D17)</f>
        <v>0</v>
      </c>
      <c r="E18" s="130">
        <f>SUM(E16:E17)</f>
        <v>13658</v>
      </c>
      <c r="F18" s="131"/>
    </row>
    <row r="19" spans="2:6" ht="15.75">
      <c r="B19" s="132"/>
      <c r="C19" s="58"/>
      <c r="D19" s="133"/>
      <c r="E19" s="133"/>
      <c r="F19" s="127"/>
    </row>
    <row r="20" spans="2:6" ht="15.75">
      <c r="B20" s="134" t="s">
        <v>493</v>
      </c>
      <c r="C20" s="118" t="s">
        <v>494</v>
      </c>
      <c r="D20" s="22">
        <v>7000</v>
      </c>
      <c r="E20" s="22"/>
      <c r="F20" s="25"/>
    </row>
    <row r="21" spans="2:6" ht="15.75">
      <c r="B21" s="135" t="s">
        <v>495</v>
      </c>
      <c r="C21" s="118" t="s">
        <v>494</v>
      </c>
      <c r="D21" s="22">
        <v>3388</v>
      </c>
      <c r="E21" s="22"/>
      <c r="F21" s="25"/>
    </row>
    <row r="22" spans="2:6" ht="15.75">
      <c r="B22" s="134" t="s">
        <v>496</v>
      </c>
      <c r="C22" s="118" t="s">
        <v>494</v>
      </c>
      <c r="D22" s="22">
        <v>3000</v>
      </c>
      <c r="E22" s="22"/>
      <c r="F22" s="25"/>
    </row>
    <row r="23" spans="2:6" ht="15.75">
      <c r="B23" s="134" t="s">
        <v>497</v>
      </c>
      <c r="C23" s="118" t="s">
        <v>494</v>
      </c>
      <c r="D23" s="22"/>
      <c r="E23" s="22">
        <v>8300</v>
      </c>
      <c r="F23" s="25"/>
    </row>
    <row r="24" spans="1:6" s="100" customFormat="1" ht="15.75">
      <c r="A24" s="88"/>
      <c r="B24" s="128" t="s">
        <v>498</v>
      </c>
      <c r="C24" s="129" t="s">
        <v>494</v>
      </c>
      <c r="D24" s="130">
        <f>SUM(D20:D23)</f>
        <v>13388</v>
      </c>
      <c r="E24" s="130">
        <f>SUM(E20:E23)</f>
        <v>8300</v>
      </c>
      <c r="F24" s="113"/>
    </row>
    <row r="25" spans="1:5" s="100" customFormat="1" ht="15.75">
      <c r="A25" s="88"/>
      <c r="B25" s="136" t="s">
        <v>499</v>
      </c>
      <c r="C25" s="137" t="s">
        <v>284</v>
      </c>
      <c r="D25" s="138">
        <f>+D24+D18</f>
        <v>13388</v>
      </c>
      <c r="E25" s="138">
        <f>+E24+E18</f>
        <v>21958</v>
      </c>
    </row>
    <row r="26" spans="2:5" ht="13.5" customHeight="1">
      <c r="B26" s="139"/>
      <c r="C26" s="140"/>
      <c r="D26" s="141"/>
      <c r="E26" s="141"/>
    </row>
    <row r="27" spans="2:5" ht="15.75">
      <c r="B27" s="107" t="s">
        <v>500</v>
      </c>
      <c r="C27" s="57" t="s">
        <v>501</v>
      </c>
      <c r="D27" s="22"/>
      <c r="E27" s="22"/>
    </row>
    <row r="28" spans="2:5" ht="13.5" customHeight="1">
      <c r="B28" s="110" t="s">
        <v>502</v>
      </c>
      <c r="C28" s="57" t="s">
        <v>501</v>
      </c>
      <c r="D28" s="22"/>
      <c r="E28" s="22"/>
    </row>
    <row r="29" spans="2:5" ht="13.5" customHeight="1">
      <c r="B29" s="142" t="s">
        <v>503</v>
      </c>
      <c r="C29" s="57" t="s">
        <v>501</v>
      </c>
      <c r="D29" s="22">
        <v>7154</v>
      </c>
      <c r="E29" s="22"/>
    </row>
    <row r="30" spans="2:5" ht="15.75">
      <c r="B30" s="126" t="s">
        <v>504</v>
      </c>
      <c r="C30" s="57" t="s">
        <v>501</v>
      </c>
      <c r="D30" s="22">
        <v>28099</v>
      </c>
      <c r="E30" s="22"/>
    </row>
    <row r="31" spans="2:5" ht="15.75">
      <c r="B31" s="126" t="s">
        <v>505</v>
      </c>
      <c r="C31" s="57" t="s">
        <v>501</v>
      </c>
      <c r="D31" s="22">
        <v>24705</v>
      </c>
      <c r="E31" s="22"/>
    </row>
    <row r="32" spans="2:5" ht="15.75">
      <c r="B32" s="135" t="s">
        <v>506</v>
      </c>
      <c r="C32" s="57" t="s">
        <v>501</v>
      </c>
      <c r="D32" s="22">
        <v>17750</v>
      </c>
      <c r="E32" s="22"/>
    </row>
    <row r="33" spans="2:5" ht="31.5">
      <c r="B33" s="126" t="s">
        <v>507</v>
      </c>
      <c r="C33" s="57" t="s">
        <v>501</v>
      </c>
      <c r="D33" s="22"/>
      <c r="E33" s="22">
        <v>99037</v>
      </c>
    </row>
    <row r="34" spans="2:5" ht="18.75" customHeight="1">
      <c r="B34" s="126" t="s">
        <v>508</v>
      </c>
      <c r="C34" s="57" t="s">
        <v>501</v>
      </c>
      <c r="D34" s="22"/>
      <c r="E34" s="22">
        <v>15000</v>
      </c>
    </row>
    <row r="35" spans="2:5" ht="13.5" customHeight="1">
      <c r="B35" s="135" t="s">
        <v>509</v>
      </c>
      <c r="C35" s="57" t="s">
        <v>501</v>
      </c>
      <c r="D35" s="103">
        <f>136194-65712-11350</f>
        <v>59132</v>
      </c>
      <c r="E35" s="143"/>
    </row>
    <row r="36" spans="1:5" s="100" customFormat="1" ht="15.75">
      <c r="A36" s="88"/>
      <c r="B36" s="136" t="s">
        <v>510</v>
      </c>
      <c r="C36" s="137" t="s">
        <v>501</v>
      </c>
      <c r="D36" s="138">
        <f>SUM(D26:D35)</f>
        <v>136840</v>
      </c>
      <c r="E36" s="138">
        <f>SUM(E26:E35)</f>
        <v>114037</v>
      </c>
    </row>
    <row r="37" spans="2:5" ht="13.5" customHeight="1" hidden="1">
      <c r="B37" s="139"/>
      <c r="C37" s="140"/>
      <c r="D37" s="141"/>
      <c r="E37" s="141"/>
    </row>
    <row r="38" spans="2:5" ht="15.75" hidden="1">
      <c r="B38" s="59"/>
      <c r="C38" s="57"/>
      <c r="D38" s="22"/>
      <c r="E38" s="22"/>
    </row>
    <row r="39" spans="1:5" s="100" customFormat="1" ht="31.5" hidden="1">
      <c r="A39" s="88"/>
      <c r="B39" s="96" t="s">
        <v>511</v>
      </c>
      <c r="C39" s="97" t="s">
        <v>512</v>
      </c>
      <c r="D39" s="98">
        <f>SUM(D37:D38)</f>
        <v>0</v>
      </c>
      <c r="E39" s="98">
        <f>SUM(E37:E38)</f>
        <v>0</v>
      </c>
    </row>
    <row r="40" spans="2:5" ht="15.75" hidden="1">
      <c r="B40" s="59"/>
      <c r="C40" s="57"/>
      <c r="D40" s="22"/>
      <c r="E40" s="22"/>
    </row>
    <row r="41" spans="2:5" ht="15.75" hidden="1">
      <c r="B41" s="59"/>
      <c r="C41" s="57"/>
      <c r="D41" s="22"/>
      <c r="E41" s="22"/>
    </row>
    <row r="42" spans="1:5" s="100" customFormat="1" ht="31.5" hidden="1">
      <c r="A42" s="88"/>
      <c r="B42" s="96" t="s">
        <v>513</v>
      </c>
      <c r="C42" s="97" t="s">
        <v>514</v>
      </c>
      <c r="D42" s="98">
        <f>SUM(D40:D41)</f>
        <v>0</v>
      </c>
      <c r="E42" s="98">
        <f>SUM(E40:E41)</f>
        <v>0</v>
      </c>
    </row>
    <row r="43" spans="2:5" ht="15.75">
      <c r="B43" s="49"/>
      <c r="C43" s="58"/>
      <c r="D43" s="22"/>
      <c r="E43" s="22"/>
    </row>
    <row r="44" spans="2:5" ht="15.75">
      <c r="B44" s="135" t="s">
        <v>515</v>
      </c>
      <c r="C44" s="57" t="s">
        <v>516</v>
      </c>
      <c r="D44" s="22">
        <v>14999</v>
      </c>
      <c r="E44" s="22"/>
    </row>
    <row r="45" spans="2:5" ht="15.75">
      <c r="B45" s="135" t="s">
        <v>517</v>
      </c>
      <c r="C45" s="57" t="s">
        <v>516</v>
      </c>
      <c r="D45" s="22">
        <v>29970</v>
      </c>
      <c r="E45" s="22"/>
    </row>
    <row r="46" spans="2:5" ht="15.75">
      <c r="B46" s="135" t="s">
        <v>518</v>
      </c>
      <c r="C46" s="57" t="s">
        <v>516</v>
      </c>
      <c r="D46" s="22"/>
      <c r="E46" s="22"/>
    </row>
    <row r="47" spans="2:5" ht="15.75">
      <c r="B47" s="144" t="s">
        <v>519</v>
      </c>
      <c r="C47" s="57" t="s">
        <v>516</v>
      </c>
      <c r="D47" s="22"/>
      <c r="E47" s="22"/>
    </row>
    <row r="48" spans="1:5" s="100" customFormat="1" ht="15.75">
      <c r="A48" s="88"/>
      <c r="B48" s="128" t="s">
        <v>520</v>
      </c>
      <c r="C48" s="129" t="s">
        <v>516</v>
      </c>
      <c r="D48" s="130">
        <f>SUM(D43:D47)</f>
        <v>44969</v>
      </c>
      <c r="E48" s="130">
        <f>SUM(E43:E47)</f>
        <v>0</v>
      </c>
    </row>
    <row r="49" spans="2:5" ht="15.75">
      <c r="B49" s="49"/>
      <c r="C49" s="58"/>
      <c r="D49" s="22"/>
      <c r="E49" s="22"/>
    </row>
    <row r="50" spans="1:5" s="120" customFormat="1" ht="15.75">
      <c r="A50" s="116"/>
      <c r="B50" s="135" t="s">
        <v>521</v>
      </c>
      <c r="C50" s="57" t="s">
        <v>522</v>
      </c>
      <c r="D50" s="145">
        <v>37680</v>
      </c>
      <c r="E50" s="22"/>
    </row>
    <row r="51" spans="1:5" s="120" customFormat="1" ht="15.75">
      <c r="A51" s="116"/>
      <c r="B51" s="126" t="s">
        <v>523</v>
      </c>
      <c r="C51" s="57" t="s">
        <v>522</v>
      </c>
      <c r="D51" s="22">
        <v>139995</v>
      </c>
      <c r="E51" s="22"/>
    </row>
    <row r="52" spans="1:5" s="120" customFormat="1" ht="15.75">
      <c r="A52" s="116"/>
      <c r="B52" s="126" t="s">
        <v>524</v>
      </c>
      <c r="C52" s="57" t="s">
        <v>522</v>
      </c>
      <c r="D52" s="22"/>
      <c r="E52" s="22">
        <v>285000</v>
      </c>
    </row>
    <row r="53" spans="1:5" s="120" customFormat="1" ht="15.75">
      <c r="A53" s="116"/>
      <c r="B53" s="126" t="s">
        <v>525</v>
      </c>
      <c r="C53" s="57" t="s">
        <v>522</v>
      </c>
      <c r="D53" s="22">
        <v>84296</v>
      </c>
      <c r="E53" s="22"/>
    </row>
    <row r="54" spans="1:5" s="120" customFormat="1" ht="15.75">
      <c r="A54" s="116"/>
      <c r="B54" s="126" t="s">
        <v>526</v>
      </c>
      <c r="C54" s="57" t="s">
        <v>522</v>
      </c>
      <c r="D54" s="22">
        <v>131074</v>
      </c>
      <c r="E54" s="22"/>
    </row>
    <row r="55" spans="1:5" s="120" customFormat="1" ht="15.75">
      <c r="A55" s="116"/>
      <c r="B55" s="126" t="s">
        <v>527</v>
      </c>
      <c r="C55" s="57" t="s">
        <v>522</v>
      </c>
      <c r="D55" s="22"/>
      <c r="E55" s="22">
        <v>35102</v>
      </c>
    </row>
    <row r="56" spans="1:5" s="120" customFormat="1" ht="15.75">
      <c r="A56" s="116"/>
      <c r="B56" s="126" t="s">
        <v>528</v>
      </c>
      <c r="C56" s="57" t="s">
        <v>522</v>
      </c>
      <c r="D56" s="22"/>
      <c r="E56" s="22">
        <v>297113</v>
      </c>
    </row>
    <row r="57" spans="1:5" s="120" customFormat="1" ht="15.75">
      <c r="A57" s="116"/>
      <c r="B57" s="135" t="s">
        <v>529</v>
      </c>
      <c r="C57" s="57" t="s">
        <v>522</v>
      </c>
      <c r="D57" s="22">
        <v>60000</v>
      </c>
      <c r="E57" s="22"/>
    </row>
    <row r="58" spans="1:5" s="120" customFormat="1" ht="15.75">
      <c r="A58" s="116"/>
      <c r="B58" s="135" t="s">
        <v>530</v>
      </c>
      <c r="C58" s="57" t="s">
        <v>522</v>
      </c>
      <c r="D58" s="22">
        <f>150000+115000</f>
        <v>265000</v>
      </c>
      <c r="E58" s="22"/>
    </row>
    <row r="59" spans="1:5" s="100" customFormat="1" ht="15.75">
      <c r="A59" s="88"/>
      <c r="B59" s="128" t="s">
        <v>492</v>
      </c>
      <c r="C59" s="129" t="s">
        <v>522</v>
      </c>
      <c r="D59" s="130">
        <f>SUM(D49:D58)</f>
        <v>718045</v>
      </c>
      <c r="E59" s="130">
        <f>SUM(E49:E58)</f>
        <v>617215</v>
      </c>
    </row>
    <row r="60" spans="1:5" s="100" customFormat="1" ht="15.75">
      <c r="A60" s="88"/>
      <c r="B60" s="96" t="s">
        <v>531</v>
      </c>
      <c r="C60" s="97" t="s">
        <v>532</v>
      </c>
      <c r="D60" s="98">
        <f>+D59+D48</f>
        <v>763014</v>
      </c>
      <c r="E60" s="98">
        <f>+E59+E48</f>
        <v>617215</v>
      </c>
    </row>
    <row r="61" spans="1:5" s="100" customFormat="1" ht="15.75">
      <c r="A61" s="88"/>
      <c r="B61" s="136" t="s">
        <v>533</v>
      </c>
      <c r="C61" s="137" t="s">
        <v>288</v>
      </c>
      <c r="D61" s="138">
        <f>+D60+D42+D39+D36</f>
        <v>899854</v>
      </c>
      <c r="E61" s="138">
        <f>+E60+E42+E39+E36</f>
        <v>731252</v>
      </c>
    </row>
    <row r="62" spans="2:5" ht="15.75" hidden="1">
      <c r="B62" s="139"/>
      <c r="C62" s="146"/>
      <c r="D62" s="141"/>
      <c r="E62" s="141"/>
    </row>
    <row r="63" spans="2:5" ht="15.75" hidden="1">
      <c r="B63" s="59"/>
      <c r="C63" s="46"/>
      <c r="D63" s="22"/>
      <c r="E63" s="22"/>
    </row>
    <row r="64" spans="1:5" s="100" customFormat="1" ht="19.5" customHeight="1" hidden="1">
      <c r="A64" s="88"/>
      <c r="B64" s="96" t="s">
        <v>534</v>
      </c>
      <c r="C64" s="97" t="s">
        <v>535</v>
      </c>
      <c r="D64" s="98">
        <f>SUM(D62:D63)</f>
        <v>0</v>
      </c>
      <c r="E64" s="98">
        <f>SUM(E62:E63)</f>
        <v>0</v>
      </c>
    </row>
    <row r="65" spans="2:5" ht="15.75" hidden="1">
      <c r="B65" s="59"/>
      <c r="C65" s="46"/>
      <c r="D65" s="22"/>
      <c r="E65" s="22"/>
    </row>
    <row r="66" spans="2:5" ht="15.75" hidden="1">
      <c r="B66" s="59"/>
      <c r="C66" s="46"/>
      <c r="D66" s="22"/>
      <c r="E66" s="22"/>
    </row>
    <row r="67" spans="1:5" s="100" customFormat="1" ht="31.5" hidden="1">
      <c r="A67" s="88"/>
      <c r="B67" s="96" t="s">
        <v>536</v>
      </c>
      <c r="C67" s="97" t="s">
        <v>537</v>
      </c>
      <c r="D67" s="98">
        <f>SUM(D65:D66)</f>
        <v>0</v>
      </c>
      <c r="E67" s="98">
        <f>SUM(E65:E66)</f>
        <v>0</v>
      </c>
    </row>
    <row r="68" spans="2:5" ht="15.75" hidden="1">
      <c r="B68" s="59"/>
      <c r="C68" s="46"/>
      <c r="D68" s="22"/>
      <c r="E68" s="22"/>
    </row>
    <row r="69" spans="2:5" ht="15.75" hidden="1">
      <c r="B69" s="59"/>
      <c r="C69" s="46"/>
      <c r="D69" s="22"/>
      <c r="E69" s="22"/>
    </row>
    <row r="70" spans="1:5" s="100" customFormat="1" ht="31.5" hidden="1">
      <c r="A70" s="88"/>
      <c r="B70" s="96" t="s">
        <v>538</v>
      </c>
      <c r="C70" s="97" t="s">
        <v>344</v>
      </c>
      <c r="D70" s="98">
        <f>SUM(D68:D69)</f>
        <v>0</v>
      </c>
      <c r="E70" s="98">
        <f>SUM(E68:E69)</f>
        <v>0</v>
      </c>
    </row>
    <row r="71" spans="2:5" ht="15.75" hidden="1">
      <c r="B71" s="59"/>
      <c r="C71" s="46"/>
      <c r="D71" s="22"/>
      <c r="E71" s="22"/>
    </row>
    <row r="72" spans="2:5" ht="15.75" hidden="1">
      <c r="B72" s="59"/>
      <c r="C72" s="46"/>
      <c r="D72" s="22"/>
      <c r="E72" s="22"/>
    </row>
    <row r="73" spans="1:5" s="100" customFormat="1" ht="31.5" hidden="1">
      <c r="A73" s="88"/>
      <c r="B73" s="96" t="s">
        <v>539</v>
      </c>
      <c r="C73" s="97" t="s">
        <v>346</v>
      </c>
      <c r="D73" s="98">
        <f>SUM(D71:D72)</f>
        <v>0</v>
      </c>
      <c r="E73" s="98">
        <f>SUM(E71:E72)</f>
        <v>0</v>
      </c>
    </row>
    <row r="74" spans="2:5" ht="15.75">
      <c r="B74" s="50"/>
      <c r="C74" s="58"/>
      <c r="D74" s="23"/>
      <c r="E74" s="23"/>
    </row>
    <row r="75" spans="2:5" ht="15.75">
      <c r="B75" s="135" t="s">
        <v>540</v>
      </c>
      <c r="C75" s="147" t="s">
        <v>376</v>
      </c>
      <c r="D75" s="103">
        <v>0</v>
      </c>
      <c r="E75" s="23"/>
    </row>
    <row r="76" spans="1:5" s="100" customFormat="1" ht="15.75">
      <c r="A76" s="88"/>
      <c r="B76" s="148" t="s">
        <v>541</v>
      </c>
      <c r="C76" s="148" t="s">
        <v>376</v>
      </c>
      <c r="D76" s="149">
        <f>SUM(D74:D75)</f>
        <v>0</v>
      </c>
      <c r="E76" s="149">
        <f>SUM(E74:E75)</f>
        <v>0</v>
      </c>
    </row>
    <row r="77" spans="2:5" ht="15.75">
      <c r="B77" s="24"/>
      <c r="C77" s="40"/>
      <c r="D77" s="78"/>
      <c r="E77" s="78"/>
    </row>
    <row r="78" spans="2:5" ht="15.75">
      <c r="B78" s="24"/>
      <c r="C78" s="40"/>
      <c r="D78" s="78"/>
      <c r="E78" s="78"/>
    </row>
    <row r="79" spans="1:5" s="113" customFormat="1" ht="15.75">
      <c r="A79" s="88"/>
      <c r="B79" s="150" t="s">
        <v>542</v>
      </c>
      <c r="C79" s="97" t="s">
        <v>328</v>
      </c>
      <c r="D79" s="98">
        <f>SUM(D77:D78)</f>
        <v>0</v>
      </c>
      <c r="E79" s="98">
        <f>SUM(E77:E78)</f>
        <v>0</v>
      </c>
    </row>
    <row r="80" spans="2:5" ht="15.75">
      <c r="B80" s="134"/>
      <c r="C80" s="57"/>
      <c r="D80" s="22"/>
      <c r="E80" s="22"/>
    </row>
    <row r="81" spans="2:5" ht="15.75">
      <c r="B81" s="134" t="s">
        <v>543</v>
      </c>
      <c r="C81" s="118" t="s">
        <v>330</v>
      </c>
      <c r="D81" s="22">
        <f>13303-2386+5715</f>
        <v>16632</v>
      </c>
      <c r="E81" s="22"/>
    </row>
    <row r="82" spans="2:5" ht="15.75">
      <c r="B82" s="134" t="s">
        <v>544</v>
      </c>
      <c r="C82" s="118" t="s">
        <v>330</v>
      </c>
      <c r="D82" s="22">
        <v>8000</v>
      </c>
      <c r="E82" s="22"/>
    </row>
    <row r="83" spans="2:8" ht="15.75">
      <c r="B83" s="134" t="s">
        <v>545</v>
      </c>
      <c r="C83" s="118" t="s">
        <v>330</v>
      </c>
      <c r="D83" s="151"/>
      <c r="E83" s="151">
        <f>10300+203+2432+14041</f>
        <v>26976</v>
      </c>
      <c r="H83" s="152"/>
    </row>
    <row r="84" spans="2:5" ht="15.75">
      <c r="B84" s="134" t="s">
        <v>546</v>
      </c>
      <c r="C84" s="118" t="s">
        <v>330</v>
      </c>
      <c r="D84" s="151"/>
      <c r="E84" s="151">
        <v>6000</v>
      </c>
    </row>
    <row r="85" spans="1:5" s="113" customFormat="1" ht="15.75">
      <c r="A85" s="153"/>
      <c r="B85" s="150" t="s">
        <v>547</v>
      </c>
      <c r="C85" s="97" t="s">
        <v>330</v>
      </c>
      <c r="D85" s="98">
        <f>SUM(D80:D84)</f>
        <v>24632</v>
      </c>
      <c r="E85" s="98">
        <f>SUM(E80:E84)</f>
        <v>32976</v>
      </c>
    </row>
    <row r="86" spans="2:5" ht="15.75">
      <c r="B86" s="59"/>
      <c r="C86" s="57"/>
      <c r="D86" s="22"/>
      <c r="E86" s="22"/>
    </row>
    <row r="87" spans="2:5" ht="15.75">
      <c r="B87" s="135" t="s">
        <v>548</v>
      </c>
      <c r="C87" s="118" t="s">
        <v>330</v>
      </c>
      <c r="D87" s="22"/>
      <c r="E87" s="22"/>
    </row>
    <row r="88" spans="1:5" s="113" customFormat="1" ht="15.75">
      <c r="A88" s="153"/>
      <c r="B88" s="150" t="s">
        <v>549</v>
      </c>
      <c r="C88" s="97" t="s">
        <v>332</v>
      </c>
      <c r="D88" s="98">
        <f>SUM(D86:D87)</f>
        <v>0</v>
      </c>
      <c r="E88" s="98">
        <f>SUM(E86:E87)</f>
        <v>0</v>
      </c>
    </row>
    <row r="89" spans="2:5" ht="15.75" hidden="1">
      <c r="B89" s="59"/>
      <c r="C89" s="57"/>
      <c r="D89" s="22"/>
      <c r="E89" s="22"/>
    </row>
    <row r="90" spans="2:5" ht="15.75" hidden="1">
      <c r="B90" s="59"/>
      <c r="C90" s="57"/>
      <c r="D90" s="22"/>
      <c r="E90" s="22"/>
    </row>
    <row r="91" spans="1:5" s="113" customFormat="1" ht="15.75" hidden="1">
      <c r="A91" s="153"/>
      <c r="B91" s="150" t="s">
        <v>550</v>
      </c>
      <c r="C91" s="97" t="s">
        <v>334</v>
      </c>
      <c r="D91" s="98">
        <f>SUM(D89:D90)</f>
        <v>0</v>
      </c>
      <c r="E91" s="98">
        <f>SUM(E89:E90)</f>
        <v>0</v>
      </c>
    </row>
    <row r="92" spans="2:5" ht="15.75" hidden="1">
      <c r="B92" s="59"/>
      <c r="C92" s="57"/>
      <c r="D92" s="22"/>
      <c r="E92" s="22"/>
    </row>
    <row r="93" spans="2:5" ht="15.75" hidden="1">
      <c r="B93" s="59"/>
      <c r="C93" s="57"/>
      <c r="D93" s="22"/>
      <c r="E93" s="22"/>
    </row>
    <row r="94" spans="1:5" s="113" customFormat="1" ht="15.75" hidden="1">
      <c r="A94" s="153"/>
      <c r="B94" s="150" t="s">
        <v>551</v>
      </c>
      <c r="C94" s="97" t="s">
        <v>336</v>
      </c>
      <c r="D94" s="98">
        <f>SUM(D92:D93)</f>
        <v>0</v>
      </c>
      <c r="E94" s="98">
        <f>SUM(E92:E93)</f>
        <v>0</v>
      </c>
    </row>
    <row r="95" spans="1:5" s="100" customFormat="1" ht="15.75">
      <c r="A95" s="88"/>
      <c r="B95" s="96" t="s">
        <v>552</v>
      </c>
      <c r="C95" s="97" t="s">
        <v>338</v>
      </c>
      <c r="D95" s="98">
        <f>+D94+D91+D88+D85+D79</f>
        <v>24632</v>
      </c>
      <c r="E95" s="98">
        <f>+E94+E91+E88+E85+E79</f>
        <v>32976</v>
      </c>
    </row>
  </sheetData>
  <sheetProtection selectLockedCells="1" selectUnlockedCells="1"/>
  <mergeCells count="2">
    <mergeCell ref="B6:C6"/>
    <mergeCell ref="D8:E8"/>
  </mergeCells>
  <printOptions horizontalCentered="1"/>
  <pageMargins left="0.7083333333333334" right="0.7083333333333334" top="0.5902777777777778" bottom="0.5513888888888889" header="0.5118055555555555" footer="0.31527777777777777"/>
  <pageSetup horizontalDpi="300" verticalDpi="300" orientation="portrait" paperSize="9" scale="70" r:id="rId1"/>
  <headerFooter alignWithMargins="0">
    <oddFooter>&amp;R&amp;P</oddFooter>
  </headerFooter>
  <rowBreaks count="1" manualBreakCount="1"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2.28125" style="88" customWidth="1"/>
    <col min="2" max="2" width="74.00390625" style="12" customWidth="1"/>
    <col min="3" max="3" width="8.28125" style="12" customWidth="1"/>
    <col min="4" max="4" width="12.57421875" style="13" customWidth="1"/>
    <col min="5" max="5" width="12.421875" style="13" customWidth="1"/>
    <col min="6" max="6" width="11.28125" style="154" customWidth="1"/>
    <col min="7" max="7" width="9.28125" style="154" customWidth="1"/>
    <col min="8" max="8" width="11.28125" style="154" customWidth="1"/>
    <col min="9" max="9" width="9.28125" style="154" customWidth="1"/>
    <col min="10" max="16384" width="9.140625" style="12" customWidth="1"/>
  </cols>
  <sheetData>
    <row r="1" ht="15.75">
      <c r="E1" s="14" t="s">
        <v>553</v>
      </c>
    </row>
    <row r="2" ht="15.75">
      <c r="E2" s="14" t="s">
        <v>88</v>
      </c>
    </row>
    <row r="3" ht="15.75">
      <c r="E3" s="14"/>
    </row>
    <row r="4" spans="2:5" ht="21.75" customHeight="1">
      <c r="B4" s="32" t="s">
        <v>89</v>
      </c>
      <c r="C4" s="34"/>
      <c r="D4" s="34"/>
      <c r="E4" s="34"/>
    </row>
    <row r="5" spans="2:5" ht="18.75">
      <c r="B5" s="32"/>
      <c r="C5" s="34"/>
      <c r="D5" s="34"/>
      <c r="E5" s="34"/>
    </row>
    <row r="6" spans="2:5" ht="15.75">
      <c r="B6" s="124" t="s">
        <v>554</v>
      </c>
      <c r="C6" s="155"/>
      <c r="D6" s="155"/>
      <c r="E6" s="155"/>
    </row>
    <row r="7" spans="2:5" ht="15.75" customHeight="1">
      <c r="B7" s="75"/>
      <c r="C7" s="75"/>
      <c r="D7" s="404" t="s">
        <v>91</v>
      </c>
      <c r="E7" s="404"/>
    </row>
    <row r="8" spans="2:5" ht="31.5">
      <c r="B8" s="17" t="s">
        <v>92</v>
      </c>
      <c r="C8" s="40" t="s">
        <v>119</v>
      </c>
      <c r="D8" s="78" t="s">
        <v>486</v>
      </c>
      <c r="E8" s="78" t="s">
        <v>487</v>
      </c>
    </row>
    <row r="9" spans="2:5" ht="15.75">
      <c r="B9" s="21"/>
      <c r="C9" s="21"/>
      <c r="D9" s="22"/>
      <c r="E9" s="22"/>
    </row>
    <row r="10" spans="2:5" ht="15.75">
      <c r="B10" s="135" t="s">
        <v>555</v>
      </c>
      <c r="C10" s="21" t="s">
        <v>174</v>
      </c>
      <c r="D10" s="22">
        <v>243</v>
      </c>
      <c r="E10" s="22"/>
    </row>
    <row r="11" spans="2:7" ht="15.75">
      <c r="B11" s="135" t="s">
        <v>556</v>
      </c>
      <c r="C11" s="21" t="s">
        <v>174</v>
      </c>
      <c r="D11" s="22">
        <v>520</v>
      </c>
      <c r="E11" s="103" t="s">
        <v>540</v>
      </c>
      <c r="F11" s="156"/>
      <c r="G11" s="156"/>
    </row>
    <row r="12" spans="1:9" s="113" customFormat="1" ht="15.75">
      <c r="A12" s="88"/>
      <c r="B12" s="150" t="s">
        <v>557</v>
      </c>
      <c r="C12" s="97" t="s">
        <v>174</v>
      </c>
      <c r="D12" s="98">
        <f>SUM(D9:D11)</f>
        <v>763</v>
      </c>
      <c r="E12" s="98">
        <f>SUM(E9:E11)</f>
        <v>0</v>
      </c>
      <c r="F12" s="157"/>
      <c r="G12" s="157"/>
      <c r="H12" s="157"/>
      <c r="I12" s="157"/>
    </row>
    <row r="13" spans="2:5" ht="15.75">
      <c r="B13" s="59"/>
      <c r="C13" s="57"/>
      <c r="D13" s="22"/>
      <c r="E13" s="22"/>
    </row>
    <row r="14" spans="2:7" ht="15.75">
      <c r="B14" s="142" t="s">
        <v>558</v>
      </c>
      <c r="C14" s="57" t="s">
        <v>176</v>
      </c>
      <c r="D14" s="103">
        <v>3150</v>
      </c>
      <c r="E14" s="22"/>
      <c r="F14" s="156"/>
      <c r="G14" s="156"/>
    </row>
    <row r="15" spans="1:9" s="113" customFormat="1" ht="15.75">
      <c r="A15" s="153"/>
      <c r="B15" s="150" t="s">
        <v>559</v>
      </c>
      <c r="C15" s="97" t="s">
        <v>176</v>
      </c>
      <c r="D15" s="98">
        <f>SUM(D13:D14)</f>
        <v>3150</v>
      </c>
      <c r="E15" s="98">
        <f>SUM(E13:E14)</f>
        <v>0</v>
      </c>
      <c r="F15" s="157"/>
      <c r="G15" s="157"/>
      <c r="H15" s="157"/>
      <c r="I15" s="157"/>
    </row>
    <row r="16" spans="2:5" ht="15.75">
      <c r="B16" s="59"/>
      <c r="C16" s="57"/>
      <c r="D16" s="22"/>
      <c r="E16" s="22"/>
    </row>
    <row r="17" spans="2:5" ht="15.75">
      <c r="B17" s="135" t="s">
        <v>560</v>
      </c>
      <c r="C17" s="57" t="s">
        <v>178</v>
      </c>
      <c r="D17" s="22">
        <v>815</v>
      </c>
      <c r="E17" s="22"/>
    </row>
    <row r="18" spans="2:5" ht="15.75">
      <c r="B18" s="135" t="s">
        <v>561</v>
      </c>
      <c r="C18" s="57" t="s">
        <v>178</v>
      </c>
      <c r="D18" s="22">
        <v>104</v>
      </c>
      <c r="E18" s="22"/>
    </row>
    <row r="19" spans="2:6" ht="15.75">
      <c r="B19" s="135" t="s">
        <v>562</v>
      </c>
      <c r="C19" s="57" t="s">
        <v>178</v>
      </c>
      <c r="D19" s="22">
        <v>1060</v>
      </c>
      <c r="E19" s="22"/>
      <c r="F19" s="156"/>
    </row>
    <row r="20" spans="1:9" s="113" customFormat="1" ht="15.75">
      <c r="A20" s="88"/>
      <c r="B20" s="96" t="s">
        <v>563</v>
      </c>
      <c r="C20" s="97" t="s">
        <v>178</v>
      </c>
      <c r="D20" s="98">
        <f>SUM(D16:D19)</f>
        <v>1979</v>
      </c>
      <c r="E20" s="98">
        <f>SUM(E16:E19)</f>
        <v>0</v>
      </c>
      <c r="F20" s="157"/>
      <c r="G20" s="157"/>
      <c r="H20" s="157"/>
      <c r="I20" s="157"/>
    </row>
    <row r="21" spans="2:5" ht="15.75">
      <c r="B21" s="46"/>
      <c r="C21" s="57"/>
      <c r="D21" s="22"/>
      <c r="E21" s="22"/>
    </row>
    <row r="22" spans="2:6" ht="16.5" customHeight="1">
      <c r="B22" s="126" t="s">
        <v>527</v>
      </c>
      <c r="C22" s="57" t="s">
        <v>180</v>
      </c>
      <c r="D22" s="22"/>
      <c r="E22" s="22">
        <v>38695</v>
      </c>
      <c r="F22" s="156"/>
    </row>
    <row r="23" spans="2:7" ht="15.75">
      <c r="B23" s="126" t="s">
        <v>564</v>
      </c>
      <c r="C23" s="57" t="s">
        <v>180</v>
      </c>
      <c r="D23" s="22">
        <v>3100</v>
      </c>
      <c r="E23" s="103" t="s">
        <v>540</v>
      </c>
      <c r="F23" s="156"/>
      <c r="G23" s="156"/>
    </row>
    <row r="24" spans="1:9" s="113" customFormat="1" ht="15.75">
      <c r="A24" s="153"/>
      <c r="B24" s="150" t="s">
        <v>565</v>
      </c>
      <c r="C24" s="97" t="s">
        <v>180</v>
      </c>
      <c r="D24" s="98">
        <f>SUM(D21:D23)</f>
        <v>3100</v>
      </c>
      <c r="E24" s="98">
        <f>SUM(E21:E23)</f>
        <v>38695</v>
      </c>
      <c r="F24" s="157"/>
      <c r="G24" s="157"/>
      <c r="H24" s="157"/>
      <c r="I24" s="157"/>
    </row>
    <row r="25" spans="2:5" ht="15.75">
      <c r="B25" s="59"/>
      <c r="C25" s="57"/>
      <c r="D25" s="22"/>
      <c r="E25" s="22"/>
    </row>
    <row r="26" spans="2:5" ht="15.75">
      <c r="B26" s="59"/>
      <c r="C26" s="57"/>
      <c r="D26" s="22"/>
      <c r="E26" s="22"/>
    </row>
    <row r="27" spans="1:9" s="113" customFormat="1" ht="15.75">
      <c r="A27" s="153"/>
      <c r="B27" s="150" t="s">
        <v>566</v>
      </c>
      <c r="C27" s="97" t="s">
        <v>182</v>
      </c>
      <c r="D27" s="98">
        <f>SUM(D25:D26)</f>
        <v>0</v>
      </c>
      <c r="E27" s="98">
        <f>SUM(E25:E26)</f>
        <v>0</v>
      </c>
      <c r="F27" s="157"/>
      <c r="G27" s="157"/>
      <c r="H27" s="157"/>
      <c r="I27" s="157"/>
    </row>
    <row r="28" spans="2:5" ht="15.75">
      <c r="B28" s="59"/>
      <c r="C28" s="57"/>
      <c r="D28" s="22"/>
      <c r="E28" s="22"/>
    </row>
    <row r="29" spans="2:5" ht="15.75">
      <c r="B29" s="59"/>
      <c r="C29" s="57"/>
      <c r="D29" s="22"/>
      <c r="E29" s="22"/>
    </row>
    <row r="30" spans="1:9" s="113" customFormat="1" ht="15.75">
      <c r="A30" s="153"/>
      <c r="B30" s="96" t="s">
        <v>567</v>
      </c>
      <c r="C30" s="97" t="s">
        <v>184</v>
      </c>
      <c r="D30" s="98">
        <f>SUM(D28:D29)</f>
        <v>0</v>
      </c>
      <c r="E30" s="98">
        <f>SUM(E28:E29)</f>
        <v>0</v>
      </c>
      <c r="F30" s="157"/>
      <c r="G30" s="157"/>
      <c r="H30" s="157"/>
      <c r="I30" s="157"/>
    </row>
    <row r="31" spans="2:5" ht="15.75">
      <c r="B31" s="46"/>
      <c r="C31" s="57"/>
      <c r="D31" s="22"/>
      <c r="E31" s="22"/>
    </row>
    <row r="32" spans="2:5" ht="15.75">
      <c r="B32" s="135" t="s">
        <v>568</v>
      </c>
      <c r="C32" s="57" t="s">
        <v>186</v>
      </c>
      <c r="D32" s="22">
        <v>66</v>
      </c>
      <c r="E32" s="22"/>
    </row>
    <row r="33" spans="2:5" ht="15.75">
      <c r="B33" s="135" t="s">
        <v>569</v>
      </c>
      <c r="C33" s="57" t="s">
        <v>186</v>
      </c>
      <c r="D33" s="22">
        <v>220</v>
      </c>
      <c r="E33" s="22"/>
    </row>
    <row r="34" spans="2:5" ht="15.75">
      <c r="B34" s="135" t="s">
        <v>570</v>
      </c>
      <c r="C34" s="57" t="s">
        <v>186</v>
      </c>
      <c r="D34" s="22">
        <v>28</v>
      </c>
      <c r="E34" s="22"/>
    </row>
    <row r="35" spans="2:5" ht="15.75">
      <c r="B35" s="142" t="s">
        <v>571</v>
      </c>
      <c r="C35" s="57" t="s">
        <v>186</v>
      </c>
      <c r="D35" s="22">
        <f>4000-D14</f>
        <v>850</v>
      </c>
      <c r="E35" s="22"/>
    </row>
    <row r="36" spans="2:5" ht="18" customHeight="1">
      <c r="B36" s="126" t="s">
        <v>572</v>
      </c>
      <c r="C36" s="57" t="s">
        <v>186</v>
      </c>
      <c r="D36" s="22"/>
      <c r="E36" s="22">
        <f>49143-E22</f>
        <v>10448</v>
      </c>
    </row>
    <row r="37" spans="2:6" ht="15.75">
      <c r="B37" s="135" t="s">
        <v>573</v>
      </c>
      <c r="C37" s="57" t="s">
        <v>186</v>
      </c>
      <c r="D37" s="22">
        <v>140</v>
      </c>
      <c r="E37" s="103" t="s">
        <v>540</v>
      </c>
      <c r="F37" s="156"/>
    </row>
    <row r="38" spans="2:6" ht="15.75">
      <c r="B38" s="135" t="s">
        <v>574</v>
      </c>
      <c r="C38" s="57" t="s">
        <v>186</v>
      </c>
      <c r="D38" s="22">
        <v>286</v>
      </c>
      <c r="E38" s="103"/>
      <c r="F38" s="156"/>
    </row>
    <row r="39" spans="2:6" ht="15.75">
      <c r="B39" s="126" t="s">
        <v>575</v>
      </c>
      <c r="C39" s="57" t="s">
        <v>186</v>
      </c>
      <c r="D39" s="22">
        <v>838</v>
      </c>
      <c r="E39" s="103" t="s">
        <v>540</v>
      </c>
      <c r="F39" s="156"/>
    </row>
    <row r="40" spans="1:9" s="113" customFormat="1" ht="15.75">
      <c r="A40" s="153"/>
      <c r="B40" s="96" t="s">
        <v>576</v>
      </c>
      <c r="C40" s="97" t="s">
        <v>186</v>
      </c>
      <c r="D40" s="98">
        <f>SUM(D31:D39)</f>
        <v>2428</v>
      </c>
      <c r="E40" s="98">
        <f>SUM(E31:E39)</f>
        <v>10448</v>
      </c>
      <c r="F40" s="157"/>
      <c r="G40" s="157"/>
      <c r="H40" s="157"/>
      <c r="I40" s="157"/>
    </row>
    <row r="41" spans="1:9" s="100" customFormat="1" ht="15.75">
      <c r="A41" s="88"/>
      <c r="B41" s="150" t="s">
        <v>577</v>
      </c>
      <c r="C41" s="97" t="s">
        <v>188</v>
      </c>
      <c r="D41" s="98">
        <f>+D40+D30+D27+D24+D20+D15+D12</f>
        <v>11420</v>
      </c>
      <c r="E41" s="98">
        <f>+E40+E30+E27+E24+E20+E15+E12</f>
        <v>49143</v>
      </c>
      <c r="F41" s="158"/>
      <c r="G41" s="158"/>
      <c r="H41" s="158"/>
      <c r="I41" s="158"/>
    </row>
    <row r="42" spans="2:9" s="88" customFormat="1" ht="15.75">
      <c r="B42" s="135"/>
      <c r="C42" s="58"/>
      <c r="D42" s="145"/>
      <c r="E42" s="145"/>
      <c r="F42" s="156"/>
      <c r="G42" s="156"/>
      <c r="H42" s="156"/>
      <c r="I42" s="156"/>
    </row>
    <row r="43" spans="2:9" s="88" customFormat="1" ht="15.75">
      <c r="B43" s="135" t="s">
        <v>529</v>
      </c>
      <c r="C43" s="57" t="s">
        <v>190</v>
      </c>
      <c r="D43" s="22">
        <v>61220</v>
      </c>
      <c r="E43" s="145"/>
      <c r="F43" s="156"/>
      <c r="G43" s="156"/>
      <c r="H43" s="156"/>
      <c r="I43" s="156"/>
    </row>
    <row r="44" spans="2:9" s="88" customFormat="1" ht="15.75">
      <c r="B44" s="135" t="s">
        <v>517</v>
      </c>
      <c r="C44" s="57" t="s">
        <v>190</v>
      </c>
      <c r="D44" s="22">
        <v>26220</v>
      </c>
      <c r="E44" s="145"/>
      <c r="F44" s="156"/>
      <c r="G44" s="156"/>
      <c r="H44" s="156"/>
      <c r="I44" s="156"/>
    </row>
    <row r="45" spans="2:9" s="88" customFormat="1" ht="15.75">
      <c r="B45" s="135" t="s">
        <v>521</v>
      </c>
      <c r="C45" s="57" t="s">
        <v>190</v>
      </c>
      <c r="D45" s="145">
        <v>29669</v>
      </c>
      <c r="E45" s="145"/>
      <c r="F45" s="156"/>
      <c r="G45" s="156"/>
      <c r="H45" s="154"/>
      <c r="I45" s="154"/>
    </row>
    <row r="46" spans="2:7" ht="18" customHeight="1">
      <c r="B46" s="126" t="s">
        <v>528</v>
      </c>
      <c r="C46" s="57" t="s">
        <v>190</v>
      </c>
      <c r="D46" s="22"/>
      <c r="E46" s="22">
        <v>290669</v>
      </c>
      <c r="F46" s="156"/>
      <c r="G46" s="156"/>
    </row>
    <row r="47" spans="2:7" ht="15.75">
      <c r="B47" s="126" t="s">
        <v>526</v>
      </c>
      <c r="C47" s="57" t="s">
        <v>190</v>
      </c>
      <c r="D47" s="22">
        <v>103208</v>
      </c>
      <c r="E47" s="22"/>
      <c r="F47" s="156"/>
      <c r="G47" s="156"/>
    </row>
    <row r="48" spans="2:7" ht="15.75">
      <c r="B48" s="126" t="s">
        <v>525</v>
      </c>
      <c r="C48" s="57" t="s">
        <v>190</v>
      </c>
      <c r="D48" s="22">
        <v>88500</v>
      </c>
      <c r="E48" s="22"/>
      <c r="F48" s="156"/>
      <c r="G48" s="156"/>
    </row>
    <row r="49" spans="2:7" ht="15.75">
      <c r="B49" s="126" t="s">
        <v>524</v>
      </c>
      <c r="C49" s="57" t="s">
        <v>190</v>
      </c>
      <c r="D49" s="22"/>
      <c r="E49" s="22">
        <v>236220</v>
      </c>
      <c r="F49" s="156"/>
      <c r="G49" s="156"/>
    </row>
    <row r="50" spans="2:7" ht="15.75">
      <c r="B50" s="135" t="s">
        <v>515</v>
      </c>
      <c r="C50" s="57" t="s">
        <v>190</v>
      </c>
      <c r="D50" s="22">
        <v>13123</v>
      </c>
      <c r="E50" s="22"/>
      <c r="F50" s="156"/>
      <c r="G50" s="156"/>
    </row>
    <row r="51" spans="2:7" ht="15.75">
      <c r="B51" s="135" t="s">
        <v>578</v>
      </c>
      <c r="C51" s="57" t="s">
        <v>190</v>
      </c>
      <c r="D51" s="22"/>
      <c r="E51" s="22">
        <v>2362</v>
      </c>
      <c r="F51" s="156"/>
      <c r="G51" s="156"/>
    </row>
    <row r="52" spans="2:7" ht="18" customHeight="1">
      <c r="B52" s="135" t="s">
        <v>530</v>
      </c>
      <c r="C52" s="57" t="s">
        <v>190</v>
      </c>
      <c r="D52" s="22">
        <v>208661</v>
      </c>
      <c r="E52" s="22"/>
      <c r="F52" s="156"/>
      <c r="G52" s="156"/>
    </row>
    <row r="53" spans="2:7" ht="15.75">
      <c r="B53" s="135" t="s">
        <v>579</v>
      </c>
      <c r="C53" s="57" t="s">
        <v>190</v>
      </c>
      <c r="D53" s="22">
        <v>7559</v>
      </c>
      <c r="E53" s="22"/>
      <c r="F53" s="156"/>
      <c r="G53" s="156"/>
    </row>
    <row r="54" spans="1:9" s="113" customFormat="1" ht="15.75">
      <c r="A54" s="153"/>
      <c r="B54" s="150" t="s">
        <v>580</v>
      </c>
      <c r="C54" s="97" t="s">
        <v>190</v>
      </c>
      <c r="D54" s="98">
        <f>SUM(D42:D53)</f>
        <v>538160</v>
      </c>
      <c r="E54" s="98">
        <f>SUM(E46:E53)</f>
        <v>529251</v>
      </c>
      <c r="F54" s="157"/>
      <c r="G54" s="157"/>
      <c r="H54" s="157"/>
      <c r="I54" s="157"/>
    </row>
    <row r="55" spans="2:5" ht="15.75">
      <c r="B55" s="59"/>
      <c r="C55" s="57"/>
      <c r="D55" s="22"/>
      <c r="E55" s="22"/>
    </row>
    <row r="56" spans="2:5" ht="15.75">
      <c r="B56" s="59"/>
      <c r="C56" s="57"/>
      <c r="D56" s="22"/>
      <c r="E56" s="22"/>
    </row>
    <row r="57" spans="1:9" s="113" customFormat="1" ht="15.75">
      <c r="A57" s="153"/>
      <c r="B57" s="150" t="s">
        <v>581</v>
      </c>
      <c r="C57" s="97" t="s">
        <v>192</v>
      </c>
      <c r="D57" s="98">
        <f>SUM(D55:D56)</f>
        <v>0</v>
      </c>
      <c r="E57" s="98">
        <f>SUM(E55:E56)</f>
        <v>0</v>
      </c>
      <c r="F57" s="157"/>
      <c r="G57" s="157"/>
      <c r="H57" s="157"/>
      <c r="I57" s="157"/>
    </row>
    <row r="58" spans="2:5" ht="15.75">
      <c r="B58" s="59"/>
      <c r="C58" s="57"/>
      <c r="D58" s="22"/>
      <c r="E58" s="22"/>
    </row>
    <row r="59" spans="2:7" ht="15.75">
      <c r="B59" s="126" t="s">
        <v>523</v>
      </c>
      <c r="C59" s="57" t="s">
        <v>194</v>
      </c>
      <c r="D59" s="22">
        <v>129685</v>
      </c>
      <c r="E59" s="103"/>
      <c r="F59" s="156"/>
      <c r="G59" s="156"/>
    </row>
    <row r="60" spans="1:9" s="113" customFormat="1" ht="15.75">
      <c r="A60" s="153"/>
      <c r="B60" s="150" t="s">
        <v>582</v>
      </c>
      <c r="C60" s="97" t="s">
        <v>194</v>
      </c>
      <c r="D60" s="98">
        <f>SUM(D58:D59)</f>
        <v>129685</v>
      </c>
      <c r="E60" s="98">
        <f>SUM(E58:E59)</f>
        <v>0</v>
      </c>
      <c r="F60" s="157"/>
      <c r="G60" s="157"/>
      <c r="H60" s="157"/>
      <c r="I60" s="157"/>
    </row>
    <row r="61" spans="2:5" ht="15.75">
      <c r="B61" s="59"/>
      <c r="C61" s="57"/>
      <c r="D61" s="22"/>
      <c r="E61" s="22"/>
    </row>
    <row r="62" spans="2:6" ht="15.75">
      <c r="B62" s="135" t="s">
        <v>583</v>
      </c>
      <c r="C62" s="57" t="s">
        <v>196</v>
      </c>
      <c r="D62" s="22">
        <f>16666-D50</f>
        <v>3543</v>
      </c>
      <c r="E62" s="22"/>
      <c r="F62" s="156"/>
    </row>
    <row r="63" spans="2:6" ht="15.75">
      <c r="B63" s="135" t="s">
        <v>584</v>
      </c>
      <c r="C63" s="57" t="s">
        <v>196</v>
      </c>
      <c r="D63" s="22">
        <f>33300-D44</f>
        <v>7080</v>
      </c>
      <c r="E63" s="22"/>
      <c r="F63" s="156"/>
    </row>
    <row r="64" spans="2:6" ht="15.75">
      <c r="B64" s="135" t="s">
        <v>585</v>
      </c>
      <c r="C64" s="57" t="s">
        <v>196</v>
      </c>
      <c r="D64" s="22">
        <f>37680-D45</f>
        <v>8011</v>
      </c>
      <c r="E64" s="103"/>
      <c r="F64" s="156"/>
    </row>
    <row r="65" spans="2:6" ht="15.75">
      <c r="B65" s="135" t="s">
        <v>529</v>
      </c>
      <c r="C65" s="57" t="s">
        <v>196</v>
      </c>
      <c r="D65" s="22">
        <f>77750-D43</f>
        <v>16530</v>
      </c>
      <c r="E65" s="103"/>
      <c r="F65" s="156"/>
    </row>
    <row r="66" spans="2:6" ht="31.5">
      <c r="B66" s="126" t="s">
        <v>586</v>
      </c>
      <c r="C66" s="57" t="s">
        <v>196</v>
      </c>
      <c r="D66" s="22"/>
      <c r="E66" s="22">
        <f>396150-E46</f>
        <v>105481</v>
      </c>
      <c r="F66" s="156"/>
    </row>
    <row r="67" spans="2:5" ht="31.5">
      <c r="B67" s="126" t="s">
        <v>587</v>
      </c>
      <c r="C67" s="57" t="s">
        <v>196</v>
      </c>
      <c r="D67" s="22">
        <f>131074-D47</f>
        <v>27866</v>
      </c>
      <c r="E67" s="103" t="s">
        <v>540</v>
      </c>
    </row>
    <row r="68" spans="2:6" ht="15.75">
      <c r="B68" s="126" t="s">
        <v>588</v>
      </c>
      <c r="C68" s="57" t="s">
        <v>196</v>
      </c>
      <c r="D68" s="22">
        <f>112395-D48</f>
        <v>23895</v>
      </c>
      <c r="E68" s="103"/>
      <c r="F68" s="156"/>
    </row>
    <row r="69" spans="2:6" ht="15.75">
      <c r="B69" s="126" t="s">
        <v>589</v>
      </c>
      <c r="C69" s="57" t="s">
        <v>196</v>
      </c>
      <c r="D69" s="22"/>
      <c r="E69" s="22">
        <f>300000-E49</f>
        <v>63780</v>
      </c>
      <c r="F69" s="156"/>
    </row>
    <row r="70" spans="2:6" ht="15.75">
      <c r="B70" s="135" t="s">
        <v>590</v>
      </c>
      <c r="C70" s="57" t="s">
        <v>196</v>
      </c>
      <c r="D70" s="22"/>
      <c r="E70" s="22">
        <f>3000-E51</f>
        <v>638</v>
      </c>
      <c r="F70" s="156"/>
    </row>
    <row r="71" spans="2:6" ht="31.5">
      <c r="B71" s="135" t="s">
        <v>591</v>
      </c>
      <c r="C71" s="57" t="s">
        <v>196</v>
      </c>
      <c r="D71" s="22">
        <f>265000-D52</f>
        <v>56339</v>
      </c>
      <c r="E71" s="103"/>
      <c r="F71" s="156"/>
    </row>
    <row r="72" spans="2:5" ht="15.75">
      <c r="B72" s="135" t="s">
        <v>592</v>
      </c>
      <c r="C72" s="57" t="s">
        <v>196</v>
      </c>
      <c r="D72" s="22">
        <v>2041</v>
      </c>
      <c r="E72" s="103"/>
    </row>
    <row r="73" spans="2:6" ht="15.75">
      <c r="B73" s="126" t="s">
        <v>593</v>
      </c>
      <c r="C73" s="57" t="s">
        <v>196</v>
      </c>
      <c r="D73" s="22">
        <f>164700-D59</f>
        <v>35015</v>
      </c>
      <c r="E73" s="103"/>
      <c r="F73" s="156"/>
    </row>
    <row r="74" spans="1:9" s="113" customFormat="1" ht="15.75">
      <c r="A74" s="88"/>
      <c r="B74" s="150" t="s">
        <v>594</v>
      </c>
      <c r="C74" s="97" t="s">
        <v>196</v>
      </c>
      <c r="D74" s="130">
        <f>SUM(D61:D73)</f>
        <v>180320</v>
      </c>
      <c r="E74" s="130">
        <f>SUM(E61:E73)</f>
        <v>169899</v>
      </c>
      <c r="F74" s="157"/>
      <c r="G74" s="157"/>
      <c r="H74" s="157"/>
      <c r="I74" s="157"/>
    </row>
    <row r="75" spans="1:9" s="100" customFormat="1" ht="15.75">
      <c r="A75" s="88"/>
      <c r="B75" s="150" t="s">
        <v>595</v>
      </c>
      <c r="C75" s="97" t="s">
        <v>198</v>
      </c>
      <c r="D75" s="98">
        <f>+D74+D60+D57+D54</f>
        <v>848165</v>
      </c>
      <c r="E75" s="98">
        <f>+E74+E60+E57+E54</f>
        <v>699150</v>
      </c>
      <c r="F75" s="158"/>
      <c r="G75" s="158"/>
      <c r="H75" s="158"/>
      <c r="I75" s="158"/>
    </row>
    <row r="76" spans="1:9" s="100" customFormat="1" ht="15.75">
      <c r="A76" s="88"/>
      <c r="B76" s="159" t="s">
        <v>596</v>
      </c>
      <c r="C76" s="159" t="s">
        <v>597</v>
      </c>
      <c r="D76" s="130">
        <f>+D75+D41</f>
        <v>859585</v>
      </c>
      <c r="E76" s="130">
        <f>+E75+E41</f>
        <v>748293</v>
      </c>
      <c r="F76" s="158"/>
      <c r="G76" s="158"/>
      <c r="H76" s="158"/>
      <c r="I76" s="158"/>
    </row>
    <row r="77" spans="2:5" ht="15.75">
      <c r="B77" s="160"/>
      <c r="C77" s="160"/>
      <c r="D77" s="133"/>
      <c r="E77" s="133"/>
    </row>
    <row r="78" spans="2:5" ht="15.75">
      <c r="B78" s="160"/>
      <c r="C78" s="160"/>
      <c r="D78" s="133"/>
      <c r="E78" s="133"/>
    </row>
  </sheetData>
  <sheetProtection selectLockedCells="1" selectUnlockedCells="1"/>
  <mergeCells count="1">
    <mergeCell ref="D7:E7"/>
  </mergeCells>
  <printOptions/>
  <pageMargins left="0.7083333333333334" right="0.49027777777777776" top="0.5" bottom="0.6104166666666666" header="0.5118055555555555" footer="0.31527777777777777"/>
  <pageSetup horizontalDpi="300" verticalDpi="300" orientation="portrait" paperSize="9" scale="80" r:id="rId1"/>
  <headerFooter alignWithMargins="0">
    <oddFooter>&amp;R&amp;P</oddFoot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workbookViewId="0" topLeftCell="A1">
      <selection activeCell="G143" sqref="G143"/>
    </sheetView>
  </sheetViews>
  <sheetFormatPr defaultColWidth="9.140625" defaultRowHeight="15"/>
  <cols>
    <col min="1" max="1" width="10.57421875" style="161" customWidth="1"/>
    <col min="2" max="2" width="61.140625" style="162" customWidth="1"/>
    <col min="3" max="3" width="7.421875" style="162" customWidth="1"/>
    <col min="4" max="4" width="10.00390625" style="162" customWidth="1"/>
    <col min="5" max="5" width="10.140625" style="162" customWidth="1"/>
    <col min="6" max="6" width="10.00390625" style="162" customWidth="1"/>
    <col min="7" max="16384" width="9.140625" style="162" customWidth="1"/>
  </cols>
  <sheetData>
    <row r="1" ht="15.75">
      <c r="F1" s="30" t="s">
        <v>598</v>
      </c>
    </row>
    <row r="2" ht="15.75">
      <c r="F2" s="14" t="s">
        <v>88</v>
      </c>
    </row>
    <row r="3" ht="15">
      <c r="F3" s="163"/>
    </row>
    <row r="4" ht="15">
      <c r="F4" s="163"/>
    </row>
    <row r="5" spans="2:3" ht="24" customHeight="1">
      <c r="B5" s="400" t="s">
        <v>89</v>
      </c>
      <c r="C5" s="400"/>
    </row>
    <row r="6" spans="2:6" ht="18.75">
      <c r="B6" s="32"/>
      <c r="C6" s="164"/>
      <c r="D6" s="164"/>
      <c r="E6" s="164"/>
      <c r="F6" s="164"/>
    </row>
    <row r="7" spans="2:6" ht="16.5" customHeight="1">
      <c r="B7" s="16" t="s">
        <v>599</v>
      </c>
      <c r="C7" s="165"/>
      <c r="D7" s="165"/>
      <c r="E7" s="165"/>
      <c r="F7" s="165"/>
    </row>
    <row r="8" ht="19.5">
      <c r="B8" s="166"/>
    </row>
    <row r="9" spans="4:6" ht="15.75" customHeight="1">
      <c r="D9" s="404" t="s">
        <v>259</v>
      </c>
      <c r="E9" s="404"/>
      <c r="F9" s="404"/>
    </row>
    <row r="10" spans="1:6" s="20" customFormat="1" ht="52.5" customHeight="1">
      <c r="A10" s="88"/>
      <c r="B10" s="167" t="s">
        <v>600</v>
      </c>
      <c r="C10" s="40" t="s">
        <v>119</v>
      </c>
      <c r="D10" s="168" t="s">
        <v>93</v>
      </c>
      <c r="E10" s="168" t="s">
        <v>94</v>
      </c>
      <c r="F10" s="169" t="s">
        <v>601</v>
      </c>
    </row>
    <row r="11" spans="1:6" ht="15.75">
      <c r="A11" s="88"/>
      <c r="B11" s="170"/>
      <c r="C11" s="171"/>
      <c r="D11" s="172"/>
      <c r="E11" s="172"/>
      <c r="F11" s="173"/>
    </row>
    <row r="12" spans="2:6" ht="15.75">
      <c r="B12" s="114" t="s">
        <v>602</v>
      </c>
      <c r="C12" s="58"/>
      <c r="D12" s="22">
        <f>40000</f>
        <v>40000</v>
      </c>
      <c r="E12" s="22">
        <v>0</v>
      </c>
      <c r="F12" s="23">
        <f>SUM(D12:E12)</f>
        <v>40000</v>
      </c>
    </row>
    <row r="13" spans="2:6" ht="15.75">
      <c r="B13" s="114" t="s">
        <v>603</v>
      </c>
      <c r="C13" s="21"/>
      <c r="D13" s="22">
        <v>0</v>
      </c>
      <c r="E13" s="22">
        <v>0</v>
      </c>
      <c r="F13" s="23">
        <f>SUM(D13:E13)</f>
        <v>0</v>
      </c>
    </row>
    <row r="14" spans="1:6" s="174" customFormat="1" ht="15.75">
      <c r="A14" s="161"/>
      <c r="B14" s="150" t="s">
        <v>604</v>
      </c>
      <c r="C14" s="97" t="s">
        <v>167</v>
      </c>
      <c r="D14" s="98">
        <f>+D12+D13</f>
        <v>40000</v>
      </c>
      <c r="E14" s="98">
        <f>+E12+E13</f>
        <v>0</v>
      </c>
      <c r="F14" s="98">
        <f>SUM(D14:E14)</f>
        <v>40000</v>
      </c>
    </row>
    <row r="15" spans="2:6" ht="15.75">
      <c r="B15" s="21"/>
      <c r="C15" s="21"/>
      <c r="D15" s="22"/>
      <c r="E15" s="22"/>
      <c r="F15" s="23"/>
    </row>
    <row r="16" spans="2:6" ht="15.75">
      <c r="B16" s="175" t="s">
        <v>605</v>
      </c>
      <c r="C16" s="58"/>
      <c r="D16" s="22">
        <v>100</v>
      </c>
      <c r="E16" s="22"/>
      <c r="F16" s="23">
        <f>SUM(D16:E16)</f>
        <v>100</v>
      </c>
    </row>
    <row r="17" spans="2:6" ht="15.75">
      <c r="B17" s="175" t="s">
        <v>606</v>
      </c>
      <c r="C17" s="58"/>
      <c r="D17" s="22">
        <v>100</v>
      </c>
      <c r="E17" s="22"/>
      <c r="F17" s="23">
        <f>SUM(D17:E17)</f>
        <v>100</v>
      </c>
    </row>
    <row r="18" spans="2:6" ht="15.75">
      <c r="B18" s="175" t="s">
        <v>607</v>
      </c>
      <c r="C18" s="58"/>
      <c r="D18" s="22">
        <v>100</v>
      </c>
      <c r="E18" s="22"/>
      <c r="F18" s="23">
        <f>SUM(D18:E18)</f>
        <v>100</v>
      </c>
    </row>
    <row r="19" spans="2:6" ht="15.75">
      <c r="B19" s="175" t="s">
        <v>608</v>
      </c>
      <c r="C19" s="21"/>
      <c r="D19" s="22">
        <v>4000</v>
      </c>
      <c r="E19" s="22"/>
      <c r="F19" s="23">
        <f>SUM(D19:E19)</f>
        <v>4000</v>
      </c>
    </row>
    <row r="20" spans="1:6" s="174" customFormat="1" ht="15.75">
      <c r="A20" s="161"/>
      <c r="B20" s="176" t="s">
        <v>609</v>
      </c>
      <c r="C20" s="129" t="s">
        <v>167</v>
      </c>
      <c r="D20" s="130">
        <f>SUM(D16:D19)</f>
        <v>4300</v>
      </c>
      <c r="E20" s="130">
        <f>SUM(E16:E19)</f>
        <v>0</v>
      </c>
      <c r="F20" s="130">
        <f>SUM(F16:F19)</f>
        <v>4300</v>
      </c>
    </row>
    <row r="21" spans="2:6" ht="15.75">
      <c r="B21" s="107"/>
      <c r="C21" s="21"/>
      <c r="D21" s="22"/>
      <c r="E21" s="22"/>
      <c r="F21" s="23"/>
    </row>
    <row r="22" spans="2:6" ht="15.75">
      <c r="B22" s="21"/>
      <c r="C22" s="21"/>
      <c r="D22" s="22">
        <v>0</v>
      </c>
      <c r="E22" s="22">
        <v>0</v>
      </c>
      <c r="F22" s="23"/>
    </row>
    <row r="23" spans="1:6" s="174" customFormat="1" ht="15.75">
      <c r="A23" s="161"/>
      <c r="B23" s="176" t="s">
        <v>610</v>
      </c>
      <c r="C23" s="129" t="s">
        <v>167</v>
      </c>
      <c r="D23" s="130">
        <f>SUM(D22)</f>
        <v>0</v>
      </c>
      <c r="E23" s="130">
        <f>SUM(E22)</f>
        <v>0</v>
      </c>
      <c r="F23" s="130">
        <f>SUM(D23:E23)</f>
        <v>0</v>
      </c>
    </row>
    <row r="24" spans="1:6" s="174" customFormat="1" ht="15.75">
      <c r="A24" s="161"/>
      <c r="B24" s="150" t="s">
        <v>611</v>
      </c>
      <c r="C24" s="129" t="s">
        <v>167</v>
      </c>
      <c r="D24" s="98">
        <f>+D20+D23</f>
        <v>4300</v>
      </c>
      <c r="E24" s="98">
        <f>+E20+E23</f>
        <v>0</v>
      </c>
      <c r="F24" s="98">
        <f>SUM(D24:E24)</f>
        <v>4300</v>
      </c>
    </row>
    <row r="25" spans="2:6" ht="15.75">
      <c r="B25" s="21"/>
      <c r="C25" s="21"/>
      <c r="D25" s="21"/>
      <c r="E25" s="21"/>
      <c r="F25" s="21"/>
    </row>
    <row r="26" spans="1:6" s="179" customFormat="1" ht="15.75">
      <c r="A26" s="161"/>
      <c r="B26" s="177" t="s">
        <v>612</v>
      </c>
      <c r="C26" s="97" t="s">
        <v>167</v>
      </c>
      <c r="D26" s="178">
        <f>+D24+D14</f>
        <v>44300</v>
      </c>
      <c r="E26" s="178">
        <f>+E24+E14</f>
        <v>0</v>
      </c>
      <c r="F26" s="178">
        <f>+F24+F14</f>
        <v>44300</v>
      </c>
    </row>
  </sheetData>
  <sheetProtection selectLockedCells="1" selectUnlockedCells="1"/>
  <mergeCells count="2">
    <mergeCell ref="B5:C5"/>
    <mergeCell ref="D9:F9"/>
  </mergeCell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portrait" paperSize="9" scale="8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C259"/>
  <sheetViews>
    <sheetView view="pageBreakPreview" zoomScaleSheetLayoutView="100" workbookViewId="0" topLeftCell="A1">
      <pane xSplit="3" ySplit="6" topLeftCell="D7" activePane="bottomRight" state="frozen"/>
      <selection pane="topLeft" activeCell="G143" sqref="G143"/>
      <selection pane="topRight" activeCell="G143" sqref="G143"/>
      <selection pane="bottomLeft" activeCell="G143" sqref="G143"/>
      <selection pane="bottomRight" activeCell="G143" sqref="G143"/>
    </sheetView>
  </sheetViews>
  <sheetFormatPr defaultColWidth="9.140625" defaultRowHeight="15"/>
  <cols>
    <col min="1" max="1" width="9.140625" style="180" customWidth="1"/>
    <col min="2" max="2" width="54.00390625" style="180" customWidth="1"/>
    <col min="3" max="3" width="8.57421875" style="180" customWidth="1"/>
    <col min="4" max="6" width="13.140625" style="180" customWidth="1"/>
    <col min="7" max="24" width="15.57421875" style="180" customWidth="1"/>
    <col min="25" max="25" width="13.7109375" style="180" customWidth="1"/>
    <col min="26" max="26" width="12.28125" style="180" customWidth="1"/>
    <col min="27" max="27" width="11.00390625" style="180" customWidth="1"/>
    <col min="28" max="28" width="14.57421875" style="180" customWidth="1"/>
    <col min="29" max="16384" width="9.140625" style="180" customWidth="1"/>
  </cols>
  <sheetData>
    <row r="1" spans="6:28" ht="15.75">
      <c r="F1" s="30" t="s">
        <v>613</v>
      </c>
      <c r="I1" s="14" t="str">
        <f>+F1</f>
        <v>7 .melléklet </v>
      </c>
      <c r="J1" s="14"/>
      <c r="L1" s="14" t="str">
        <f>+I1</f>
        <v>7 .melléklet </v>
      </c>
      <c r="N1" s="14"/>
      <c r="O1" s="14" t="str">
        <f>+L1</f>
        <v>7 .melléklet </v>
      </c>
      <c r="R1" s="14" t="str">
        <f>+O1</f>
        <v>7 .melléklet </v>
      </c>
      <c r="U1" s="14" t="str">
        <f>+O1</f>
        <v>7 .melléklet </v>
      </c>
      <c r="V1" s="14"/>
      <c r="X1" s="14" t="str">
        <f>+U1</f>
        <v>7 .melléklet </v>
      </c>
      <c r="AB1" s="14" t="str">
        <f>+X1</f>
        <v>7 .melléklet </v>
      </c>
    </row>
    <row r="2" spans="6:28" ht="15.75">
      <c r="F2" s="14" t="s">
        <v>88</v>
      </c>
      <c r="I2" s="14" t="str">
        <f>+F2</f>
        <v>a  4/2015.(II.26.) önkormányzati rendelethez</v>
      </c>
      <c r="J2" s="14"/>
      <c r="L2" s="14" t="str">
        <f>+I2</f>
        <v>a  4/2015.(II.26.) önkormányzati rendelethez</v>
      </c>
      <c r="N2" s="14"/>
      <c r="O2" s="14" t="str">
        <f>+L2</f>
        <v>a  4/2015.(II.26.) önkormányzati rendelethez</v>
      </c>
      <c r="R2" s="14" t="str">
        <f>+O2</f>
        <v>a  4/2015.(II.26.) önkormányzati rendelethez</v>
      </c>
      <c r="U2" s="14" t="str">
        <f>+O2</f>
        <v>a  4/2015.(II.26.) önkormányzati rendelethez</v>
      </c>
      <c r="V2" s="14"/>
      <c r="X2" s="14" t="str">
        <f>+U2</f>
        <v>a  4/2015.(II.26.) önkormányzati rendelethez</v>
      </c>
      <c r="AB2" s="14" t="str">
        <f>+X2</f>
        <v>a  4/2015.(II.26.) önkormányzati rendelethez</v>
      </c>
    </row>
    <row r="3" spans="2:29" ht="18.75">
      <c r="B3" s="32" t="s">
        <v>614</v>
      </c>
      <c r="G3" s="181"/>
      <c r="U3" s="163"/>
      <c r="V3" s="163"/>
      <c r="W3" s="163"/>
      <c r="X3" s="163"/>
      <c r="Y3" s="163"/>
      <c r="Z3" s="163"/>
      <c r="AA3" s="163"/>
      <c r="AC3" s="182"/>
    </row>
    <row r="4" spans="2:29" s="183" customFormat="1" ht="19.5">
      <c r="B4" s="184" t="s">
        <v>615</v>
      </c>
      <c r="G4" s="405" t="s">
        <v>616</v>
      </c>
      <c r="H4" s="405"/>
      <c r="I4" s="405"/>
      <c r="J4" s="405" t="s">
        <v>616</v>
      </c>
      <c r="K4" s="405"/>
      <c r="L4" s="405"/>
      <c r="M4" s="405" t="s">
        <v>616</v>
      </c>
      <c r="N4" s="405"/>
      <c r="O4" s="405"/>
      <c r="P4" s="405" t="s">
        <v>616</v>
      </c>
      <c r="Q4" s="405"/>
      <c r="R4" s="405"/>
      <c r="S4" s="407" t="s">
        <v>616</v>
      </c>
      <c r="T4" s="407"/>
      <c r="U4" s="185" t="s">
        <v>617</v>
      </c>
      <c r="V4" s="407" t="s">
        <v>617</v>
      </c>
      <c r="W4" s="407"/>
      <c r="X4" s="407"/>
      <c r="Y4" s="408" t="s">
        <v>617</v>
      </c>
      <c r="Z4" s="408"/>
      <c r="AA4" s="408"/>
      <c r="AB4" s="408"/>
      <c r="AC4" s="182"/>
    </row>
    <row r="5" spans="4:29" s="183" customFormat="1" ht="26.25" customHeight="1">
      <c r="D5" s="404" t="s">
        <v>91</v>
      </c>
      <c r="E5" s="404"/>
      <c r="F5" s="404"/>
      <c r="G5" s="187" t="s">
        <v>618</v>
      </c>
      <c r="H5" s="187" t="s">
        <v>618</v>
      </c>
      <c r="I5" s="187" t="s">
        <v>618</v>
      </c>
      <c r="J5" s="187" t="s">
        <v>618</v>
      </c>
      <c r="K5" s="187" t="s">
        <v>618</v>
      </c>
      <c r="L5" s="187" t="s">
        <v>618</v>
      </c>
      <c r="M5" s="187" t="s">
        <v>618</v>
      </c>
      <c r="N5" s="187" t="s">
        <v>618</v>
      </c>
      <c r="O5" s="187" t="s">
        <v>618</v>
      </c>
      <c r="P5" s="187" t="s">
        <v>618</v>
      </c>
      <c r="Q5" s="187" t="s">
        <v>618</v>
      </c>
      <c r="R5" s="187" t="s">
        <v>618</v>
      </c>
      <c r="S5" s="187" t="s">
        <v>618</v>
      </c>
      <c r="T5" s="187" t="s">
        <v>618</v>
      </c>
      <c r="U5" s="187" t="s">
        <v>618</v>
      </c>
      <c r="V5" s="187" t="s">
        <v>618</v>
      </c>
      <c r="W5" s="187" t="s">
        <v>618</v>
      </c>
      <c r="X5" s="187" t="s">
        <v>618</v>
      </c>
      <c r="Y5" s="187" t="s">
        <v>618</v>
      </c>
      <c r="Z5" s="187" t="s">
        <v>618</v>
      </c>
      <c r="AA5" s="187" t="s">
        <v>618</v>
      </c>
      <c r="AB5" s="187" t="s">
        <v>618</v>
      </c>
      <c r="AC5" s="182"/>
    </row>
    <row r="6" spans="2:28" s="188" customFormat="1" ht="96.75" customHeight="1">
      <c r="B6" s="170" t="s">
        <v>92</v>
      </c>
      <c r="C6" s="171" t="s">
        <v>119</v>
      </c>
      <c r="D6" s="189" t="s">
        <v>619</v>
      </c>
      <c r="E6" s="189" t="s">
        <v>620</v>
      </c>
      <c r="F6" s="171" t="s">
        <v>621</v>
      </c>
      <c r="G6" s="189" t="s">
        <v>622</v>
      </c>
      <c r="H6" s="189" t="s">
        <v>623</v>
      </c>
      <c r="I6" s="189" t="s">
        <v>624</v>
      </c>
      <c r="J6" s="189" t="s">
        <v>625</v>
      </c>
      <c r="K6" s="189" t="s">
        <v>626</v>
      </c>
      <c r="L6" s="189" t="s">
        <v>627</v>
      </c>
      <c r="M6" s="189" t="s">
        <v>628</v>
      </c>
      <c r="N6" s="189" t="s">
        <v>629</v>
      </c>
      <c r="O6" s="189" t="s">
        <v>630</v>
      </c>
      <c r="P6" s="189" t="s">
        <v>631</v>
      </c>
      <c r="Q6" s="189" t="s">
        <v>632</v>
      </c>
      <c r="R6" s="189" t="s">
        <v>633</v>
      </c>
      <c r="S6" s="189" t="s">
        <v>634</v>
      </c>
      <c r="T6" s="189" t="s">
        <v>635</v>
      </c>
      <c r="U6" s="189" t="s">
        <v>636</v>
      </c>
      <c r="V6" s="189" t="s">
        <v>637</v>
      </c>
      <c r="W6" s="189" t="s">
        <v>638</v>
      </c>
      <c r="X6" s="189" t="s">
        <v>639</v>
      </c>
      <c r="Y6" s="189" t="s">
        <v>640</v>
      </c>
      <c r="Z6" s="189" t="s">
        <v>641</v>
      </c>
      <c r="AA6" s="189" t="s">
        <v>642</v>
      </c>
      <c r="AB6" s="189" t="s">
        <v>643</v>
      </c>
    </row>
    <row r="7" spans="2:28" ht="12.75">
      <c r="B7" s="190" t="s">
        <v>120</v>
      </c>
      <c r="C7" s="191" t="s">
        <v>121</v>
      </c>
      <c r="D7" s="192">
        <f>+G7+H7+I7+J7+K7+L7+M7+N7+O7+P7+Q7+R7+S7+T7</f>
        <v>0</v>
      </c>
      <c r="E7" s="193">
        <f>+U7+V7+W7+X7+Z7+AA7+AB7+Y7</f>
        <v>0</v>
      </c>
      <c r="F7" s="194">
        <f>+D7+E7</f>
        <v>0</v>
      </c>
      <c r="G7" s="192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</row>
    <row r="8" spans="2:28" ht="12.75">
      <c r="B8" s="196" t="s">
        <v>122</v>
      </c>
      <c r="C8" s="191" t="s">
        <v>123</v>
      </c>
      <c r="D8" s="192">
        <f>+G8+H8+I8+J8+K8+L8+M8+N8+O8+P8+Q8+R8+S8+T8</f>
        <v>22235</v>
      </c>
      <c r="E8" s="193">
        <f>+U8+V8+W8+X8+Z8+AA8+AB8+Y8</f>
        <v>0</v>
      </c>
      <c r="F8" s="194">
        <f>+D8+E8</f>
        <v>22235</v>
      </c>
      <c r="G8" s="192">
        <f>20769+1272+194</f>
        <v>22235</v>
      </c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</row>
    <row r="9" spans="2:28" s="197" customFormat="1" ht="12.75">
      <c r="B9" s="198" t="s">
        <v>124</v>
      </c>
      <c r="C9" s="199" t="s">
        <v>125</v>
      </c>
      <c r="D9" s="200">
        <f aca="true" t="shared" si="0" ref="D9:AB9">SUM(D7:D8)</f>
        <v>22235</v>
      </c>
      <c r="E9" s="200">
        <f t="shared" si="0"/>
        <v>0</v>
      </c>
      <c r="F9" s="200">
        <f t="shared" si="0"/>
        <v>22235</v>
      </c>
      <c r="G9" s="200">
        <f t="shared" si="0"/>
        <v>22235</v>
      </c>
      <c r="H9" s="200">
        <f t="shared" si="0"/>
        <v>0</v>
      </c>
      <c r="I9" s="200">
        <f t="shared" si="0"/>
        <v>0</v>
      </c>
      <c r="J9" s="200">
        <f t="shared" si="0"/>
        <v>0</v>
      </c>
      <c r="K9" s="200">
        <f t="shared" si="0"/>
        <v>0</v>
      </c>
      <c r="L9" s="200">
        <f t="shared" si="0"/>
        <v>0</v>
      </c>
      <c r="M9" s="200">
        <f t="shared" si="0"/>
        <v>0</v>
      </c>
      <c r="N9" s="200">
        <f t="shared" si="0"/>
        <v>0</v>
      </c>
      <c r="O9" s="200">
        <f t="shared" si="0"/>
        <v>0</v>
      </c>
      <c r="P9" s="200">
        <f t="shared" si="0"/>
        <v>0</v>
      </c>
      <c r="Q9" s="200">
        <f t="shared" si="0"/>
        <v>0</v>
      </c>
      <c r="R9" s="200">
        <f t="shared" si="0"/>
        <v>0</v>
      </c>
      <c r="S9" s="200">
        <f t="shared" si="0"/>
        <v>0</v>
      </c>
      <c r="T9" s="200">
        <f t="shared" si="0"/>
        <v>0</v>
      </c>
      <c r="U9" s="200">
        <f t="shared" si="0"/>
        <v>0</v>
      </c>
      <c r="V9" s="200">
        <f t="shared" si="0"/>
        <v>0</v>
      </c>
      <c r="W9" s="200">
        <f t="shared" si="0"/>
        <v>0</v>
      </c>
      <c r="X9" s="200">
        <f t="shared" si="0"/>
        <v>0</v>
      </c>
      <c r="Y9" s="200">
        <f t="shared" si="0"/>
        <v>0</v>
      </c>
      <c r="Z9" s="200">
        <f t="shared" si="0"/>
        <v>0</v>
      </c>
      <c r="AA9" s="200">
        <f t="shared" si="0"/>
        <v>0</v>
      </c>
      <c r="AB9" s="200">
        <f t="shared" si="0"/>
        <v>0</v>
      </c>
    </row>
    <row r="10" spans="2:28" s="197" customFormat="1" ht="12.75">
      <c r="B10" s="201" t="s">
        <v>126</v>
      </c>
      <c r="C10" s="199" t="s">
        <v>127</v>
      </c>
      <c r="D10" s="202">
        <f aca="true" t="shared" si="1" ref="D10:D15">+G10+H10+I10+J10+K10+L10+M10+N10+O10+P10+Q10+R10+S10+T10</f>
        <v>6003</v>
      </c>
      <c r="E10" s="203">
        <f aca="true" t="shared" si="2" ref="E10:E15">+U10+V10+W10+X10+Z10+AA10+AB10+Y10</f>
        <v>0</v>
      </c>
      <c r="F10" s="200">
        <f aca="true" t="shared" si="3" ref="F10:F15">+D10+E10</f>
        <v>6003</v>
      </c>
      <c r="G10" s="202">
        <v>6003</v>
      </c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</row>
    <row r="11" spans="2:28" ht="12.75">
      <c r="B11" s="196" t="s">
        <v>128</v>
      </c>
      <c r="C11" s="191" t="s">
        <v>129</v>
      </c>
      <c r="D11" s="192">
        <f t="shared" si="1"/>
        <v>570</v>
      </c>
      <c r="E11" s="193">
        <f t="shared" si="2"/>
        <v>0</v>
      </c>
      <c r="F11" s="194">
        <f t="shared" si="3"/>
        <v>570</v>
      </c>
      <c r="G11" s="192"/>
      <c r="H11" s="192"/>
      <c r="I11" s="192"/>
      <c r="J11" s="192"/>
      <c r="K11" s="192"/>
      <c r="L11" s="192"/>
      <c r="M11" s="192"/>
      <c r="N11" s="192">
        <v>570</v>
      </c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2:28" ht="12.75">
      <c r="B12" s="196" t="s">
        <v>130</v>
      </c>
      <c r="C12" s="191" t="s">
        <v>131</v>
      </c>
      <c r="D12" s="192">
        <f t="shared" si="1"/>
        <v>0</v>
      </c>
      <c r="E12" s="193">
        <f t="shared" si="2"/>
        <v>0</v>
      </c>
      <c r="F12" s="194">
        <f t="shared" si="3"/>
        <v>0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</row>
    <row r="13" spans="2:28" ht="12.75">
      <c r="B13" s="196" t="s">
        <v>132</v>
      </c>
      <c r="C13" s="191" t="s">
        <v>133</v>
      </c>
      <c r="D13" s="192">
        <f t="shared" si="1"/>
        <v>114963</v>
      </c>
      <c r="E13" s="193">
        <f t="shared" si="2"/>
        <v>7196</v>
      </c>
      <c r="F13" s="194">
        <f t="shared" si="3"/>
        <v>122159</v>
      </c>
      <c r="G13" s="192">
        <f>3500+18824+6000</f>
        <v>28324</v>
      </c>
      <c r="H13" s="192">
        <f>1400+2900+500+1000</f>
        <v>5800</v>
      </c>
      <c r="I13" s="192"/>
      <c r="J13" s="192"/>
      <c r="K13" s="192">
        <v>27020</v>
      </c>
      <c r="L13" s="192">
        <v>14839</v>
      </c>
      <c r="M13" s="192">
        <v>6200</v>
      </c>
      <c r="N13" s="192">
        <v>4000</v>
      </c>
      <c r="O13" s="192"/>
      <c r="P13" s="192">
        <f>24000+2600</f>
        <v>26600</v>
      </c>
      <c r="Q13" s="192">
        <f>220+500+500+960</f>
        <v>2180</v>
      </c>
      <c r="R13" s="192"/>
      <c r="S13" s="192"/>
      <c r="T13" s="192"/>
      <c r="U13" s="192"/>
      <c r="V13" s="192"/>
      <c r="W13" s="192">
        <f>ROUND(22778.88*325.47/1000,0)-W41-1947</f>
        <v>5264</v>
      </c>
      <c r="X13" s="192"/>
      <c r="Y13" s="192">
        <f>1200+276+72+384</f>
        <v>1932</v>
      </c>
      <c r="Z13" s="192"/>
      <c r="AA13" s="192"/>
      <c r="AB13" s="192"/>
    </row>
    <row r="14" spans="2:28" ht="12.75">
      <c r="B14" s="196" t="s">
        <v>134</v>
      </c>
      <c r="C14" s="191" t="s">
        <v>135</v>
      </c>
      <c r="D14" s="192">
        <f t="shared" si="1"/>
        <v>4020</v>
      </c>
      <c r="E14" s="193">
        <f t="shared" si="2"/>
        <v>0</v>
      </c>
      <c r="F14" s="194">
        <f t="shared" si="3"/>
        <v>4020</v>
      </c>
      <c r="G14" s="192">
        <f>3500+120</f>
        <v>3620</v>
      </c>
      <c r="H14" s="192"/>
      <c r="I14" s="192"/>
      <c r="J14" s="192"/>
      <c r="K14" s="192"/>
      <c r="L14" s="192"/>
      <c r="M14" s="192"/>
      <c r="N14" s="192"/>
      <c r="O14" s="192">
        <v>400</v>
      </c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</row>
    <row r="15" spans="2:28" ht="12.75">
      <c r="B15" s="196" t="s">
        <v>136</v>
      </c>
      <c r="C15" s="191" t="s">
        <v>137</v>
      </c>
      <c r="D15" s="192">
        <f t="shared" si="1"/>
        <v>81177</v>
      </c>
      <c r="E15" s="193">
        <f t="shared" si="2"/>
        <v>2468.9700000000003</v>
      </c>
      <c r="F15" s="194">
        <f t="shared" si="3"/>
        <v>83645.97</v>
      </c>
      <c r="G15" s="192">
        <f>5082+7500+1710+242+3010+15000</f>
        <v>32544</v>
      </c>
      <c r="H15" s="192">
        <v>1600</v>
      </c>
      <c r="I15" s="192"/>
      <c r="J15" s="192"/>
      <c r="K15" s="192">
        <v>7295</v>
      </c>
      <c r="L15" s="192">
        <v>4007</v>
      </c>
      <c r="M15" s="192">
        <v>1674</v>
      </c>
      <c r="N15" s="192">
        <v>1234</v>
      </c>
      <c r="O15" s="192">
        <f>18850+5198</f>
        <v>24048</v>
      </c>
      <c r="P15" s="192">
        <v>7182</v>
      </c>
      <c r="Q15" s="192">
        <f>295+409</f>
        <v>704</v>
      </c>
      <c r="R15" s="192">
        <f>500+135</f>
        <v>635</v>
      </c>
      <c r="S15" s="192">
        <f>200+54</f>
        <v>254</v>
      </c>
      <c r="T15" s="192"/>
      <c r="U15" s="192"/>
      <c r="V15" s="192"/>
      <c r="W15" s="192">
        <f>7211*0.27</f>
        <v>1946.97</v>
      </c>
      <c r="X15" s="192"/>
      <c r="Y15" s="192">
        <v>522</v>
      </c>
      <c r="Z15" s="192"/>
      <c r="AA15" s="192"/>
      <c r="AB15" s="192"/>
    </row>
    <row r="16" spans="2:28" s="197" customFormat="1" ht="12.75">
      <c r="B16" s="201" t="s">
        <v>138</v>
      </c>
      <c r="C16" s="199" t="s">
        <v>139</v>
      </c>
      <c r="D16" s="200">
        <f aca="true" t="shared" si="4" ref="D16:AB16">SUM(D11:D15)</f>
        <v>200730</v>
      </c>
      <c r="E16" s="200">
        <f t="shared" si="4"/>
        <v>9664.970000000001</v>
      </c>
      <c r="F16" s="200">
        <f t="shared" si="4"/>
        <v>210394.97</v>
      </c>
      <c r="G16" s="200">
        <f t="shared" si="4"/>
        <v>64488</v>
      </c>
      <c r="H16" s="200">
        <f t="shared" si="4"/>
        <v>7400</v>
      </c>
      <c r="I16" s="200">
        <f t="shared" si="4"/>
        <v>0</v>
      </c>
      <c r="J16" s="200">
        <f t="shared" si="4"/>
        <v>0</v>
      </c>
      <c r="K16" s="200">
        <f t="shared" si="4"/>
        <v>34315</v>
      </c>
      <c r="L16" s="200">
        <f t="shared" si="4"/>
        <v>18846</v>
      </c>
      <c r="M16" s="200">
        <f t="shared" si="4"/>
        <v>7874</v>
      </c>
      <c r="N16" s="200">
        <f t="shared" si="4"/>
        <v>5804</v>
      </c>
      <c r="O16" s="200">
        <f t="shared" si="4"/>
        <v>24448</v>
      </c>
      <c r="P16" s="200">
        <f t="shared" si="4"/>
        <v>33782</v>
      </c>
      <c r="Q16" s="200">
        <f t="shared" si="4"/>
        <v>2884</v>
      </c>
      <c r="R16" s="200">
        <f t="shared" si="4"/>
        <v>635</v>
      </c>
      <c r="S16" s="200">
        <f t="shared" si="4"/>
        <v>254</v>
      </c>
      <c r="T16" s="200">
        <f t="shared" si="4"/>
        <v>0</v>
      </c>
      <c r="U16" s="200">
        <f t="shared" si="4"/>
        <v>0</v>
      </c>
      <c r="V16" s="200">
        <f t="shared" si="4"/>
        <v>0</v>
      </c>
      <c r="W16" s="200">
        <f t="shared" si="4"/>
        <v>7210.97</v>
      </c>
      <c r="X16" s="200">
        <f t="shared" si="4"/>
        <v>0</v>
      </c>
      <c r="Y16" s="200">
        <f t="shared" si="4"/>
        <v>2454</v>
      </c>
      <c r="Z16" s="200">
        <f t="shared" si="4"/>
        <v>0</v>
      </c>
      <c r="AA16" s="200">
        <f t="shared" si="4"/>
        <v>0</v>
      </c>
      <c r="AB16" s="200">
        <f t="shared" si="4"/>
        <v>0</v>
      </c>
    </row>
    <row r="17" spans="2:28" s="197" customFormat="1" ht="12.75">
      <c r="B17" s="204" t="s">
        <v>140</v>
      </c>
      <c r="C17" s="199" t="s">
        <v>141</v>
      </c>
      <c r="D17" s="202">
        <f aca="true" t="shared" si="5" ref="D17:D31">+G17+H17+I17+J17+K17+L17+M17+N17+O17+P17+Q17+R17+S17+T17</f>
        <v>0</v>
      </c>
      <c r="E17" s="203">
        <f aca="true" t="shared" si="6" ref="E17:E31">+U17+V17+W17+X17+Z17+AA17+AB17+Y17</f>
        <v>0</v>
      </c>
      <c r="F17" s="200">
        <f aca="true" t="shared" si="7" ref="F17:F31">+D17+E17</f>
        <v>0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</row>
    <row r="18" spans="2:28" ht="12.75">
      <c r="B18" s="205" t="s">
        <v>142</v>
      </c>
      <c r="C18" s="191" t="s">
        <v>143</v>
      </c>
      <c r="D18" s="192">
        <f t="shared" si="5"/>
        <v>0</v>
      </c>
      <c r="E18" s="193">
        <f t="shared" si="6"/>
        <v>0</v>
      </c>
      <c r="F18" s="194">
        <f t="shared" si="7"/>
        <v>0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</row>
    <row r="19" spans="2:28" ht="12.75">
      <c r="B19" s="205" t="s">
        <v>144</v>
      </c>
      <c r="C19" s="191" t="s">
        <v>145</v>
      </c>
      <c r="D19" s="192">
        <f t="shared" si="5"/>
        <v>12806</v>
      </c>
      <c r="E19" s="193">
        <f t="shared" si="6"/>
        <v>0</v>
      </c>
      <c r="F19" s="194">
        <f t="shared" si="7"/>
        <v>12806</v>
      </c>
      <c r="G19" s="192">
        <f>10829+1977</f>
        <v>12806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</row>
    <row r="20" spans="2:28" ht="12.75">
      <c r="B20" s="205" t="s">
        <v>644</v>
      </c>
      <c r="C20" s="191" t="s">
        <v>147</v>
      </c>
      <c r="D20" s="192">
        <f t="shared" si="5"/>
        <v>0</v>
      </c>
      <c r="E20" s="193">
        <f t="shared" si="6"/>
        <v>0</v>
      </c>
      <c r="F20" s="194">
        <f t="shared" si="7"/>
        <v>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</row>
    <row r="21" spans="2:28" ht="12.75">
      <c r="B21" s="205" t="s">
        <v>645</v>
      </c>
      <c r="C21" s="191" t="s">
        <v>149</v>
      </c>
      <c r="D21" s="192">
        <f t="shared" si="5"/>
        <v>0</v>
      </c>
      <c r="E21" s="193">
        <f t="shared" si="6"/>
        <v>0</v>
      </c>
      <c r="F21" s="194">
        <f t="shared" si="7"/>
        <v>0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</row>
    <row r="22" spans="2:28" ht="12.75">
      <c r="B22" s="205" t="s">
        <v>646</v>
      </c>
      <c r="C22" s="191" t="s">
        <v>151</v>
      </c>
      <c r="D22" s="192">
        <f t="shared" si="5"/>
        <v>0</v>
      </c>
      <c r="E22" s="193">
        <f t="shared" si="6"/>
        <v>0</v>
      </c>
      <c r="F22" s="194">
        <f t="shared" si="7"/>
        <v>0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</row>
    <row r="23" spans="2:28" ht="12.75">
      <c r="B23" s="205" t="s">
        <v>152</v>
      </c>
      <c r="C23" s="191" t="s">
        <v>153</v>
      </c>
      <c r="D23" s="192">
        <f t="shared" si="5"/>
        <v>150060</v>
      </c>
      <c r="E23" s="193">
        <f t="shared" si="6"/>
        <v>2000</v>
      </c>
      <c r="F23" s="194">
        <f t="shared" si="7"/>
        <v>152060</v>
      </c>
      <c r="G23" s="192">
        <f>12505*12</f>
        <v>150060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>
        <v>2000</v>
      </c>
      <c r="AA23" s="192"/>
      <c r="AB23" s="192"/>
    </row>
    <row r="24" spans="2:28" ht="12.75">
      <c r="B24" s="205" t="s">
        <v>647</v>
      </c>
      <c r="C24" s="191" t="s">
        <v>155</v>
      </c>
      <c r="D24" s="192">
        <f t="shared" si="5"/>
        <v>0</v>
      </c>
      <c r="E24" s="193">
        <f t="shared" si="6"/>
        <v>0</v>
      </c>
      <c r="F24" s="194">
        <f t="shared" si="7"/>
        <v>0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</row>
    <row r="25" spans="2:28" ht="12.75">
      <c r="B25" s="205" t="s">
        <v>648</v>
      </c>
      <c r="C25" s="191" t="s">
        <v>157</v>
      </c>
      <c r="D25" s="192">
        <f t="shared" si="5"/>
        <v>0</v>
      </c>
      <c r="E25" s="193">
        <f t="shared" si="6"/>
        <v>0</v>
      </c>
      <c r="F25" s="194">
        <f t="shared" si="7"/>
        <v>0</v>
      </c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</row>
    <row r="26" spans="2:28" ht="12.75">
      <c r="B26" s="205" t="s">
        <v>158</v>
      </c>
      <c r="C26" s="191" t="s">
        <v>159</v>
      </c>
      <c r="D26" s="192">
        <f t="shared" si="5"/>
        <v>0</v>
      </c>
      <c r="E26" s="193">
        <f t="shared" si="6"/>
        <v>0</v>
      </c>
      <c r="F26" s="194">
        <f t="shared" si="7"/>
        <v>0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</row>
    <row r="27" spans="2:28" ht="12.75">
      <c r="B27" s="206" t="s">
        <v>160</v>
      </c>
      <c r="C27" s="191" t="s">
        <v>161</v>
      </c>
      <c r="D27" s="192">
        <f t="shared" si="5"/>
        <v>0</v>
      </c>
      <c r="E27" s="193">
        <f t="shared" si="6"/>
        <v>0</v>
      </c>
      <c r="F27" s="194">
        <f t="shared" si="7"/>
        <v>0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</row>
    <row r="28" spans="2:28" ht="12.75">
      <c r="B28" s="205" t="s">
        <v>162</v>
      </c>
      <c r="C28" s="191" t="s">
        <v>163</v>
      </c>
      <c r="D28" s="192">
        <f>+G28+H28+I28+J28+K28+L28+M28+N28+O28+P28+Q28+R28+S28+T28</f>
        <v>0</v>
      </c>
      <c r="E28" s="193">
        <f t="shared" si="6"/>
        <v>0</v>
      </c>
      <c r="F28" s="194">
        <f>+D28+E28</f>
        <v>0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</row>
    <row r="29" spans="2:28" ht="12.75">
      <c r="B29" s="205" t="s">
        <v>164</v>
      </c>
      <c r="C29" s="191" t="s">
        <v>165</v>
      </c>
      <c r="D29" s="192">
        <f t="shared" si="5"/>
        <v>10593</v>
      </c>
      <c r="E29" s="193">
        <f t="shared" si="6"/>
        <v>28300</v>
      </c>
      <c r="F29" s="194">
        <f t="shared" si="7"/>
        <v>38893</v>
      </c>
      <c r="G29" s="192">
        <v>8593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>
        <v>2000</v>
      </c>
      <c r="U29" s="192">
        <v>11000</v>
      </c>
      <c r="V29" s="192">
        <v>950</v>
      </c>
      <c r="W29" s="192"/>
      <c r="X29" s="192">
        <v>8300</v>
      </c>
      <c r="Y29" s="192"/>
      <c r="Z29" s="192"/>
      <c r="AA29" s="192">
        <f>2000+2000+1500+2100</f>
        <v>7600</v>
      </c>
      <c r="AB29" s="192">
        <f>100+250+100</f>
        <v>450</v>
      </c>
    </row>
    <row r="30" spans="2:28" ht="12.75">
      <c r="B30" s="206" t="s">
        <v>166</v>
      </c>
      <c r="C30" s="191" t="s">
        <v>167</v>
      </c>
      <c r="D30" s="192">
        <f t="shared" si="5"/>
        <v>0</v>
      </c>
      <c r="E30" s="193">
        <f t="shared" si="6"/>
        <v>0</v>
      </c>
      <c r="F30" s="194">
        <f t="shared" si="7"/>
        <v>0</v>
      </c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</row>
    <row r="31" spans="2:28" ht="12.75">
      <c r="B31" s="206" t="s">
        <v>168</v>
      </c>
      <c r="C31" s="191" t="s">
        <v>167</v>
      </c>
      <c r="D31" s="192">
        <f t="shared" si="5"/>
        <v>0</v>
      </c>
      <c r="E31" s="193">
        <f t="shared" si="6"/>
        <v>0</v>
      </c>
      <c r="F31" s="194">
        <f t="shared" si="7"/>
        <v>0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</row>
    <row r="32" spans="2:28" s="197" customFormat="1" ht="15" customHeight="1">
      <c r="B32" s="204" t="s">
        <v>169</v>
      </c>
      <c r="C32" s="199" t="s">
        <v>170</v>
      </c>
      <c r="D32" s="200">
        <f aca="true" t="shared" si="8" ref="D32:AB32">SUM(D18:D31)</f>
        <v>173459</v>
      </c>
      <c r="E32" s="200">
        <f t="shared" si="8"/>
        <v>30300</v>
      </c>
      <c r="F32" s="200">
        <f t="shared" si="8"/>
        <v>203759</v>
      </c>
      <c r="G32" s="200">
        <f t="shared" si="8"/>
        <v>171459</v>
      </c>
      <c r="H32" s="200">
        <f t="shared" si="8"/>
        <v>0</v>
      </c>
      <c r="I32" s="200">
        <f t="shared" si="8"/>
        <v>0</v>
      </c>
      <c r="J32" s="200">
        <f t="shared" si="8"/>
        <v>0</v>
      </c>
      <c r="K32" s="200">
        <f t="shared" si="8"/>
        <v>0</v>
      </c>
      <c r="L32" s="200">
        <f t="shared" si="8"/>
        <v>0</v>
      </c>
      <c r="M32" s="200">
        <f t="shared" si="8"/>
        <v>0</v>
      </c>
      <c r="N32" s="200">
        <f t="shared" si="8"/>
        <v>0</v>
      </c>
      <c r="O32" s="200">
        <f t="shared" si="8"/>
        <v>0</v>
      </c>
      <c r="P32" s="200">
        <f t="shared" si="8"/>
        <v>0</v>
      </c>
      <c r="Q32" s="200">
        <f t="shared" si="8"/>
        <v>0</v>
      </c>
      <c r="R32" s="200">
        <f t="shared" si="8"/>
        <v>0</v>
      </c>
      <c r="S32" s="200">
        <f t="shared" si="8"/>
        <v>0</v>
      </c>
      <c r="T32" s="200">
        <f t="shared" si="8"/>
        <v>2000</v>
      </c>
      <c r="U32" s="200">
        <f t="shared" si="8"/>
        <v>11000</v>
      </c>
      <c r="V32" s="200">
        <f t="shared" si="8"/>
        <v>950</v>
      </c>
      <c r="W32" s="200">
        <f t="shared" si="8"/>
        <v>0</v>
      </c>
      <c r="X32" s="200">
        <f t="shared" si="8"/>
        <v>8300</v>
      </c>
      <c r="Y32" s="200">
        <f t="shared" si="8"/>
        <v>0</v>
      </c>
      <c r="Z32" s="200">
        <f t="shared" si="8"/>
        <v>2000</v>
      </c>
      <c r="AA32" s="200">
        <f t="shared" si="8"/>
        <v>7600</v>
      </c>
      <c r="AB32" s="200">
        <f t="shared" si="8"/>
        <v>450</v>
      </c>
    </row>
    <row r="33" spans="2:28" ht="13.5">
      <c r="B33" s="207" t="s">
        <v>171</v>
      </c>
      <c r="C33" s="208" t="s">
        <v>172</v>
      </c>
      <c r="D33" s="209">
        <f aca="true" t="shared" si="9" ref="D33:AB33">+D32+D17+D16+D10+D9</f>
        <v>402427</v>
      </c>
      <c r="E33" s="209">
        <f t="shared" si="9"/>
        <v>39964.97</v>
      </c>
      <c r="F33" s="209">
        <f t="shared" si="9"/>
        <v>442391.97</v>
      </c>
      <c r="G33" s="209">
        <f t="shared" si="9"/>
        <v>264185</v>
      </c>
      <c r="H33" s="209">
        <f t="shared" si="9"/>
        <v>7400</v>
      </c>
      <c r="I33" s="209">
        <f t="shared" si="9"/>
        <v>0</v>
      </c>
      <c r="J33" s="209">
        <f t="shared" si="9"/>
        <v>0</v>
      </c>
      <c r="K33" s="209">
        <f t="shared" si="9"/>
        <v>34315</v>
      </c>
      <c r="L33" s="209">
        <f t="shared" si="9"/>
        <v>18846</v>
      </c>
      <c r="M33" s="209">
        <f t="shared" si="9"/>
        <v>7874</v>
      </c>
      <c r="N33" s="209">
        <f t="shared" si="9"/>
        <v>5804</v>
      </c>
      <c r="O33" s="209">
        <f t="shared" si="9"/>
        <v>24448</v>
      </c>
      <c r="P33" s="209">
        <f t="shared" si="9"/>
        <v>33782</v>
      </c>
      <c r="Q33" s="209">
        <f t="shared" si="9"/>
        <v>2884</v>
      </c>
      <c r="R33" s="209">
        <f t="shared" si="9"/>
        <v>635</v>
      </c>
      <c r="S33" s="209">
        <f t="shared" si="9"/>
        <v>254</v>
      </c>
      <c r="T33" s="209">
        <f t="shared" si="9"/>
        <v>2000</v>
      </c>
      <c r="U33" s="209">
        <f t="shared" si="9"/>
        <v>11000</v>
      </c>
      <c r="V33" s="209">
        <f t="shared" si="9"/>
        <v>950</v>
      </c>
      <c r="W33" s="209">
        <f t="shared" si="9"/>
        <v>7210.97</v>
      </c>
      <c r="X33" s="209">
        <f t="shared" si="9"/>
        <v>8300</v>
      </c>
      <c r="Y33" s="209">
        <f t="shared" si="9"/>
        <v>2454</v>
      </c>
      <c r="Z33" s="209">
        <f t="shared" si="9"/>
        <v>2000</v>
      </c>
      <c r="AA33" s="209">
        <f t="shared" si="9"/>
        <v>7600</v>
      </c>
      <c r="AB33" s="209">
        <f t="shared" si="9"/>
        <v>450</v>
      </c>
    </row>
    <row r="34" spans="2:28" ht="12.75">
      <c r="B34" s="210" t="s">
        <v>173</v>
      </c>
      <c r="C34" s="191" t="s">
        <v>174</v>
      </c>
      <c r="D34" s="192">
        <f aca="true" t="shared" si="10" ref="D34:D40">+G34+H34+I34+J34+K34+L34+M34+N34+O34+P34+Q34+R34+S34+T34</f>
        <v>0</v>
      </c>
      <c r="E34" s="193">
        <f>+U34+V34+W34+X34+Z34+AA34+AB34+Y34</f>
        <v>40</v>
      </c>
      <c r="F34" s="194">
        <f aca="true" t="shared" si="11" ref="F34:F40">+D34+E34</f>
        <v>40</v>
      </c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>
        <v>40</v>
      </c>
      <c r="X34" s="192"/>
      <c r="Y34" s="192"/>
      <c r="Z34" s="192"/>
      <c r="AA34" s="192"/>
      <c r="AB34" s="192"/>
    </row>
    <row r="35" spans="2:28" ht="12.75">
      <c r="B35" s="210" t="s">
        <v>175</v>
      </c>
      <c r="C35" s="191" t="s">
        <v>176</v>
      </c>
      <c r="D35" s="192">
        <f t="shared" si="10"/>
        <v>0</v>
      </c>
      <c r="E35" s="193">
        <f aca="true" t="shared" si="12" ref="E35:E40">+U35+V35+W35+X35+Z35+AA35+AB35+Y35</f>
        <v>0</v>
      </c>
      <c r="F35" s="194">
        <f t="shared" si="11"/>
        <v>0</v>
      </c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</row>
    <row r="36" spans="2:28" ht="12.75">
      <c r="B36" s="210" t="s">
        <v>177</v>
      </c>
      <c r="C36" s="191" t="s">
        <v>178</v>
      </c>
      <c r="D36" s="192">
        <f t="shared" si="10"/>
        <v>0</v>
      </c>
      <c r="E36" s="193">
        <f t="shared" si="12"/>
        <v>120</v>
      </c>
      <c r="F36" s="194">
        <f t="shared" si="11"/>
        <v>120</v>
      </c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>
        <v>120</v>
      </c>
      <c r="X36" s="192"/>
      <c r="Y36" s="192"/>
      <c r="Z36" s="192"/>
      <c r="AA36" s="192"/>
      <c r="AB36" s="192"/>
    </row>
    <row r="37" spans="2:28" ht="12.75">
      <c r="B37" s="210" t="s">
        <v>179</v>
      </c>
      <c r="C37" s="191" t="s">
        <v>180</v>
      </c>
      <c r="D37" s="192">
        <f t="shared" si="10"/>
        <v>0</v>
      </c>
      <c r="E37" s="193">
        <f t="shared" si="12"/>
        <v>0</v>
      </c>
      <c r="F37" s="194">
        <f t="shared" si="11"/>
        <v>0</v>
      </c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</row>
    <row r="38" spans="2:28" ht="12.75">
      <c r="B38" s="211" t="s">
        <v>181</v>
      </c>
      <c r="C38" s="191" t="s">
        <v>182</v>
      </c>
      <c r="D38" s="192">
        <f t="shared" si="10"/>
        <v>0</v>
      </c>
      <c r="E38" s="193">
        <f t="shared" si="12"/>
        <v>0</v>
      </c>
      <c r="F38" s="194">
        <f t="shared" si="11"/>
        <v>0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</row>
    <row r="39" spans="2:28" ht="12.75">
      <c r="B39" s="211" t="s">
        <v>183</v>
      </c>
      <c r="C39" s="191" t="s">
        <v>184</v>
      </c>
      <c r="D39" s="192">
        <f t="shared" si="10"/>
        <v>0</v>
      </c>
      <c r="E39" s="193">
        <f t="shared" si="12"/>
        <v>0</v>
      </c>
      <c r="F39" s="194">
        <f t="shared" si="11"/>
        <v>0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</row>
    <row r="40" spans="2:28" ht="12.75">
      <c r="B40" s="211" t="s">
        <v>185</v>
      </c>
      <c r="C40" s="191" t="s">
        <v>186</v>
      </c>
      <c r="D40" s="192">
        <f t="shared" si="10"/>
        <v>0</v>
      </c>
      <c r="E40" s="193">
        <f t="shared" si="12"/>
        <v>43</v>
      </c>
      <c r="F40" s="194">
        <f t="shared" si="11"/>
        <v>43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>
        <v>43</v>
      </c>
      <c r="X40" s="192"/>
      <c r="Y40" s="192"/>
      <c r="Z40" s="192"/>
      <c r="AA40" s="192"/>
      <c r="AB40" s="192"/>
    </row>
    <row r="41" spans="2:28" s="197" customFormat="1" ht="12.75">
      <c r="B41" s="212" t="s">
        <v>187</v>
      </c>
      <c r="C41" s="199" t="s">
        <v>188</v>
      </c>
      <c r="D41" s="200">
        <f aca="true" t="shared" si="13" ref="D41:AB41">SUM(D34:D40)</f>
        <v>0</v>
      </c>
      <c r="E41" s="200">
        <f t="shared" si="13"/>
        <v>203</v>
      </c>
      <c r="F41" s="200">
        <f t="shared" si="13"/>
        <v>203</v>
      </c>
      <c r="G41" s="200">
        <f t="shared" si="13"/>
        <v>0</v>
      </c>
      <c r="H41" s="200">
        <f t="shared" si="13"/>
        <v>0</v>
      </c>
      <c r="I41" s="200">
        <f t="shared" si="13"/>
        <v>0</v>
      </c>
      <c r="J41" s="200">
        <f t="shared" si="13"/>
        <v>0</v>
      </c>
      <c r="K41" s="200">
        <f t="shared" si="13"/>
        <v>0</v>
      </c>
      <c r="L41" s="200">
        <f t="shared" si="13"/>
        <v>0</v>
      </c>
      <c r="M41" s="200">
        <f t="shared" si="13"/>
        <v>0</v>
      </c>
      <c r="N41" s="200">
        <f t="shared" si="13"/>
        <v>0</v>
      </c>
      <c r="O41" s="200">
        <f t="shared" si="13"/>
        <v>0</v>
      </c>
      <c r="P41" s="200">
        <f t="shared" si="13"/>
        <v>0</v>
      </c>
      <c r="Q41" s="200">
        <f t="shared" si="13"/>
        <v>0</v>
      </c>
      <c r="R41" s="200">
        <f t="shared" si="13"/>
        <v>0</v>
      </c>
      <c r="S41" s="200">
        <f t="shared" si="13"/>
        <v>0</v>
      </c>
      <c r="T41" s="200">
        <f t="shared" si="13"/>
        <v>0</v>
      </c>
      <c r="U41" s="200">
        <f t="shared" si="13"/>
        <v>0</v>
      </c>
      <c r="V41" s="200">
        <f t="shared" si="13"/>
        <v>0</v>
      </c>
      <c r="W41" s="200">
        <f t="shared" si="13"/>
        <v>203</v>
      </c>
      <c r="X41" s="200">
        <f t="shared" si="13"/>
        <v>0</v>
      </c>
      <c r="Y41" s="200">
        <f t="shared" si="13"/>
        <v>0</v>
      </c>
      <c r="Z41" s="200">
        <f t="shared" si="13"/>
        <v>0</v>
      </c>
      <c r="AA41" s="200">
        <f t="shared" si="13"/>
        <v>0</v>
      </c>
      <c r="AB41" s="200">
        <f t="shared" si="13"/>
        <v>0</v>
      </c>
    </row>
    <row r="42" spans="2:28" ht="12.75">
      <c r="B42" s="213" t="s">
        <v>189</v>
      </c>
      <c r="C42" s="191" t="s">
        <v>190</v>
      </c>
      <c r="D42" s="192">
        <f>+G42+H42+I42+J42+K42+L42+M42+N42+O42+P42+Q42+R42+S42+T42</f>
        <v>0</v>
      </c>
      <c r="E42" s="193">
        <f>+U42+V42+W42+X42+Z42+AA42+AB42+Y42</f>
        <v>0</v>
      </c>
      <c r="F42" s="194">
        <f>+D42+E42</f>
        <v>0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</row>
    <row r="43" spans="2:28" ht="12.75">
      <c r="B43" s="213" t="s">
        <v>191</v>
      </c>
      <c r="C43" s="191" t="s">
        <v>192</v>
      </c>
      <c r="D43" s="192">
        <f>+G43+H43+I43+J43+K43+L43+M43+N43+O43+P43+Q43+R43+S43+T43</f>
        <v>0</v>
      </c>
      <c r="E43" s="193">
        <f>+U43+V43+W43+X43+Z43+AA43+AB43+Y43</f>
        <v>0</v>
      </c>
      <c r="F43" s="194">
        <f>+D43+E43</f>
        <v>0</v>
      </c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</row>
    <row r="44" spans="2:28" ht="12.75">
      <c r="B44" s="213" t="s">
        <v>193</v>
      </c>
      <c r="C44" s="191" t="s">
        <v>194</v>
      </c>
      <c r="D44" s="192">
        <f>+G44+H44+I44+J44+K44+L44+M44+N44+O44+P44+Q44+R44+S44+T44</f>
        <v>20000</v>
      </c>
      <c r="E44" s="193">
        <f>+U44+V44+W44+X44+Z44+AA44+AB44+Y44</f>
        <v>0</v>
      </c>
      <c r="F44" s="194">
        <f>+D44+E44</f>
        <v>20000</v>
      </c>
      <c r="G44" s="192"/>
      <c r="H44" s="192"/>
      <c r="I44" s="192"/>
      <c r="J44" s="192"/>
      <c r="K44" s="192"/>
      <c r="L44" s="192"/>
      <c r="M44" s="192"/>
      <c r="N44" s="192">
        <v>20000</v>
      </c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</row>
    <row r="45" spans="2:28" ht="12.75">
      <c r="B45" s="213" t="s">
        <v>195</v>
      </c>
      <c r="C45" s="191" t="s">
        <v>196</v>
      </c>
      <c r="D45" s="192">
        <f>+G45+H45+I45+J45+K45+L45+M45+N45+O45+P45+Q45+R45+S45+T45</f>
        <v>5400</v>
      </c>
      <c r="E45" s="193">
        <f>+U45+V45+W45+X45+Z45+AA45+AB45+Y45</f>
        <v>0</v>
      </c>
      <c r="F45" s="194">
        <f>+D45+E45</f>
        <v>5400</v>
      </c>
      <c r="G45" s="192"/>
      <c r="H45" s="192"/>
      <c r="I45" s="192"/>
      <c r="J45" s="192"/>
      <c r="K45" s="192"/>
      <c r="L45" s="192"/>
      <c r="M45" s="192"/>
      <c r="N45" s="192">
        <v>5400</v>
      </c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</row>
    <row r="46" spans="2:28" s="197" customFormat="1" ht="12.75">
      <c r="B46" s="201" t="s">
        <v>197</v>
      </c>
      <c r="C46" s="199" t="s">
        <v>198</v>
      </c>
      <c r="D46" s="200">
        <f aca="true" t="shared" si="14" ref="D46:AB46">SUM(D42:D45)</f>
        <v>25400</v>
      </c>
      <c r="E46" s="200">
        <f t="shared" si="14"/>
        <v>0</v>
      </c>
      <c r="F46" s="200">
        <f t="shared" si="14"/>
        <v>25400</v>
      </c>
      <c r="G46" s="200">
        <f t="shared" si="14"/>
        <v>0</v>
      </c>
      <c r="H46" s="200">
        <f t="shared" si="14"/>
        <v>0</v>
      </c>
      <c r="I46" s="200">
        <f t="shared" si="14"/>
        <v>0</v>
      </c>
      <c r="J46" s="200">
        <f t="shared" si="14"/>
        <v>0</v>
      </c>
      <c r="K46" s="200">
        <f t="shared" si="14"/>
        <v>0</v>
      </c>
      <c r="L46" s="200">
        <f t="shared" si="14"/>
        <v>0</v>
      </c>
      <c r="M46" s="200">
        <f t="shared" si="14"/>
        <v>0</v>
      </c>
      <c r="N46" s="200">
        <f t="shared" si="14"/>
        <v>25400</v>
      </c>
      <c r="O46" s="200">
        <f t="shared" si="14"/>
        <v>0</v>
      </c>
      <c r="P46" s="200">
        <f t="shared" si="14"/>
        <v>0</v>
      </c>
      <c r="Q46" s="200">
        <f t="shared" si="14"/>
        <v>0</v>
      </c>
      <c r="R46" s="200">
        <f t="shared" si="14"/>
        <v>0</v>
      </c>
      <c r="S46" s="200">
        <f t="shared" si="14"/>
        <v>0</v>
      </c>
      <c r="T46" s="200">
        <f t="shared" si="14"/>
        <v>0</v>
      </c>
      <c r="U46" s="200">
        <f t="shared" si="14"/>
        <v>0</v>
      </c>
      <c r="V46" s="200">
        <f t="shared" si="14"/>
        <v>0</v>
      </c>
      <c r="W46" s="200">
        <f t="shared" si="14"/>
        <v>0</v>
      </c>
      <c r="X46" s="200">
        <f t="shared" si="14"/>
        <v>0</v>
      </c>
      <c r="Y46" s="200">
        <f t="shared" si="14"/>
        <v>0</v>
      </c>
      <c r="Z46" s="200">
        <f t="shared" si="14"/>
        <v>0</v>
      </c>
      <c r="AA46" s="200">
        <f t="shared" si="14"/>
        <v>0</v>
      </c>
      <c r="AB46" s="200">
        <f t="shared" si="14"/>
        <v>0</v>
      </c>
    </row>
    <row r="47" spans="2:28" ht="12.75">
      <c r="B47" s="213" t="s">
        <v>649</v>
      </c>
      <c r="C47" s="191" t="s">
        <v>200</v>
      </c>
      <c r="D47" s="192">
        <f aca="true" t="shared" si="15" ref="D47:D55">+G47+H47+I47+J47+K47+L47+M47+N47+O47+P47+Q47+R47+S47+T47</f>
        <v>0</v>
      </c>
      <c r="E47" s="193">
        <f>+U47+V47+W47+X47+Z47+AA47+AB47+Y47</f>
        <v>0</v>
      </c>
      <c r="F47" s="194">
        <f aca="true" t="shared" si="16" ref="F47:F55">+D47+E47</f>
        <v>0</v>
      </c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</row>
    <row r="48" spans="2:28" ht="12.75">
      <c r="B48" s="213" t="s">
        <v>650</v>
      </c>
      <c r="C48" s="191" t="s">
        <v>202</v>
      </c>
      <c r="D48" s="192">
        <f t="shared" si="15"/>
        <v>0</v>
      </c>
      <c r="E48" s="193">
        <f>+U48+V48+W48+X48+Z48+AA48+AB48+Y48</f>
        <v>0</v>
      </c>
      <c r="F48" s="194">
        <f t="shared" si="16"/>
        <v>0</v>
      </c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</row>
    <row r="49" spans="2:28" ht="15.75" customHeight="1">
      <c r="B49" s="213" t="s">
        <v>651</v>
      </c>
      <c r="C49" s="191" t="s">
        <v>204</v>
      </c>
      <c r="D49" s="192">
        <f t="shared" si="15"/>
        <v>0</v>
      </c>
      <c r="E49" s="193">
        <f aca="true" t="shared" si="17" ref="E49:E55">+U49+V49+W49+X49+Z49+AA49+AB49+Y49</f>
        <v>0</v>
      </c>
      <c r="F49" s="194">
        <f t="shared" si="16"/>
        <v>0</v>
      </c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</row>
    <row r="50" spans="2:28" ht="12.75">
      <c r="B50" s="213" t="s">
        <v>205</v>
      </c>
      <c r="C50" s="191" t="s">
        <v>206</v>
      </c>
      <c r="D50" s="192">
        <f t="shared" si="15"/>
        <v>59132</v>
      </c>
      <c r="E50" s="193">
        <f t="shared" si="17"/>
        <v>0</v>
      </c>
      <c r="F50" s="194">
        <f t="shared" si="16"/>
        <v>59132</v>
      </c>
      <c r="G50" s="192">
        <f>59132</f>
        <v>59132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</row>
    <row r="51" spans="2:28" ht="15" customHeight="1">
      <c r="B51" s="213" t="s">
        <v>652</v>
      </c>
      <c r="C51" s="191" t="s">
        <v>208</v>
      </c>
      <c r="D51" s="192">
        <f t="shared" si="15"/>
        <v>0</v>
      </c>
      <c r="E51" s="193">
        <f t="shared" si="17"/>
        <v>0</v>
      </c>
      <c r="F51" s="194">
        <f t="shared" si="16"/>
        <v>0</v>
      </c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</row>
    <row r="52" spans="2:28" ht="12.75">
      <c r="B52" s="213" t="s">
        <v>653</v>
      </c>
      <c r="C52" s="191" t="s">
        <v>210</v>
      </c>
      <c r="D52" s="192">
        <f t="shared" si="15"/>
        <v>0</v>
      </c>
      <c r="E52" s="193">
        <f t="shared" si="17"/>
        <v>0</v>
      </c>
      <c r="F52" s="194">
        <f t="shared" si="16"/>
        <v>0</v>
      </c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</row>
    <row r="53" spans="2:28" ht="12.75">
      <c r="B53" s="213" t="s">
        <v>211</v>
      </c>
      <c r="C53" s="191" t="s">
        <v>212</v>
      </c>
      <c r="D53" s="192">
        <f t="shared" si="15"/>
        <v>0</v>
      </c>
      <c r="E53" s="193">
        <f t="shared" si="17"/>
        <v>0</v>
      </c>
      <c r="F53" s="194">
        <f t="shared" si="16"/>
        <v>0</v>
      </c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</row>
    <row r="54" spans="2:28" ht="12.75">
      <c r="B54" s="213" t="s">
        <v>213</v>
      </c>
      <c r="C54" s="191" t="s">
        <v>214</v>
      </c>
      <c r="D54" s="192">
        <f>+G54+H54+I54+J54+K54+L54+M54+N54+O54+P54+Q54+R54+S54+T54</f>
        <v>0</v>
      </c>
      <c r="E54" s="193">
        <f t="shared" si="17"/>
        <v>0</v>
      </c>
      <c r="F54" s="194">
        <f>+D54+E54</f>
        <v>0</v>
      </c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</row>
    <row r="55" spans="2:28" ht="25.5">
      <c r="B55" s="213" t="s">
        <v>215</v>
      </c>
      <c r="C55" s="191" t="s">
        <v>216</v>
      </c>
      <c r="D55" s="192">
        <f t="shared" si="15"/>
        <v>0</v>
      </c>
      <c r="E55" s="193">
        <f t="shared" si="17"/>
        <v>3000</v>
      </c>
      <c r="F55" s="194">
        <f t="shared" si="16"/>
        <v>3000</v>
      </c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>
        <v>3000</v>
      </c>
      <c r="Y55" s="192"/>
      <c r="Z55" s="192"/>
      <c r="AA55" s="192"/>
      <c r="AB55" s="192"/>
    </row>
    <row r="56" spans="2:28" s="197" customFormat="1" ht="12.75">
      <c r="B56" s="204" t="s">
        <v>217</v>
      </c>
      <c r="C56" s="199" t="s">
        <v>218</v>
      </c>
      <c r="D56" s="200">
        <f aca="true" t="shared" si="18" ref="D56:AB56">SUM(D47:D55)</f>
        <v>59132</v>
      </c>
      <c r="E56" s="200">
        <f t="shared" si="18"/>
        <v>3000</v>
      </c>
      <c r="F56" s="200">
        <f t="shared" si="18"/>
        <v>62132</v>
      </c>
      <c r="G56" s="200">
        <f t="shared" si="18"/>
        <v>59132</v>
      </c>
      <c r="H56" s="200">
        <f t="shared" si="18"/>
        <v>0</v>
      </c>
      <c r="I56" s="200">
        <f t="shared" si="18"/>
        <v>0</v>
      </c>
      <c r="J56" s="200">
        <f t="shared" si="18"/>
        <v>0</v>
      </c>
      <c r="K56" s="200">
        <f t="shared" si="18"/>
        <v>0</v>
      </c>
      <c r="L56" s="200">
        <f t="shared" si="18"/>
        <v>0</v>
      </c>
      <c r="M56" s="200">
        <f t="shared" si="18"/>
        <v>0</v>
      </c>
      <c r="N56" s="200">
        <f t="shared" si="18"/>
        <v>0</v>
      </c>
      <c r="O56" s="200">
        <f t="shared" si="18"/>
        <v>0</v>
      </c>
      <c r="P56" s="200">
        <f t="shared" si="18"/>
        <v>0</v>
      </c>
      <c r="Q56" s="200">
        <f t="shared" si="18"/>
        <v>0</v>
      </c>
      <c r="R56" s="200">
        <f t="shared" si="18"/>
        <v>0</v>
      </c>
      <c r="S56" s="200">
        <f t="shared" si="18"/>
        <v>0</v>
      </c>
      <c r="T56" s="200">
        <f t="shared" si="18"/>
        <v>0</v>
      </c>
      <c r="U56" s="200">
        <f t="shared" si="18"/>
        <v>0</v>
      </c>
      <c r="V56" s="200">
        <f t="shared" si="18"/>
        <v>0</v>
      </c>
      <c r="W56" s="200">
        <f t="shared" si="18"/>
        <v>0</v>
      </c>
      <c r="X56" s="200">
        <f t="shared" si="18"/>
        <v>3000</v>
      </c>
      <c r="Y56" s="200">
        <f t="shared" si="18"/>
        <v>0</v>
      </c>
      <c r="Z56" s="200">
        <f t="shared" si="18"/>
        <v>0</v>
      </c>
      <c r="AA56" s="200">
        <f t="shared" si="18"/>
        <v>0</v>
      </c>
      <c r="AB56" s="200">
        <f t="shared" si="18"/>
        <v>0</v>
      </c>
    </row>
    <row r="57" spans="2:28" ht="13.5">
      <c r="B57" s="207" t="s">
        <v>219</v>
      </c>
      <c r="C57" s="208" t="s">
        <v>220</v>
      </c>
      <c r="D57" s="209">
        <f aca="true" t="shared" si="19" ref="D57:AB57">+D56+D46+D41</f>
        <v>84532</v>
      </c>
      <c r="E57" s="209">
        <f t="shared" si="19"/>
        <v>3203</v>
      </c>
      <c r="F57" s="209">
        <f t="shared" si="19"/>
        <v>87735</v>
      </c>
      <c r="G57" s="209">
        <f t="shared" si="19"/>
        <v>59132</v>
      </c>
      <c r="H57" s="209">
        <f t="shared" si="19"/>
        <v>0</v>
      </c>
      <c r="I57" s="209">
        <f t="shared" si="19"/>
        <v>0</v>
      </c>
      <c r="J57" s="209">
        <f t="shared" si="19"/>
        <v>0</v>
      </c>
      <c r="K57" s="209">
        <f t="shared" si="19"/>
        <v>0</v>
      </c>
      <c r="L57" s="209">
        <f t="shared" si="19"/>
        <v>0</v>
      </c>
      <c r="M57" s="209">
        <f t="shared" si="19"/>
        <v>0</v>
      </c>
      <c r="N57" s="209">
        <f t="shared" si="19"/>
        <v>25400</v>
      </c>
      <c r="O57" s="209">
        <f t="shared" si="19"/>
        <v>0</v>
      </c>
      <c r="P57" s="209">
        <f t="shared" si="19"/>
        <v>0</v>
      </c>
      <c r="Q57" s="209">
        <f t="shared" si="19"/>
        <v>0</v>
      </c>
      <c r="R57" s="209">
        <f t="shared" si="19"/>
        <v>0</v>
      </c>
      <c r="S57" s="209">
        <f t="shared" si="19"/>
        <v>0</v>
      </c>
      <c r="T57" s="209">
        <f t="shared" si="19"/>
        <v>0</v>
      </c>
      <c r="U57" s="209">
        <f t="shared" si="19"/>
        <v>0</v>
      </c>
      <c r="V57" s="209">
        <f t="shared" si="19"/>
        <v>0</v>
      </c>
      <c r="W57" s="209">
        <f t="shared" si="19"/>
        <v>203</v>
      </c>
      <c r="X57" s="209">
        <f t="shared" si="19"/>
        <v>3000</v>
      </c>
      <c r="Y57" s="209">
        <f t="shared" si="19"/>
        <v>0</v>
      </c>
      <c r="Z57" s="209">
        <f t="shared" si="19"/>
        <v>0</v>
      </c>
      <c r="AA57" s="209">
        <f t="shared" si="19"/>
        <v>0</v>
      </c>
      <c r="AB57" s="209">
        <f t="shared" si="19"/>
        <v>0</v>
      </c>
    </row>
    <row r="58" spans="2:28" ht="12.75">
      <c r="B58" s="214" t="s">
        <v>221</v>
      </c>
      <c r="C58" s="215" t="s">
        <v>222</v>
      </c>
      <c r="D58" s="216">
        <f aca="true" t="shared" si="20" ref="D58:AA58">+D56+D46+D41+D32+D17+D16+D10+D9</f>
        <v>486959</v>
      </c>
      <c r="E58" s="216">
        <f t="shared" si="20"/>
        <v>43167.97</v>
      </c>
      <c r="F58" s="216">
        <f t="shared" si="20"/>
        <v>530126.97</v>
      </c>
      <c r="G58" s="216">
        <f t="shared" si="20"/>
        <v>323317</v>
      </c>
      <c r="H58" s="216">
        <f t="shared" si="20"/>
        <v>7400</v>
      </c>
      <c r="I58" s="216">
        <f t="shared" si="20"/>
        <v>0</v>
      </c>
      <c r="J58" s="216">
        <f t="shared" si="20"/>
        <v>0</v>
      </c>
      <c r="K58" s="216">
        <f t="shared" si="20"/>
        <v>34315</v>
      </c>
      <c r="L58" s="216">
        <f t="shared" si="20"/>
        <v>18846</v>
      </c>
      <c r="M58" s="216">
        <f t="shared" si="20"/>
        <v>7874</v>
      </c>
      <c r="N58" s="216">
        <f t="shared" si="20"/>
        <v>31204</v>
      </c>
      <c r="O58" s="216">
        <f t="shared" si="20"/>
        <v>24448</v>
      </c>
      <c r="P58" s="216">
        <f t="shared" si="20"/>
        <v>33782</v>
      </c>
      <c r="Q58" s="216">
        <f t="shared" si="20"/>
        <v>2884</v>
      </c>
      <c r="R58" s="216">
        <f t="shared" si="20"/>
        <v>635</v>
      </c>
      <c r="S58" s="216">
        <f t="shared" si="20"/>
        <v>254</v>
      </c>
      <c r="T58" s="216">
        <f t="shared" si="20"/>
        <v>2000</v>
      </c>
      <c r="U58" s="216">
        <f t="shared" si="20"/>
        <v>11000</v>
      </c>
      <c r="V58" s="216">
        <f t="shared" si="20"/>
        <v>950</v>
      </c>
      <c r="W58" s="216">
        <f t="shared" si="20"/>
        <v>7413.97</v>
      </c>
      <c r="X58" s="216">
        <f t="shared" si="20"/>
        <v>11300</v>
      </c>
      <c r="Y58" s="216">
        <f>+Y56+Y46+Y41+Y32+Y17+Y16+Y10+Y9</f>
        <v>2454</v>
      </c>
      <c r="Z58" s="216">
        <f t="shared" si="20"/>
        <v>2000</v>
      </c>
      <c r="AA58" s="216">
        <f t="shared" si="20"/>
        <v>7600</v>
      </c>
      <c r="AB58" s="216">
        <f>+AB56+AB46+AB41+AB32+AB17+AB16+AB10+AB9</f>
        <v>450</v>
      </c>
    </row>
    <row r="59" spans="2:28" ht="12.75" hidden="1">
      <c r="B59" s="217" t="s">
        <v>654</v>
      </c>
      <c r="C59" s="196" t="s">
        <v>248</v>
      </c>
      <c r="D59" s="192">
        <f>+G59+H59+I59+J59+K59+L59+M59+N59+O59+P59+Q59+R59+S59+T59</f>
        <v>0</v>
      </c>
      <c r="E59" s="193">
        <f>+U59+V59+W59+X59+Z59+AA59+AB59+Y59</f>
        <v>0</v>
      </c>
      <c r="F59" s="194">
        <f>+D59+E59</f>
        <v>0</v>
      </c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</row>
    <row r="60" spans="2:28" ht="12.75" hidden="1">
      <c r="B60" s="217" t="s">
        <v>249</v>
      </c>
      <c r="C60" s="196" t="s">
        <v>250</v>
      </c>
      <c r="D60" s="192">
        <f>+G60+H60+I60+J60+K60+L60+M60+N60+O60+P60+Q60+R60+S60+T60</f>
        <v>0</v>
      </c>
      <c r="E60" s="193">
        <f>+U60+V60+W60+X60+Z60+AA60+AB60+Y60</f>
        <v>0</v>
      </c>
      <c r="F60" s="194">
        <f>+D60+E60</f>
        <v>0</v>
      </c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</row>
    <row r="61" spans="2:28" ht="12.75" hidden="1">
      <c r="B61" s="213" t="s">
        <v>251</v>
      </c>
      <c r="C61" s="196" t="s">
        <v>252</v>
      </c>
      <c r="D61" s="192">
        <f>+G61+H61+I61+J61+K61+L61+M61+N61+O61+P61+Q61+R61+S61+T61</f>
        <v>0</v>
      </c>
      <c r="E61" s="193">
        <f>+U61+V61+W61+X61+Z61+AA61+AB61+Y61</f>
        <v>0</v>
      </c>
      <c r="F61" s="194">
        <f>+D61+E61</f>
        <v>0</v>
      </c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</row>
    <row r="62" spans="2:28" ht="12.75" hidden="1">
      <c r="B62" s="213" t="s">
        <v>253</v>
      </c>
      <c r="C62" s="196" t="s">
        <v>254</v>
      </c>
      <c r="D62" s="192">
        <f>+G62+H62+I62+J62+K62+L62+M62+N62+O62+P62+Q62+R62+S62+T62</f>
        <v>0</v>
      </c>
      <c r="E62" s="193">
        <f>+U62+V62+W62+X62+Z62+AA62+AB62+Y62</f>
        <v>0</v>
      </c>
      <c r="F62" s="194">
        <f>+D62+E62</f>
        <v>0</v>
      </c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</row>
    <row r="63" spans="2:28" ht="12.75">
      <c r="B63" s="220" t="s">
        <v>255</v>
      </c>
      <c r="C63" s="221" t="s">
        <v>256</v>
      </c>
      <c r="D63" s="222">
        <f>+D61+D60+D59+D62</f>
        <v>0</v>
      </c>
      <c r="E63" s="222">
        <f>+E61+E60+E59+E62</f>
        <v>0</v>
      </c>
      <c r="F63" s="222">
        <f>+F61+F60+F59+F62</f>
        <v>0</v>
      </c>
      <c r="G63" s="222">
        <f aca="true" t="shared" si="21" ref="G63:AB63">+G61+G60+G59</f>
        <v>0</v>
      </c>
      <c r="H63" s="222">
        <f t="shared" si="21"/>
        <v>0</v>
      </c>
      <c r="I63" s="222">
        <f t="shared" si="21"/>
        <v>0</v>
      </c>
      <c r="J63" s="222">
        <f t="shared" si="21"/>
        <v>0</v>
      </c>
      <c r="K63" s="222">
        <f t="shared" si="21"/>
        <v>0</v>
      </c>
      <c r="L63" s="222">
        <f t="shared" si="21"/>
        <v>0</v>
      </c>
      <c r="M63" s="222">
        <f t="shared" si="21"/>
        <v>0</v>
      </c>
      <c r="N63" s="222">
        <f t="shared" si="21"/>
        <v>0</v>
      </c>
      <c r="O63" s="222">
        <f t="shared" si="21"/>
        <v>0</v>
      </c>
      <c r="P63" s="222">
        <f t="shared" si="21"/>
        <v>0</v>
      </c>
      <c r="Q63" s="222">
        <f t="shared" si="21"/>
        <v>0</v>
      </c>
      <c r="R63" s="222">
        <f t="shared" si="21"/>
        <v>0</v>
      </c>
      <c r="S63" s="222">
        <f t="shared" si="21"/>
        <v>0</v>
      </c>
      <c r="T63" s="222">
        <f t="shared" si="21"/>
        <v>0</v>
      </c>
      <c r="U63" s="222">
        <f t="shared" si="21"/>
        <v>0</v>
      </c>
      <c r="V63" s="222">
        <f t="shared" si="21"/>
        <v>0</v>
      </c>
      <c r="W63" s="222">
        <f t="shared" si="21"/>
        <v>0</v>
      </c>
      <c r="X63" s="222">
        <f t="shared" si="21"/>
        <v>0</v>
      </c>
      <c r="Y63" s="222">
        <f>+Y61+Y60+Y59</f>
        <v>0</v>
      </c>
      <c r="Z63" s="222">
        <f t="shared" si="21"/>
        <v>0</v>
      </c>
      <c r="AA63" s="222">
        <f t="shared" si="21"/>
        <v>0</v>
      </c>
      <c r="AB63" s="222">
        <f t="shared" si="21"/>
        <v>0</v>
      </c>
    </row>
    <row r="64" spans="2:28" ht="12.75">
      <c r="B64" s="223" t="s">
        <v>257</v>
      </c>
      <c r="C64" s="223" t="s">
        <v>258</v>
      </c>
      <c r="D64" s="224">
        <f aca="true" t="shared" si="22" ref="D64:AB64">+D58+D63</f>
        <v>486959</v>
      </c>
      <c r="E64" s="224">
        <f t="shared" si="22"/>
        <v>43167.97</v>
      </c>
      <c r="F64" s="224">
        <f t="shared" si="22"/>
        <v>530126.97</v>
      </c>
      <c r="G64" s="224">
        <f t="shared" si="22"/>
        <v>323317</v>
      </c>
      <c r="H64" s="224">
        <f t="shared" si="22"/>
        <v>7400</v>
      </c>
      <c r="I64" s="224">
        <f t="shared" si="22"/>
        <v>0</v>
      </c>
      <c r="J64" s="224">
        <f t="shared" si="22"/>
        <v>0</v>
      </c>
      <c r="K64" s="224">
        <f t="shared" si="22"/>
        <v>34315</v>
      </c>
      <c r="L64" s="224">
        <f t="shared" si="22"/>
        <v>18846</v>
      </c>
      <c r="M64" s="224">
        <f t="shared" si="22"/>
        <v>7874</v>
      </c>
      <c r="N64" s="224">
        <f t="shared" si="22"/>
        <v>31204</v>
      </c>
      <c r="O64" s="224">
        <f t="shared" si="22"/>
        <v>24448</v>
      </c>
      <c r="P64" s="224">
        <f t="shared" si="22"/>
        <v>33782</v>
      </c>
      <c r="Q64" s="224">
        <f t="shared" si="22"/>
        <v>2884</v>
      </c>
      <c r="R64" s="224">
        <f t="shared" si="22"/>
        <v>635</v>
      </c>
      <c r="S64" s="224">
        <f t="shared" si="22"/>
        <v>254</v>
      </c>
      <c r="T64" s="224">
        <f t="shared" si="22"/>
        <v>2000</v>
      </c>
      <c r="U64" s="224">
        <f t="shared" si="22"/>
        <v>11000</v>
      </c>
      <c r="V64" s="224">
        <f t="shared" si="22"/>
        <v>950</v>
      </c>
      <c r="W64" s="224">
        <f t="shared" si="22"/>
        <v>7413.97</v>
      </c>
      <c r="X64" s="224">
        <f t="shared" si="22"/>
        <v>11300</v>
      </c>
      <c r="Y64" s="224">
        <f t="shared" si="22"/>
        <v>2454</v>
      </c>
      <c r="Z64" s="224">
        <f t="shared" si="22"/>
        <v>2000</v>
      </c>
      <c r="AA64" s="224">
        <f t="shared" si="22"/>
        <v>7600</v>
      </c>
      <c r="AB64" s="224">
        <f t="shared" si="22"/>
        <v>450</v>
      </c>
    </row>
    <row r="65" spans="2:28" s="225" customFormat="1" ht="12.75">
      <c r="B65" s="226"/>
      <c r="C65" s="226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</row>
    <row r="66" spans="2:29" s="182" customFormat="1" ht="13.5" customHeight="1">
      <c r="B66" s="228"/>
      <c r="G66" s="406"/>
      <c r="H66" s="406"/>
      <c r="I66" s="406"/>
      <c r="K66" s="229"/>
      <c r="L66" s="229"/>
      <c r="M66" s="229"/>
      <c r="O66" s="229"/>
      <c r="P66" s="229"/>
      <c r="Q66" s="229"/>
      <c r="S66" s="229"/>
      <c r="T66" s="229"/>
      <c r="U66" s="406"/>
      <c r="V66" s="406"/>
      <c r="W66" s="406"/>
      <c r="X66" s="406"/>
      <c r="Y66" s="406"/>
      <c r="Z66" s="406"/>
      <c r="AA66" s="406"/>
      <c r="AB66" s="406"/>
      <c r="AC66" s="230"/>
    </row>
    <row r="67" spans="2:28" s="188" customFormat="1" ht="96.75" customHeight="1">
      <c r="B67" s="170" t="s">
        <v>92</v>
      </c>
      <c r="C67" s="171" t="s">
        <v>119</v>
      </c>
      <c r="D67" s="189" t="s">
        <v>619</v>
      </c>
      <c r="E67" s="189" t="s">
        <v>620</v>
      </c>
      <c r="F67" s="171" t="s">
        <v>621</v>
      </c>
      <c r="G67" s="189" t="s">
        <v>622</v>
      </c>
      <c r="H67" s="189" t="s">
        <v>623</v>
      </c>
      <c r="I67" s="189" t="s">
        <v>624</v>
      </c>
      <c r="J67" s="189" t="s">
        <v>625</v>
      </c>
      <c r="K67" s="189" t="s">
        <v>626</v>
      </c>
      <c r="L67" s="189" t="s">
        <v>627</v>
      </c>
      <c r="M67" s="189" t="s">
        <v>628</v>
      </c>
      <c r="N67" s="189" t="s">
        <v>629</v>
      </c>
      <c r="O67" s="189" t="s">
        <v>630</v>
      </c>
      <c r="P67" s="189" t="s">
        <v>631</v>
      </c>
      <c r="Q67" s="189" t="s">
        <v>632</v>
      </c>
      <c r="R67" s="189" t="s">
        <v>633</v>
      </c>
      <c r="S67" s="189" t="s">
        <v>634</v>
      </c>
      <c r="T67" s="189" t="s">
        <v>635</v>
      </c>
      <c r="U67" s="189" t="s">
        <v>636</v>
      </c>
      <c r="V67" s="189" t="s">
        <v>637</v>
      </c>
      <c r="W67" s="189" t="s">
        <v>638</v>
      </c>
      <c r="X67" s="189" t="s">
        <v>639</v>
      </c>
      <c r="Y67" s="189" t="s">
        <v>640</v>
      </c>
      <c r="Z67" s="189" t="s">
        <v>641</v>
      </c>
      <c r="AA67" s="189" t="s">
        <v>642</v>
      </c>
      <c r="AB67" s="189" t="s">
        <v>643</v>
      </c>
    </row>
    <row r="68" spans="2:28" s="231" customFormat="1" ht="12.75">
      <c r="B68" s="196" t="s">
        <v>655</v>
      </c>
      <c r="C68" s="211" t="s">
        <v>274</v>
      </c>
      <c r="D68" s="232">
        <f aca="true" t="shared" si="23" ref="D68:D73">+G68+H68+I68+J68+K68+L68+M68+N68+O68+P68+Q68+R68+S68+T68</f>
        <v>0</v>
      </c>
      <c r="E68" s="193">
        <f aca="true" t="shared" si="24" ref="E68:E73">+U68+V68+W68+X68+Z68+AA68+AB68+Y68</f>
        <v>0</v>
      </c>
      <c r="F68" s="194">
        <f aca="true" t="shared" si="25" ref="F68:F73">+E68+D68</f>
        <v>0</v>
      </c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</row>
    <row r="69" spans="2:28" ht="12.75">
      <c r="B69" s="196" t="s">
        <v>275</v>
      </c>
      <c r="C69" s="211" t="s">
        <v>276</v>
      </c>
      <c r="D69" s="192">
        <f t="shared" si="23"/>
        <v>0</v>
      </c>
      <c r="E69" s="193">
        <f t="shared" si="24"/>
        <v>0</v>
      </c>
      <c r="F69" s="194">
        <f t="shared" si="25"/>
        <v>0</v>
      </c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</row>
    <row r="70" spans="2:28" ht="27.75" customHeight="1">
      <c r="B70" s="196" t="s">
        <v>277</v>
      </c>
      <c r="C70" s="211" t="s">
        <v>278</v>
      </c>
      <c r="D70" s="192">
        <f t="shared" si="23"/>
        <v>0</v>
      </c>
      <c r="E70" s="193">
        <f t="shared" si="24"/>
        <v>0</v>
      </c>
      <c r="F70" s="194">
        <f t="shared" si="25"/>
        <v>0</v>
      </c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</row>
    <row r="71" spans="2:28" ht="27.75" customHeight="1">
      <c r="B71" s="196" t="s">
        <v>279</v>
      </c>
      <c r="C71" s="211" t="s">
        <v>280</v>
      </c>
      <c r="D71" s="192">
        <f t="shared" si="23"/>
        <v>0</v>
      </c>
      <c r="E71" s="193">
        <f t="shared" si="24"/>
        <v>0</v>
      </c>
      <c r="F71" s="194">
        <f t="shared" si="25"/>
        <v>0</v>
      </c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</row>
    <row r="72" spans="2:28" ht="26.25" customHeight="1">
      <c r="B72" s="196" t="s">
        <v>281</v>
      </c>
      <c r="C72" s="211" t="s">
        <v>282</v>
      </c>
      <c r="D72" s="192">
        <f t="shared" si="23"/>
        <v>0</v>
      </c>
      <c r="E72" s="193">
        <f t="shared" si="24"/>
        <v>0</v>
      </c>
      <c r="F72" s="194">
        <f t="shared" si="25"/>
        <v>0</v>
      </c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</row>
    <row r="73" spans="2:28" ht="25.5">
      <c r="B73" s="196" t="s">
        <v>283</v>
      </c>
      <c r="C73" s="211" t="s">
        <v>284</v>
      </c>
      <c r="D73" s="192">
        <f t="shared" si="23"/>
        <v>0</v>
      </c>
      <c r="E73" s="193">
        <f t="shared" si="24"/>
        <v>7043</v>
      </c>
      <c r="F73" s="194">
        <f t="shared" si="25"/>
        <v>7043</v>
      </c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>
        <v>7043</v>
      </c>
      <c r="X73" s="192"/>
      <c r="Y73" s="192"/>
      <c r="Z73" s="192"/>
      <c r="AA73" s="192"/>
      <c r="AB73" s="192"/>
    </row>
    <row r="74" spans="2:28" s="197" customFormat="1" ht="12.75">
      <c r="B74" s="201" t="s">
        <v>285</v>
      </c>
      <c r="C74" s="212" t="s">
        <v>286</v>
      </c>
      <c r="D74" s="200">
        <f aca="true" t="shared" si="26" ref="D74:AB74">+D73+D72+D71+D70+D69+D68</f>
        <v>0</v>
      </c>
      <c r="E74" s="233">
        <f>+U74+V74+W74+X74+Z74+AA74+AB74+Y74</f>
        <v>7043</v>
      </c>
      <c r="F74" s="200">
        <f t="shared" si="26"/>
        <v>7043</v>
      </c>
      <c r="G74" s="200">
        <f t="shared" si="26"/>
        <v>0</v>
      </c>
      <c r="H74" s="200">
        <f t="shared" si="26"/>
        <v>0</v>
      </c>
      <c r="I74" s="200">
        <f t="shared" si="26"/>
        <v>0</v>
      </c>
      <c r="J74" s="200">
        <f t="shared" si="26"/>
        <v>0</v>
      </c>
      <c r="K74" s="200">
        <f t="shared" si="26"/>
        <v>0</v>
      </c>
      <c r="L74" s="200">
        <f t="shared" si="26"/>
        <v>0</v>
      </c>
      <c r="M74" s="200">
        <f t="shared" si="26"/>
        <v>0</v>
      </c>
      <c r="N74" s="200">
        <f t="shared" si="26"/>
        <v>0</v>
      </c>
      <c r="O74" s="200">
        <f t="shared" si="26"/>
        <v>0</v>
      </c>
      <c r="P74" s="200">
        <f t="shared" si="26"/>
        <v>0</v>
      </c>
      <c r="Q74" s="200">
        <f t="shared" si="26"/>
        <v>0</v>
      </c>
      <c r="R74" s="200">
        <f t="shared" si="26"/>
        <v>0</v>
      </c>
      <c r="S74" s="200">
        <f t="shared" si="26"/>
        <v>0</v>
      </c>
      <c r="T74" s="200">
        <f t="shared" si="26"/>
        <v>0</v>
      </c>
      <c r="U74" s="200">
        <f t="shared" si="26"/>
        <v>0</v>
      </c>
      <c r="V74" s="200">
        <f t="shared" si="26"/>
        <v>0</v>
      </c>
      <c r="W74" s="200">
        <f t="shared" si="26"/>
        <v>7043</v>
      </c>
      <c r="X74" s="200">
        <f t="shared" si="26"/>
        <v>0</v>
      </c>
      <c r="Y74" s="200">
        <f t="shared" si="26"/>
        <v>0</v>
      </c>
      <c r="Z74" s="200">
        <f t="shared" si="26"/>
        <v>0</v>
      </c>
      <c r="AA74" s="200">
        <f t="shared" si="26"/>
        <v>0</v>
      </c>
      <c r="AB74" s="200">
        <f t="shared" si="26"/>
        <v>0</v>
      </c>
    </row>
    <row r="75" spans="2:28" s="197" customFormat="1" ht="12.75">
      <c r="B75" s="201" t="s">
        <v>287</v>
      </c>
      <c r="C75" s="212" t="s">
        <v>288</v>
      </c>
      <c r="D75" s="202">
        <f aca="true" t="shared" si="27" ref="D75:D81">+G75+H75+I75+J75+K75+L75+M75+N75+O75+P75+Q75+R75+S75+T75</f>
        <v>0</v>
      </c>
      <c r="E75" s="203">
        <f>+U75+V75+W75+X75+Z75+AA75+AB75+Y75</f>
        <v>0</v>
      </c>
      <c r="F75" s="200">
        <f aca="true" t="shared" si="28" ref="F75:F81">+E75+D75</f>
        <v>0</v>
      </c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</row>
    <row r="76" spans="2:28" ht="12.75" hidden="1">
      <c r="B76" s="196" t="s">
        <v>289</v>
      </c>
      <c r="C76" s="211" t="s">
        <v>290</v>
      </c>
      <c r="D76" s="192">
        <f t="shared" si="27"/>
        <v>0</v>
      </c>
      <c r="E76" s="192">
        <f aca="true" t="shared" si="29" ref="E76:E81">+U76+V76+W76+X76+Z76+AA76+AB76</f>
        <v>0</v>
      </c>
      <c r="F76" s="194">
        <f t="shared" si="28"/>
        <v>0</v>
      </c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</row>
    <row r="77" spans="2:28" ht="12.75" hidden="1">
      <c r="B77" s="196" t="s">
        <v>291</v>
      </c>
      <c r="C77" s="211" t="s">
        <v>292</v>
      </c>
      <c r="D77" s="192">
        <f t="shared" si="27"/>
        <v>0</v>
      </c>
      <c r="E77" s="192">
        <f t="shared" si="29"/>
        <v>0</v>
      </c>
      <c r="F77" s="194">
        <f t="shared" si="28"/>
        <v>0</v>
      </c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</row>
    <row r="78" spans="2:28" ht="12.75" hidden="1">
      <c r="B78" s="196" t="s">
        <v>293</v>
      </c>
      <c r="C78" s="211" t="s">
        <v>294</v>
      </c>
      <c r="D78" s="192">
        <f t="shared" si="27"/>
        <v>0</v>
      </c>
      <c r="E78" s="192">
        <f t="shared" si="29"/>
        <v>0</v>
      </c>
      <c r="F78" s="194">
        <f t="shared" si="28"/>
        <v>0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</row>
    <row r="79" spans="2:28" ht="12.75" hidden="1">
      <c r="B79" s="196" t="s">
        <v>295</v>
      </c>
      <c r="C79" s="211" t="s">
        <v>296</v>
      </c>
      <c r="D79" s="192">
        <f t="shared" si="27"/>
        <v>0</v>
      </c>
      <c r="E79" s="192">
        <f t="shared" si="29"/>
        <v>0</v>
      </c>
      <c r="F79" s="194">
        <f t="shared" si="28"/>
        <v>0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</row>
    <row r="80" spans="2:28" ht="12.75" hidden="1">
      <c r="B80" s="196" t="s">
        <v>297</v>
      </c>
      <c r="C80" s="211" t="s">
        <v>298</v>
      </c>
      <c r="D80" s="192">
        <f t="shared" si="27"/>
        <v>0</v>
      </c>
      <c r="E80" s="192">
        <f t="shared" si="29"/>
        <v>0</v>
      </c>
      <c r="F80" s="194">
        <f t="shared" si="28"/>
        <v>0</v>
      </c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</row>
    <row r="81" spans="2:28" ht="12.75" hidden="1">
      <c r="B81" s="196" t="s">
        <v>299</v>
      </c>
      <c r="C81" s="211" t="s">
        <v>300</v>
      </c>
      <c r="D81" s="192">
        <f t="shared" si="27"/>
        <v>0</v>
      </c>
      <c r="E81" s="192">
        <f t="shared" si="29"/>
        <v>0</v>
      </c>
      <c r="F81" s="194">
        <f t="shared" si="28"/>
        <v>0</v>
      </c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</row>
    <row r="82" spans="2:28" s="197" customFormat="1" ht="12.75">
      <c r="B82" s="201" t="s">
        <v>301</v>
      </c>
      <c r="C82" s="212" t="s">
        <v>302</v>
      </c>
      <c r="D82" s="200">
        <f aca="true" t="shared" si="30" ref="D82:AB82">SUM(D76:D81)</f>
        <v>0</v>
      </c>
      <c r="E82" s="233">
        <f>+U82+V82+W82+X82+Z82+AA82+AB82+Y82</f>
        <v>0</v>
      </c>
      <c r="F82" s="200">
        <f t="shared" si="30"/>
        <v>0</v>
      </c>
      <c r="G82" s="200">
        <f t="shared" si="30"/>
        <v>0</v>
      </c>
      <c r="H82" s="200">
        <f t="shared" si="30"/>
        <v>0</v>
      </c>
      <c r="I82" s="200">
        <f t="shared" si="30"/>
        <v>0</v>
      </c>
      <c r="J82" s="200">
        <f t="shared" si="30"/>
        <v>0</v>
      </c>
      <c r="K82" s="200">
        <f t="shared" si="30"/>
        <v>0</v>
      </c>
      <c r="L82" s="200">
        <f t="shared" si="30"/>
        <v>0</v>
      </c>
      <c r="M82" s="200">
        <f t="shared" si="30"/>
        <v>0</v>
      </c>
      <c r="N82" s="200">
        <f t="shared" si="30"/>
        <v>0</v>
      </c>
      <c r="O82" s="200">
        <f t="shared" si="30"/>
        <v>0</v>
      </c>
      <c r="P82" s="200">
        <f t="shared" si="30"/>
        <v>0</v>
      </c>
      <c r="Q82" s="200">
        <f t="shared" si="30"/>
        <v>0</v>
      </c>
      <c r="R82" s="200">
        <f t="shared" si="30"/>
        <v>0</v>
      </c>
      <c r="S82" s="200">
        <f t="shared" si="30"/>
        <v>0</v>
      </c>
      <c r="T82" s="200">
        <f t="shared" si="30"/>
        <v>0</v>
      </c>
      <c r="U82" s="200">
        <f t="shared" si="30"/>
        <v>0</v>
      </c>
      <c r="V82" s="200">
        <f t="shared" si="30"/>
        <v>0</v>
      </c>
      <c r="W82" s="200">
        <f t="shared" si="30"/>
        <v>0</v>
      </c>
      <c r="X82" s="200">
        <f t="shared" si="30"/>
        <v>0</v>
      </c>
      <c r="Y82" s="200">
        <f t="shared" si="30"/>
        <v>0</v>
      </c>
      <c r="Z82" s="200">
        <f t="shared" si="30"/>
        <v>0</v>
      </c>
      <c r="AA82" s="200">
        <f t="shared" si="30"/>
        <v>0</v>
      </c>
      <c r="AB82" s="200">
        <f t="shared" si="30"/>
        <v>0</v>
      </c>
    </row>
    <row r="83" spans="2:28" ht="12.75">
      <c r="B83" s="213" t="s">
        <v>656</v>
      </c>
      <c r="C83" s="211" t="s">
        <v>304</v>
      </c>
      <c r="D83" s="192">
        <f aca="true" t="shared" si="31" ref="D83:D93">+G83+H83+I83+J83+K83+L83+M83+N83+O83+P83+Q83+R83+S83+T83</f>
        <v>0</v>
      </c>
      <c r="E83" s="193">
        <f>+U83+V83+W83+X83+Z83+AA83+AB83+Y83</f>
        <v>0</v>
      </c>
      <c r="F83" s="194">
        <f aca="true" t="shared" si="32" ref="F83:F93">+E83+D83</f>
        <v>0</v>
      </c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</row>
    <row r="84" spans="2:28" ht="12.75">
      <c r="B84" s="213" t="s">
        <v>305</v>
      </c>
      <c r="C84" s="211" t="s">
        <v>306</v>
      </c>
      <c r="D84" s="192">
        <f t="shared" si="31"/>
        <v>2120</v>
      </c>
      <c r="E84" s="193">
        <f aca="true" t="shared" si="33" ref="E84:E93">+U84+V84+W84+X84+Z84+AA84+AB84+Y84</f>
        <v>0</v>
      </c>
      <c r="F84" s="194">
        <f t="shared" si="32"/>
        <v>2120</v>
      </c>
      <c r="G84" s="192"/>
      <c r="H84" s="192"/>
      <c r="I84" s="192"/>
      <c r="J84" s="192"/>
      <c r="K84" s="192"/>
      <c r="L84" s="192"/>
      <c r="M84" s="192">
        <f>1500+400</f>
        <v>1900</v>
      </c>
      <c r="N84" s="192"/>
      <c r="O84" s="192"/>
      <c r="P84" s="192"/>
      <c r="Q84" s="192">
        <v>220</v>
      </c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</row>
    <row r="85" spans="2:28" ht="12.75">
      <c r="B85" s="213" t="s">
        <v>307</v>
      </c>
      <c r="C85" s="211" t="s">
        <v>308</v>
      </c>
      <c r="D85" s="192">
        <f t="shared" si="31"/>
        <v>270</v>
      </c>
      <c r="E85" s="193">
        <f t="shared" si="33"/>
        <v>1000</v>
      </c>
      <c r="F85" s="194">
        <f t="shared" si="32"/>
        <v>1270</v>
      </c>
      <c r="G85" s="192"/>
      <c r="H85" s="192">
        <v>270</v>
      </c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>
        <v>1000</v>
      </c>
      <c r="Z85" s="192"/>
      <c r="AA85" s="192"/>
      <c r="AB85" s="192"/>
    </row>
    <row r="86" spans="2:28" ht="15" customHeight="1">
      <c r="B86" s="213" t="s">
        <v>309</v>
      </c>
      <c r="C86" s="211" t="s">
        <v>310</v>
      </c>
      <c r="D86" s="192">
        <f t="shared" si="31"/>
        <v>4173</v>
      </c>
      <c r="E86" s="193">
        <f t="shared" si="33"/>
        <v>1000</v>
      </c>
      <c r="F86" s="194">
        <f t="shared" si="32"/>
        <v>5173</v>
      </c>
      <c r="G86" s="192"/>
      <c r="H86" s="192">
        <f>2042+1565</f>
        <v>3607</v>
      </c>
      <c r="I86" s="192"/>
      <c r="J86" s="192">
        <v>566</v>
      </c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>
        <v>1000</v>
      </c>
      <c r="AB86" s="192"/>
    </row>
    <row r="87" spans="2:28" ht="15" customHeight="1">
      <c r="B87" s="213" t="s">
        <v>311</v>
      </c>
      <c r="C87" s="211" t="s">
        <v>312</v>
      </c>
      <c r="D87" s="192">
        <f t="shared" si="31"/>
        <v>0</v>
      </c>
      <c r="E87" s="193">
        <f t="shared" si="33"/>
        <v>0</v>
      </c>
      <c r="F87" s="194">
        <f t="shared" si="32"/>
        <v>0</v>
      </c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</row>
    <row r="88" spans="2:28" ht="12.75">
      <c r="B88" s="213" t="s">
        <v>313</v>
      </c>
      <c r="C88" s="211" t="s">
        <v>314</v>
      </c>
      <c r="D88" s="192">
        <f t="shared" si="31"/>
        <v>1047</v>
      </c>
      <c r="E88" s="193">
        <f t="shared" si="33"/>
        <v>270</v>
      </c>
      <c r="F88" s="194">
        <f t="shared" si="32"/>
        <v>1317</v>
      </c>
      <c r="G88" s="192"/>
      <c r="H88" s="192">
        <v>1047</v>
      </c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>
        <v>270</v>
      </c>
      <c r="Z88" s="192"/>
      <c r="AA88" s="192"/>
      <c r="AB88" s="192"/>
    </row>
    <row r="89" spans="2:28" ht="12.75">
      <c r="B89" s="213" t="s">
        <v>315</v>
      </c>
      <c r="C89" s="211" t="s">
        <v>316</v>
      </c>
      <c r="D89" s="192">
        <f t="shared" si="31"/>
        <v>0</v>
      </c>
      <c r="E89" s="193">
        <f t="shared" si="33"/>
        <v>0</v>
      </c>
      <c r="F89" s="194">
        <f t="shared" si="32"/>
        <v>0</v>
      </c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</row>
    <row r="90" spans="2:28" ht="12.75">
      <c r="B90" s="213" t="s">
        <v>317</v>
      </c>
      <c r="C90" s="211" t="s">
        <v>318</v>
      </c>
      <c r="D90" s="192">
        <f t="shared" si="31"/>
        <v>2000</v>
      </c>
      <c r="E90" s="193">
        <f t="shared" si="33"/>
        <v>0</v>
      </c>
      <c r="F90" s="194">
        <f t="shared" si="32"/>
        <v>2000</v>
      </c>
      <c r="G90" s="192">
        <v>2000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</row>
    <row r="91" spans="2:28" ht="12.75">
      <c r="B91" s="213" t="s">
        <v>319</v>
      </c>
      <c r="C91" s="211" t="s">
        <v>320</v>
      </c>
      <c r="D91" s="192">
        <f t="shared" si="31"/>
        <v>0</v>
      </c>
      <c r="E91" s="193">
        <f t="shared" si="33"/>
        <v>0</v>
      </c>
      <c r="F91" s="194">
        <f t="shared" si="32"/>
        <v>0</v>
      </c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</row>
    <row r="92" spans="2:28" ht="12.75">
      <c r="B92" s="213" t="s">
        <v>321</v>
      </c>
      <c r="C92" s="211" t="s">
        <v>322</v>
      </c>
      <c r="D92" s="192">
        <f>+G92+H92+I92+J92+K92+L92+M92+N92+O92+P92+Q92+R92+S92+T92</f>
        <v>0</v>
      </c>
      <c r="E92" s="193">
        <f t="shared" si="33"/>
        <v>0</v>
      </c>
      <c r="F92" s="194">
        <f>+E92+D92</f>
        <v>0</v>
      </c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</row>
    <row r="93" spans="2:28" ht="12.75">
      <c r="B93" s="213" t="s">
        <v>323</v>
      </c>
      <c r="C93" s="211" t="s">
        <v>322</v>
      </c>
      <c r="D93" s="192">
        <f t="shared" si="31"/>
        <v>0</v>
      </c>
      <c r="E93" s="193">
        <f t="shared" si="33"/>
        <v>0</v>
      </c>
      <c r="F93" s="194">
        <f t="shared" si="32"/>
        <v>0</v>
      </c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</row>
    <row r="94" spans="2:28" s="197" customFormat="1" ht="12.75">
      <c r="B94" s="204" t="s">
        <v>325</v>
      </c>
      <c r="C94" s="212" t="s">
        <v>326</v>
      </c>
      <c r="D94" s="200">
        <f aca="true" t="shared" si="34" ref="D94:AB94">SUM(D83:D93)</f>
        <v>9610</v>
      </c>
      <c r="E94" s="200">
        <f t="shared" si="34"/>
        <v>2270</v>
      </c>
      <c r="F94" s="200">
        <f t="shared" si="34"/>
        <v>11880</v>
      </c>
      <c r="G94" s="200">
        <f t="shared" si="34"/>
        <v>2000</v>
      </c>
      <c r="H94" s="200">
        <f t="shared" si="34"/>
        <v>4924</v>
      </c>
      <c r="I94" s="200">
        <f t="shared" si="34"/>
        <v>0</v>
      </c>
      <c r="J94" s="200">
        <f t="shared" si="34"/>
        <v>566</v>
      </c>
      <c r="K94" s="200">
        <f t="shared" si="34"/>
        <v>0</v>
      </c>
      <c r="L94" s="200">
        <f t="shared" si="34"/>
        <v>0</v>
      </c>
      <c r="M94" s="200">
        <f t="shared" si="34"/>
        <v>1900</v>
      </c>
      <c r="N94" s="200">
        <f t="shared" si="34"/>
        <v>0</v>
      </c>
      <c r="O94" s="200">
        <f t="shared" si="34"/>
        <v>0</v>
      </c>
      <c r="P94" s="200">
        <f t="shared" si="34"/>
        <v>0</v>
      </c>
      <c r="Q94" s="200">
        <f t="shared" si="34"/>
        <v>220</v>
      </c>
      <c r="R94" s="200">
        <f t="shared" si="34"/>
        <v>0</v>
      </c>
      <c r="S94" s="200">
        <f t="shared" si="34"/>
        <v>0</v>
      </c>
      <c r="T94" s="200">
        <f t="shared" si="34"/>
        <v>0</v>
      </c>
      <c r="U94" s="200">
        <f t="shared" si="34"/>
        <v>0</v>
      </c>
      <c r="V94" s="200">
        <f t="shared" si="34"/>
        <v>0</v>
      </c>
      <c r="W94" s="200">
        <f t="shared" si="34"/>
        <v>0</v>
      </c>
      <c r="X94" s="200">
        <f t="shared" si="34"/>
        <v>0</v>
      </c>
      <c r="Y94" s="200">
        <f t="shared" si="34"/>
        <v>1270</v>
      </c>
      <c r="Z94" s="200">
        <f t="shared" si="34"/>
        <v>0</v>
      </c>
      <c r="AA94" s="200">
        <f t="shared" si="34"/>
        <v>1000</v>
      </c>
      <c r="AB94" s="200">
        <f t="shared" si="34"/>
        <v>0</v>
      </c>
    </row>
    <row r="95" spans="2:28" ht="12.75">
      <c r="B95" s="213" t="s">
        <v>327</v>
      </c>
      <c r="C95" s="211" t="s">
        <v>328</v>
      </c>
      <c r="D95" s="192">
        <f>+G95+H95+I95+J95+K95+L95+M95+N95+O95+P95+Q95+R95+S95+T95</f>
        <v>0</v>
      </c>
      <c r="E95" s="193">
        <f>+U95+V95+W95+X95+Z95+AA95+AB95+Y95</f>
        <v>0</v>
      </c>
      <c r="F95" s="194">
        <f>+E95+D95</f>
        <v>0</v>
      </c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</row>
    <row r="96" spans="2:28" ht="12.75">
      <c r="B96" s="213" t="s">
        <v>329</v>
      </c>
      <c r="C96" s="211" t="s">
        <v>330</v>
      </c>
      <c r="D96" s="192">
        <f>+G96+H96+I96+J96+K96+L96+M96+N96+O96+P96+Q96+R96+S96+T96</f>
        <v>0</v>
      </c>
      <c r="E96" s="193">
        <f>+U96+V96+W96+X96+Z96+AA96+AB96+Y96</f>
        <v>0</v>
      </c>
      <c r="F96" s="194">
        <f>+E96+D96</f>
        <v>0</v>
      </c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</row>
    <row r="97" spans="2:28" ht="12.75">
      <c r="B97" s="213" t="s">
        <v>331</v>
      </c>
      <c r="C97" s="211" t="s">
        <v>332</v>
      </c>
      <c r="D97" s="192">
        <f>+G97+H97+I97+J97+K97+L97+M97+N97+O97+P97+Q97+R97+S97+T97</f>
        <v>0</v>
      </c>
      <c r="E97" s="193">
        <f>+U97+V97+W97+X97+Z97+AA97+AB97+Y97</f>
        <v>0</v>
      </c>
      <c r="F97" s="194">
        <f>+E97+D97</f>
        <v>0</v>
      </c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</row>
    <row r="98" spans="2:28" ht="12.75">
      <c r="B98" s="213" t="s">
        <v>333</v>
      </c>
      <c r="C98" s="211" t="s">
        <v>334</v>
      </c>
      <c r="D98" s="192">
        <f>+G98+H98+I98+J98+K98+L98+M98+N98+O98+P98+Q98+R98+S98+T98</f>
        <v>0</v>
      </c>
      <c r="E98" s="193">
        <f>+U98+V98+W98+X98+Z98+AA98+AB98+Y98</f>
        <v>0</v>
      </c>
      <c r="F98" s="194">
        <f>+E98+D98</f>
        <v>0</v>
      </c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</row>
    <row r="99" spans="2:28" ht="12.75">
      <c r="B99" s="213" t="s">
        <v>335</v>
      </c>
      <c r="C99" s="211" t="s">
        <v>336</v>
      </c>
      <c r="D99" s="192">
        <f>+G99+H99+I99+J99+K99+L99+M99+N99+O99+P99+Q99+R99+S99+T99</f>
        <v>0</v>
      </c>
      <c r="E99" s="193">
        <f>+U99+V99+W99+X99+Z99+AA99+AB99+Y99</f>
        <v>0</v>
      </c>
      <c r="F99" s="194">
        <f>+E99+D99</f>
        <v>0</v>
      </c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</row>
    <row r="100" spans="2:28" s="197" customFormat="1" ht="12.75">
      <c r="B100" s="201" t="s">
        <v>337</v>
      </c>
      <c r="C100" s="212" t="s">
        <v>338</v>
      </c>
      <c r="D100" s="200">
        <f aca="true" t="shared" si="35" ref="D100:AB100">SUM(D95:D99)</f>
        <v>0</v>
      </c>
      <c r="E100" s="200">
        <f t="shared" si="35"/>
        <v>0</v>
      </c>
      <c r="F100" s="200">
        <f t="shared" si="35"/>
        <v>0</v>
      </c>
      <c r="G100" s="200">
        <f t="shared" si="35"/>
        <v>0</v>
      </c>
      <c r="H100" s="200">
        <f t="shared" si="35"/>
        <v>0</v>
      </c>
      <c r="I100" s="200">
        <f t="shared" si="35"/>
        <v>0</v>
      </c>
      <c r="J100" s="200">
        <f t="shared" si="35"/>
        <v>0</v>
      </c>
      <c r="K100" s="200">
        <f t="shared" si="35"/>
        <v>0</v>
      </c>
      <c r="L100" s="200">
        <f t="shared" si="35"/>
        <v>0</v>
      </c>
      <c r="M100" s="200">
        <f t="shared" si="35"/>
        <v>0</v>
      </c>
      <c r="N100" s="200">
        <f t="shared" si="35"/>
        <v>0</v>
      </c>
      <c r="O100" s="200">
        <f t="shared" si="35"/>
        <v>0</v>
      </c>
      <c r="P100" s="200">
        <f t="shared" si="35"/>
        <v>0</v>
      </c>
      <c r="Q100" s="200">
        <f t="shared" si="35"/>
        <v>0</v>
      </c>
      <c r="R100" s="200">
        <f t="shared" si="35"/>
        <v>0</v>
      </c>
      <c r="S100" s="200">
        <f t="shared" si="35"/>
        <v>0</v>
      </c>
      <c r="T100" s="200">
        <f t="shared" si="35"/>
        <v>0</v>
      </c>
      <c r="U100" s="200">
        <f t="shared" si="35"/>
        <v>0</v>
      </c>
      <c r="V100" s="200">
        <f t="shared" si="35"/>
        <v>0</v>
      </c>
      <c r="W100" s="200">
        <f t="shared" si="35"/>
        <v>0</v>
      </c>
      <c r="X100" s="200">
        <f t="shared" si="35"/>
        <v>0</v>
      </c>
      <c r="Y100" s="200">
        <f t="shared" si="35"/>
        <v>0</v>
      </c>
      <c r="Z100" s="200">
        <f t="shared" si="35"/>
        <v>0</v>
      </c>
      <c r="AA100" s="200">
        <f t="shared" si="35"/>
        <v>0</v>
      </c>
      <c r="AB100" s="200">
        <f t="shared" si="35"/>
        <v>0</v>
      </c>
    </row>
    <row r="101" spans="2:28" s="197" customFormat="1" ht="12.75">
      <c r="B101" s="201" t="s">
        <v>339</v>
      </c>
      <c r="C101" s="212" t="s">
        <v>340</v>
      </c>
      <c r="D101" s="202">
        <f aca="true" t="shared" si="36" ref="D101:D106">+G101+H101+I101+J101+K101+L101+M101+N101+O101+P101+Q101+R101+S101+T101</f>
        <v>0</v>
      </c>
      <c r="E101" s="233">
        <f aca="true" t="shared" si="37" ref="E101:E106">+U101+V101+W101+X101+Z101+AA101+AB101+Y101</f>
        <v>0</v>
      </c>
      <c r="F101" s="200">
        <f aca="true" t="shared" si="38" ref="F101:F106">+E101+D101</f>
        <v>0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</row>
    <row r="102" spans="2:28" ht="27" customHeight="1">
      <c r="B102" s="213" t="s">
        <v>341</v>
      </c>
      <c r="C102" s="211" t="s">
        <v>342</v>
      </c>
      <c r="D102" s="192">
        <f t="shared" si="36"/>
        <v>0</v>
      </c>
      <c r="E102" s="193">
        <f t="shared" si="37"/>
        <v>0</v>
      </c>
      <c r="F102" s="194">
        <f t="shared" si="38"/>
        <v>0</v>
      </c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</row>
    <row r="103" spans="2:28" ht="27" customHeight="1">
      <c r="B103" s="196" t="s">
        <v>343</v>
      </c>
      <c r="C103" s="211" t="s">
        <v>344</v>
      </c>
      <c r="D103" s="192">
        <f t="shared" si="36"/>
        <v>0</v>
      </c>
      <c r="E103" s="193">
        <f t="shared" si="37"/>
        <v>0</v>
      </c>
      <c r="F103" s="194">
        <f t="shared" si="38"/>
        <v>0</v>
      </c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</row>
    <row r="104" spans="2:28" ht="27" customHeight="1">
      <c r="B104" s="213" t="s">
        <v>345</v>
      </c>
      <c r="C104" s="211" t="s">
        <v>346</v>
      </c>
      <c r="D104" s="192">
        <f t="shared" si="36"/>
        <v>0</v>
      </c>
      <c r="E104" s="193">
        <f t="shared" si="37"/>
        <v>0</v>
      </c>
      <c r="F104" s="194">
        <f t="shared" si="38"/>
        <v>0</v>
      </c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</row>
    <row r="105" spans="2:28" ht="27" customHeight="1">
      <c r="B105" s="213" t="s">
        <v>347</v>
      </c>
      <c r="C105" s="211" t="s">
        <v>348</v>
      </c>
      <c r="D105" s="192">
        <f t="shared" si="36"/>
        <v>0</v>
      </c>
      <c r="E105" s="193">
        <f t="shared" si="37"/>
        <v>0</v>
      </c>
      <c r="F105" s="194">
        <f t="shared" si="38"/>
        <v>0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</row>
    <row r="106" spans="2:28" ht="15" customHeight="1">
      <c r="B106" s="213" t="s">
        <v>349</v>
      </c>
      <c r="C106" s="211" t="s">
        <v>350</v>
      </c>
      <c r="D106" s="192">
        <f t="shared" si="36"/>
        <v>25400</v>
      </c>
      <c r="E106" s="193">
        <f t="shared" si="37"/>
        <v>0</v>
      </c>
      <c r="F106" s="194">
        <f t="shared" si="38"/>
        <v>25400</v>
      </c>
      <c r="G106" s="192"/>
      <c r="H106" s="192"/>
      <c r="I106" s="192"/>
      <c r="J106" s="192"/>
      <c r="K106" s="192"/>
      <c r="L106" s="192"/>
      <c r="M106" s="192"/>
      <c r="N106" s="192">
        <v>25400</v>
      </c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</row>
    <row r="107" spans="2:28" s="197" customFormat="1" ht="12.75">
      <c r="B107" s="201" t="s">
        <v>351</v>
      </c>
      <c r="C107" s="212" t="s">
        <v>352</v>
      </c>
      <c r="D107" s="200">
        <f aca="true" t="shared" si="39" ref="D107:AB107">SUM(D102:D106)</f>
        <v>25400</v>
      </c>
      <c r="E107" s="200">
        <f t="shared" si="39"/>
        <v>0</v>
      </c>
      <c r="F107" s="200">
        <f t="shared" si="39"/>
        <v>25400</v>
      </c>
      <c r="G107" s="200">
        <f t="shared" si="39"/>
        <v>0</v>
      </c>
      <c r="H107" s="200">
        <f t="shared" si="39"/>
        <v>0</v>
      </c>
      <c r="I107" s="200">
        <f t="shared" si="39"/>
        <v>0</v>
      </c>
      <c r="J107" s="200">
        <f t="shared" si="39"/>
        <v>0</v>
      </c>
      <c r="K107" s="200">
        <f t="shared" si="39"/>
        <v>0</v>
      </c>
      <c r="L107" s="200">
        <f t="shared" si="39"/>
        <v>0</v>
      </c>
      <c r="M107" s="200">
        <f t="shared" si="39"/>
        <v>0</v>
      </c>
      <c r="N107" s="200">
        <f t="shared" si="39"/>
        <v>25400</v>
      </c>
      <c r="O107" s="200">
        <f t="shared" si="39"/>
        <v>0</v>
      </c>
      <c r="P107" s="200">
        <f t="shared" si="39"/>
        <v>0</v>
      </c>
      <c r="Q107" s="200">
        <f t="shared" si="39"/>
        <v>0</v>
      </c>
      <c r="R107" s="200">
        <f t="shared" si="39"/>
        <v>0</v>
      </c>
      <c r="S107" s="200">
        <f t="shared" si="39"/>
        <v>0</v>
      </c>
      <c r="T107" s="200">
        <f t="shared" si="39"/>
        <v>0</v>
      </c>
      <c r="U107" s="200">
        <f t="shared" si="39"/>
        <v>0</v>
      </c>
      <c r="V107" s="200">
        <f t="shared" si="39"/>
        <v>0</v>
      </c>
      <c r="W107" s="200">
        <f t="shared" si="39"/>
        <v>0</v>
      </c>
      <c r="X107" s="200">
        <f t="shared" si="39"/>
        <v>0</v>
      </c>
      <c r="Y107" s="200">
        <f t="shared" si="39"/>
        <v>0</v>
      </c>
      <c r="Z107" s="200">
        <f t="shared" si="39"/>
        <v>0</v>
      </c>
      <c r="AA107" s="200">
        <f t="shared" si="39"/>
        <v>0</v>
      </c>
      <c r="AB107" s="200">
        <f t="shared" si="39"/>
        <v>0</v>
      </c>
    </row>
    <row r="108" spans="2:28" ht="12.75">
      <c r="B108" s="234" t="s">
        <v>353</v>
      </c>
      <c r="C108" s="214" t="s">
        <v>354</v>
      </c>
      <c r="D108" s="216">
        <f aca="true" t="shared" si="40" ref="D108:AB108">+D107+D101+D100+D94+D82+D75+D74</f>
        <v>35010</v>
      </c>
      <c r="E108" s="216">
        <f t="shared" si="40"/>
        <v>9313</v>
      </c>
      <c r="F108" s="216">
        <f t="shared" si="40"/>
        <v>44323</v>
      </c>
      <c r="G108" s="216">
        <f t="shared" si="40"/>
        <v>2000</v>
      </c>
      <c r="H108" s="216">
        <f t="shared" si="40"/>
        <v>4924</v>
      </c>
      <c r="I108" s="216">
        <f t="shared" si="40"/>
        <v>0</v>
      </c>
      <c r="J108" s="216">
        <f t="shared" si="40"/>
        <v>566</v>
      </c>
      <c r="K108" s="216">
        <f t="shared" si="40"/>
        <v>0</v>
      </c>
      <c r="L108" s="216">
        <f t="shared" si="40"/>
        <v>0</v>
      </c>
      <c r="M108" s="216">
        <f t="shared" si="40"/>
        <v>1900</v>
      </c>
      <c r="N108" s="216">
        <f t="shared" si="40"/>
        <v>25400</v>
      </c>
      <c r="O108" s="216">
        <f t="shared" si="40"/>
        <v>0</v>
      </c>
      <c r="P108" s="216">
        <f t="shared" si="40"/>
        <v>0</v>
      </c>
      <c r="Q108" s="216">
        <f t="shared" si="40"/>
        <v>220</v>
      </c>
      <c r="R108" s="216">
        <f t="shared" si="40"/>
        <v>0</v>
      </c>
      <c r="S108" s="216">
        <f t="shared" si="40"/>
        <v>0</v>
      </c>
      <c r="T108" s="216">
        <f t="shared" si="40"/>
        <v>0</v>
      </c>
      <c r="U108" s="216">
        <f t="shared" si="40"/>
        <v>0</v>
      </c>
      <c r="V108" s="216">
        <f t="shared" si="40"/>
        <v>0</v>
      </c>
      <c r="W108" s="216">
        <f t="shared" si="40"/>
        <v>7043</v>
      </c>
      <c r="X108" s="216">
        <f t="shared" si="40"/>
        <v>0</v>
      </c>
      <c r="Y108" s="216">
        <f t="shared" si="40"/>
        <v>1270</v>
      </c>
      <c r="Z108" s="216">
        <f t="shared" si="40"/>
        <v>0</v>
      </c>
      <c r="AA108" s="216">
        <f t="shared" si="40"/>
        <v>1000</v>
      </c>
      <c r="AB108" s="216">
        <f t="shared" si="40"/>
        <v>0</v>
      </c>
    </row>
    <row r="109" spans="2:28" ht="13.5">
      <c r="B109" s="235" t="s">
        <v>355</v>
      </c>
      <c r="C109" s="236"/>
      <c r="D109" s="237">
        <f>+D101+D94+D82+D74-D33</f>
        <v>-392817</v>
      </c>
      <c r="E109" s="237">
        <f>+E101+E94+E82+E74-E33</f>
        <v>-30651.97</v>
      </c>
      <c r="F109" s="237">
        <f aca="true" t="shared" si="41" ref="F109:F116">+E109+D109</f>
        <v>-423468.97</v>
      </c>
      <c r="G109" s="237">
        <f aca="true" t="shared" si="42" ref="G109:AB109">+G101+G94+G82+G74-G33</f>
        <v>-262185</v>
      </c>
      <c r="H109" s="237">
        <f t="shared" si="42"/>
        <v>-2476</v>
      </c>
      <c r="I109" s="237">
        <f t="shared" si="42"/>
        <v>0</v>
      </c>
      <c r="J109" s="237">
        <f t="shared" si="42"/>
        <v>566</v>
      </c>
      <c r="K109" s="237">
        <f t="shared" si="42"/>
        <v>-34315</v>
      </c>
      <c r="L109" s="237">
        <f t="shared" si="42"/>
        <v>-18846</v>
      </c>
      <c r="M109" s="237">
        <f t="shared" si="42"/>
        <v>-5974</v>
      </c>
      <c r="N109" s="237">
        <f t="shared" si="42"/>
        <v>-5804</v>
      </c>
      <c r="O109" s="237">
        <f t="shared" si="42"/>
        <v>-24448</v>
      </c>
      <c r="P109" s="237">
        <f t="shared" si="42"/>
        <v>-33782</v>
      </c>
      <c r="Q109" s="237">
        <f t="shared" si="42"/>
        <v>-2664</v>
      </c>
      <c r="R109" s="237">
        <f t="shared" si="42"/>
        <v>-635</v>
      </c>
      <c r="S109" s="237">
        <f t="shared" si="42"/>
        <v>-254</v>
      </c>
      <c r="T109" s="237">
        <f t="shared" si="42"/>
        <v>-2000</v>
      </c>
      <c r="U109" s="237">
        <f t="shared" si="42"/>
        <v>-11000</v>
      </c>
      <c r="V109" s="237">
        <f t="shared" si="42"/>
        <v>-950</v>
      </c>
      <c r="W109" s="237">
        <f t="shared" si="42"/>
        <v>-167.97000000000025</v>
      </c>
      <c r="X109" s="237">
        <f t="shared" si="42"/>
        <v>-8300</v>
      </c>
      <c r="Y109" s="237">
        <f>+Y101+Y94+Y82+Y74-Y33</f>
        <v>-1184</v>
      </c>
      <c r="Z109" s="237">
        <f t="shared" si="42"/>
        <v>-2000</v>
      </c>
      <c r="AA109" s="237">
        <f t="shared" si="42"/>
        <v>-6600</v>
      </c>
      <c r="AB109" s="237">
        <f t="shared" si="42"/>
        <v>-450</v>
      </c>
    </row>
    <row r="110" spans="2:28" ht="13.5">
      <c r="B110" s="235" t="s">
        <v>356</v>
      </c>
      <c r="C110" s="236"/>
      <c r="D110" s="237">
        <f>+D107+D100+D75-D57</f>
        <v>-59132</v>
      </c>
      <c r="E110" s="237">
        <f>+E107+E100+E75-E57</f>
        <v>-3203</v>
      </c>
      <c r="F110" s="237">
        <f t="shared" si="41"/>
        <v>-62335</v>
      </c>
      <c r="G110" s="237">
        <f aca="true" t="shared" si="43" ref="G110:AB110">+G107+G100+G75-G57</f>
        <v>-59132</v>
      </c>
      <c r="H110" s="237">
        <f t="shared" si="43"/>
        <v>0</v>
      </c>
      <c r="I110" s="237">
        <f t="shared" si="43"/>
        <v>0</v>
      </c>
      <c r="J110" s="237">
        <f t="shared" si="43"/>
        <v>0</v>
      </c>
      <c r="K110" s="237">
        <f t="shared" si="43"/>
        <v>0</v>
      </c>
      <c r="L110" s="237">
        <f t="shared" si="43"/>
        <v>0</v>
      </c>
      <c r="M110" s="237">
        <f t="shared" si="43"/>
        <v>0</v>
      </c>
      <c r="N110" s="237">
        <f t="shared" si="43"/>
        <v>0</v>
      </c>
      <c r="O110" s="237">
        <f t="shared" si="43"/>
        <v>0</v>
      </c>
      <c r="P110" s="237">
        <f t="shared" si="43"/>
        <v>0</v>
      </c>
      <c r="Q110" s="237">
        <f t="shared" si="43"/>
        <v>0</v>
      </c>
      <c r="R110" s="237">
        <f t="shared" si="43"/>
        <v>0</v>
      </c>
      <c r="S110" s="237">
        <f t="shared" si="43"/>
        <v>0</v>
      </c>
      <c r="T110" s="237">
        <f t="shared" si="43"/>
        <v>0</v>
      </c>
      <c r="U110" s="237">
        <f t="shared" si="43"/>
        <v>0</v>
      </c>
      <c r="V110" s="237">
        <f t="shared" si="43"/>
        <v>0</v>
      </c>
      <c r="W110" s="237">
        <f t="shared" si="43"/>
        <v>-203</v>
      </c>
      <c r="X110" s="237">
        <f t="shared" si="43"/>
        <v>-3000</v>
      </c>
      <c r="Y110" s="237">
        <f>+Y107+Y100+Y75-Y57</f>
        <v>0</v>
      </c>
      <c r="Z110" s="237">
        <f t="shared" si="43"/>
        <v>0</v>
      </c>
      <c r="AA110" s="237">
        <f t="shared" si="43"/>
        <v>0</v>
      </c>
      <c r="AB110" s="237">
        <f t="shared" si="43"/>
        <v>0</v>
      </c>
    </row>
    <row r="111" spans="2:28" ht="12.75">
      <c r="B111" s="238" t="s">
        <v>657</v>
      </c>
      <c r="C111" s="239" t="s">
        <v>364</v>
      </c>
      <c r="D111" s="192">
        <f aca="true" t="shared" si="44" ref="D111:D116">+G111+H111+I111+J111+K111+L111+M111+N111+O111+P111+Q111+R111+S111+T111</f>
        <v>0</v>
      </c>
      <c r="E111" s="193">
        <f aca="true" t="shared" si="45" ref="E111:E116">+U111+V111+W111+X111+Z111+AA111+AB111+Y111</f>
        <v>0</v>
      </c>
      <c r="F111" s="194">
        <f t="shared" si="41"/>
        <v>0</v>
      </c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</row>
    <row r="112" spans="2:28" ht="12.75">
      <c r="B112" s="240" t="s">
        <v>658</v>
      </c>
      <c r="C112" s="239" t="s">
        <v>374</v>
      </c>
      <c r="D112" s="192">
        <f t="shared" si="44"/>
        <v>0</v>
      </c>
      <c r="E112" s="193">
        <f t="shared" si="45"/>
        <v>0</v>
      </c>
      <c r="F112" s="194">
        <f t="shared" si="41"/>
        <v>0</v>
      </c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</row>
    <row r="113" spans="2:28" ht="14.25" customHeight="1">
      <c r="B113" s="196" t="s">
        <v>375</v>
      </c>
      <c r="C113" s="196" t="s">
        <v>376</v>
      </c>
      <c r="D113" s="192">
        <f t="shared" si="44"/>
        <v>117137</v>
      </c>
      <c r="E113" s="193">
        <f t="shared" si="45"/>
        <v>0</v>
      </c>
      <c r="F113" s="194">
        <f t="shared" si="41"/>
        <v>117137</v>
      </c>
      <c r="G113" s="192">
        <v>117137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</row>
    <row r="114" spans="2:28" ht="12.75">
      <c r="B114" s="196" t="s">
        <v>659</v>
      </c>
      <c r="C114" s="196" t="s">
        <v>376</v>
      </c>
      <c r="D114" s="192">
        <f t="shared" si="44"/>
        <v>0</v>
      </c>
      <c r="E114" s="193">
        <f t="shared" si="45"/>
        <v>0</v>
      </c>
      <c r="F114" s="194">
        <f t="shared" si="41"/>
        <v>0</v>
      </c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</row>
    <row r="115" spans="2:28" ht="12.75">
      <c r="B115" s="196" t="s">
        <v>378</v>
      </c>
      <c r="C115" s="196" t="s">
        <v>379</v>
      </c>
      <c r="D115" s="192">
        <f t="shared" si="44"/>
        <v>0</v>
      </c>
      <c r="E115" s="193">
        <f t="shared" si="45"/>
        <v>0</v>
      </c>
      <c r="F115" s="194">
        <f t="shared" si="41"/>
        <v>0</v>
      </c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</row>
    <row r="116" spans="2:28" ht="12.75">
      <c r="B116" s="196" t="s">
        <v>660</v>
      </c>
      <c r="C116" s="196" t="s">
        <v>379</v>
      </c>
      <c r="D116" s="192">
        <f t="shared" si="44"/>
        <v>0</v>
      </c>
      <c r="E116" s="193">
        <f t="shared" si="45"/>
        <v>0</v>
      </c>
      <c r="F116" s="194">
        <f t="shared" si="41"/>
        <v>0</v>
      </c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</row>
    <row r="117" spans="2:28" ht="12.75">
      <c r="B117" s="239" t="s">
        <v>381</v>
      </c>
      <c r="C117" s="239" t="s">
        <v>382</v>
      </c>
      <c r="D117" s="194">
        <f aca="true" t="shared" si="46" ref="D117:AB117">SUM(D113:D116)</f>
        <v>117137</v>
      </c>
      <c r="E117" s="194">
        <f t="shared" si="46"/>
        <v>0</v>
      </c>
      <c r="F117" s="194">
        <f t="shared" si="46"/>
        <v>117137</v>
      </c>
      <c r="G117" s="194">
        <f t="shared" si="46"/>
        <v>117137</v>
      </c>
      <c r="H117" s="194">
        <f t="shared" si="46"/>
        <v>0</v>
      </c>
      <c r="I117" s="194">
        <f t="shared" si="46"/>
        <v>0</v>
      </c>
      <c r="J117" s="194">
        <f t="shared" si="46"/>
        <v>0</v>
      </c>
      <c r="K117" s="194">
        <f t="shared" si="46"/>
        <v>0</v>
      </c>
      <c r="L117" s="194">
        <f t="shared" si="46"/>
        <v>0</v>
      </c>
      <c r="M117" s="194">
        <f t="shared" si="46"/>
        <v>0</v>
      </c>
      <c r="N117" s="194">
        <f t="shared" si="46"/>
        <v>0</v>
      </c>
      <c r="O117" s="194">
        <f t="shared" si="46"/>
        <v>0</v>
      </c>
      <c r="P117" s="194">
        <f t="shared" si="46"/>
        <v>0</v>
      </c>
      <c r="Q117" s="194">
        <f t="shared" si="46"/>
        <v>0</v>
      </c>
      <c r="R117" s="194">
        <f t="shared" si="46"/>
        <v>0</v>
      </c>
      <c r="S117" s="194">
        <f t="shared" si="46"/>
        <v>0</v>
      </c>
      <c r="T117" s="194">
        <f t="shared" si="46"/>
        <v>0</v>
      </c>
      <c r="U117" s="194">
        <f t="shared" si="46"/>
        <v>0</v>
      </c>
      <c r="V117" s="194">
        <f t="shared" si="46"/>
        <v>0</v>
      </c>
      <c r="W117" s="194">
        <f t="shared" si="46"/>
        <v>0</v>
      </c>
      <c r="X117" s="194">
        <f t="shared" si="46"/>
        <v>0</v>
      </c>
      <c r="Y117" s="194">
        <f t="shared" si="46"/>
        <v>0</v>
      </c>
      <c r="Z117" s="194">
        <f t="shared" si="46"/>
        <v>0</v>
      </c>
      <c r="AA117" s="194">
        <f t="shared" si="46"/>
        <v>0</v>
      </c>
      <c r="AB117" s="194">
        <f t="shared" si="46"/>
        <v>0</v>
      </c>
    </row>
    <row r="118" spans="2:28" ht="12.75">
      <c r="B118" s="217" t="s">
        <v>383</v>
      </c>
      <c r="C118" s="196" t="s">
        <v>384</v>
      </c>
      <c r="D118" s="192">
        <f>+G118+H118+I118+J118+K118+L118+M118+N118+O118+P118+Q118+R118+S118+T118</f>
        <v>0</v>
      </c>
      <c r="E118" s="193">
        <f aca="true" t="shared" si="47" ref="E118:E125">+U118+V118+W118+X118+Z118+AA118+AB118+Y118</f>
        <v>0</v>
      </c>
      <c r="F118" s="194">
        <f aca="true" t="shared" si="48" ref="F118:F124">+E118+D118</f>
        <v>0</v>
      </c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</row>
    <row r="119" spans="2:28" ht="12.75">
      <c r="B119" s="217" t="s">
        <v>385</v>
      </c>
      <c r="C119" s="196" t="s">
        <v>386</v>
      </c>
      <c r="D119" s="192">
        <f>+G119+H119+I119+J119+K119+L119+M119+N119+O119+P119+Q119+R119+S119+T119</f>
        <v>0</v>
      </c>
      <c r="E119" s="193">
        <f t="shared" si="47"/>
        <v>0</v>
      </c>
      <c r="F119" s="194">
        <f t="shared" si="48"/>
        <v>0</v>
      </c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</row>
    <row r="120" spans="2:28" ht="12.75">
      <c r="B120" s="217" t="s">
        <v>387</v>
      </c>
      <c r="C120" s="196" t="s">
        <v>388</v>
      </c>
      <c r="D120" s="192">
        <f>+G120+H120+I120+J120+K120+L120+M120+N120+O120+P120+Q120+R120+S120+T120</f>
        <v>0</v>
      </c>
      <c r="E120" s="193">
        <f t="shared" si="47"/>
        <v>0</v>
      </c>
      <c r="F120" s="194">
        <f t="shared" si="48"/>
        <v>0</v>
      </c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</row>
    <row r="121" spans="2:28" ht="12.75" hidden="1">
      <c r="B121" s="241" t="s">
        <v>661</v>
      </c>
      <c r="C121" s="196"/>
      <c r="D121" s="192"/>
      <c r="E121" s="193">
        <f t="shared" si="47"/>
        <v>0</v>
      </c>
      <c r="F121" s="194">
        <f t="shared" si="48"/>
        <v>0</v>
      </c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</row>
    <row r="122" spans="2:28" ht="12.75" hidden="1">
      <c r="B122" s="242" t="s">
        <v>662</v>
      </c>
      <c r="C122" s="196"/>
      <c r="D122" s="192">
        <f>+D120-D121</f>
        <v>0</v>
      </c>
      <c r="E122" s="193">
        <f t="shared" si="47"/>
        <v>0</v>
      </c>
      <c r="F122" s="194">
        <f t="shared" si="48"/>
        <v>0</v>
      </c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</row>
    <row r="123" spans="2:28" ht="12.75" hidden="1">
      <c r="B123" s="217" t="s">
        <v>389</v>
      </c>
      <c r="C123" s="196" t="s">
        <v>390</v>
      </c>
      <c r="D123" s="192">
        <f>+G123+H123+I123+J123+K123+L123+M123+N123+O123+P123+Q123+R123+S123+T123</f>
        <v>0</v>
      </c>
      <c r="E123" s="193">
        <f t="shared" si="47"/>
        <v>0</v>
      </c>
      <c r="F123" s="194">
        <f t="shared" si="48"/>
        <v>0</v>
      </c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</row>
    <row r="124" spans="2:28" ht="12.75" hidden="1">
      <c r="B124" s="213" t="s">
        <v>391</v>
      </c>
      <c r="C124" s="196" t="s">
        <v>392</v>
      </c>
      <c r="D124" s="192">
        <f>+G124+H124+I124+J124+K124+L124+M124+N124+O124+P124+Q124+R124+S124+T124</f>
        <v>0</v>
      </c>
      <c r="E124" s="193">
        <f t="shared" si="47"/>
        <v>0</v>
      </c>
      <c r="F124" s="194">
        <f t="shared" si="48"/>
        <v>0</v>
      </c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</row>
    <row r="125" spans="2:28" ht="12.75" hidden="1">
      <c r="B125" s="213" t="s">
        <v>393</v>
      </c>
      <c r="C125" s="196" t="s">
        <v>394</v>
      </c>
      <c r="D125" s="192">
        <f>+G125+H125+I125+J125+K125+L125+M125+N125+O125+P125+Q125+R125+S125+T125</f>
        <v>0</v>
      </c>
      <c r="E125" s="193">
        <f t="shared" si="47"/>
        <v>0</v>
      </c>
      <c r="F125" s="194">
        <f>+E125+D125</f>
        <v>0</v>
      </c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</row>
    <row r="126" spans="2:28" s="197" customFormat="1" ht="12.75">
      <c r="B126" s="204" t="s">
        <v>395</v>
      </c>
      <c r="C126" s="201" t="s">
        <v>396</v>
      </c>
      <c r="D126" s="200">
        <f>SUM(D118:D125)+D117+D112+D111</f>
        <v>117137</v>
      </c>
      <c r="E126" s="200">
        <f>SUM(E118:E125)+E117+E112+E111</f>
        <v>0</v>
      </c>
      <c r="F126" s="200">
        <f>SUM(F118:F125)+F117+F112+F111</f>
        <v>117137</v>
      </c>
      <c r="G126" s="200">
        <f aca="true" t="shared" si="49" ref="G126:AB126">SUM(G118:G124)+G117+G112+G111</f>
        <v>117137</v>
      </c>
      <c r="H126" s="200">
        <f t="shared" si="49"/>
        <v>0</v>
      </c>
      <c r="I126" s="200">
        <f t="shared" si="49"/>
        <v>0</v>
      </c>
      <c r="J126" s="200">
        <f t="shared" si="49"/>
        <v>0</v>
      </c>
      <c r="K126" s="200">
        <f t="shared" si="49"/>
        <v>0</v>
      </c>
      <c r="L126" s="200">
        <f t="shared" si="49"/>
        <v>0</v>
      </c>
      <c r="M126" s="200">
        <f t="shared" si="49"/>
        <v>0</v>
      </c>
      <c r="N126" s="200">
        <f t="shared" si="49"/>
        <v>0</v>
      </c>
      <c r="O126" s="200">
        <f t="shared" si="49"/>
        <v>0</v>
      </c>
      <c r="P126" s="200">
        <f t="shared" si="49"/>
        <v>0</v>
      </c>
      <c r="Q126" s="200">
        <f t="shared" si="49"/>
        <v>0</v>
      </c>
      <c r="R126" s="200">
        <f t="shared" si="49"/>
        <v>0</v>
      </c>
      <c r="S126" s="200">
        <f t="shared" si="49"/>
        <v>0</v>
      </c>
      <c r="T126" s="200">
        <f t="shared" si="49"/>
        <v>0</v>
      </c>
      <c r="U126" s="200">
        <f t="shared" si="49"/>
        <v>0</v>
      </c>
      <c r="V126" s="200">
        <f t="shared" si="49"/>
        <v>0</v>
      </c>
      <c r="W126" s="200">
        <f t="shared" si="49"/>
        <v>0</v>
      </c>
      <c r="X126" s="200">
        <f t="shared" si="49"/>
        <v>0</v>
      </c>
      <c r="Y126" s="200">
        <f>SUM(Y118:Y124)+Y117+Y112+Y111</f>
        <v>0</v>
      </c>
      <c r="Z126" s="200">
        <f t="shared" si="49"/>
        <v>0</v>
      </c>
      <c r="AA126" s="200">
        <f t="shared" si="49"/>
        <v>0</v>
      </c>
      <c r="AB126" s="200">
        <f t="shared" si="49"/>
        <v>0</v>
      </c>
    </row>
    <row r="127" spans="2:28" ht="12.75" hidden="1">
      <c r="B127" s="217" t="s">
        <v>397</v>
      </c>
      <c r="C127" s="196" t="s">
        <v>398</v>
      </c>
      <c r="D127" s="192">
        <f>+G127+H127+I127+J127+K127+L127+M127+N127+O127+P127+Q127+R127+S127+T127</f>
        <v>0</v>
      </c>
      <c r="E127" s="192">
        <f>+U127+V127+W127+X127+Z127+AA127+AB127</f>
        <v>0</v>
      </c>
      <c r="F127" s="194">
        <f>+E127+D127</f>
        <v>0</v>
      </c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</row>
    <row r="128" spans="2:28" ht="12.75" hidden="1">
      <c r="B128" s="213" t="s">
        <v>399</v>
      </c>
      <c r="C128" s="196" t="s">
        <v>400</v>
      </c>
      <c r="D128" s="192">
        <f>+G128+H128+I128+J128+K128+L128+M128+N128+O128+P128+Q128+R128+S128+T128</f>
        <v>0</v>
      </c>
      <c r="E128" s="192">
        <f>+U128+V128+W128+X128+Z128+AA128+AB128</f>
        <v>0</v>
      </c>
      <c r="F128" s="194">
        <f>+E128+D128</f>
        <v>0</v>
      </c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</row>
    <row r="129" spans="2:28" ht="12.75" hidden="1">
      <c r="B129" s="213" t="s">
        <v>401</v>
      </c>
      <c r="C129" s="196" t="s">
        <v>402</v>
      </c>
      <c r="D129" s="192">
        <f>+G129+H129+I129+J129+K129+L129+M129+N129+O129+P129+Q129+R129+S129+T129</f>
        <v>0</v>
      </c>
      <c r="E129" s="192">
        <f>+U129+V129+W129+X129+Z129+AA129+AB129</f>
        <v>0</v>
      </c>
      <c r="F129" s="194">
        <f>+E129+D129</f>
        <v>0</v>
      </c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</row>
    <row r="130" spans="2:28" ht="12.75">
      <c r="B130" s="220" t="s">
        <v>403</v>
      </c>
      <c r="C130" s="221" t="s">
        <v>404</v>
      </c>
      <c r="D130" s="216">
        <f>+D128+D127+D126+D129</f>
        <v>117137</v>
      </c>
      <c r="E130" s="216">
        <f>+E128+E127+E126+E129</f>
        <v>0</v>
      </c>
      <c r="F130" s="216">
        <f>+F128+F127+F126+F129</f>
        <v>117137</v>
      </c>
      <c r="G130" s="216">
        <f aca="true" t="shared" si="50" ref="G130:AB130">+G128+G127+G126</f>
        <v>117137</v>
      </c>
      <c r="H130" s="216">
        <f t="shared" si="50"/>
        <v>0</v>
      </c>
      <c r="I130" s="216">
        <f t="shared" si="50"/>
        <v>0</v>
      </c>
      <c r="J130" s="216">
        <f t="shared" si="50"/>
        <v>0</v>
      </c>
      <c r="K130" s="216">
        <f t="shared" si="50"/>
        <v>0</v>
      </c>
      <c r="L130" s="216">
        <f t="shared" si="50"/>
        <v>0</v>
      </c>
      <c r="M130" s="216">
        <f t="shared" si="50"/>
        <v>0</v>
      </c>
      <c r="N130" s="216">
        <f t="shared" si="50"/>
        <v>0</v>
      </c>
      <c r="O130" s="216">
        <f t="shared" si="50"/>
        <v>0</v>
      </c>
      <c r="P130" s="216">
        <f t="shared" si="50"/>
        <v>0</v>
      </c>
      <c r="Q130" s="216">
        <f t="shared" si="50"/>
        <v>0</v>
      </c>
      <c r="R130" s="216">
        <f t="shared" si="50"/>
        <v>0</v>
      </c>
      <c r="S130" s="216">
        <f t="shared" si="50"/>
        <v>0</v>
      </c>
      <c r="T130" s="216">
        <f t="shared" si="50"/>
        <v>0</v>
      </c>
      <c r="U130" s="216">
        <f t="shared" si="50"/>
        <v>0</v>
      </c>
      <c r="V130" s="216">
        <f t="shared" si="50"/>
        <v>0</v>
      </c>
      <c r="W130" s="216">
        <f t="shared" si="50"/>
        <v>0</v>
      </c>
      <c r="X130" s="216">
        <f t="shared" si="50"/>
        <v>0</v>
      </c>
      <c r="Y130" s="216">
        <f>+Y128+Y127+Y126</f>
        <v>0</v>
      </c>
      <c r="Z130" s="216">
        <f t="shared" si="50"/>
        <v>0</v>
      </c>
      <c r="AA130" s="216">
        <f t="shared" si="50"/>
        <v>0</v>
      </c>
      <c r="AB130" s="216">
        <f t="shared" si="50"/>
        <v>0</v>
      </c>
    </row>
    <row r="131" spans="2:28" s="230" customFormat="1" ht="12.75">
      <c r="B131" s="223" t="s">
        <v>405</v>
      </c>
      <c r="C131" s="223" t="s">
        <v>406</v>
      </c>
      <c r="D131" s="224">
        <f aca="true" t="shared" si="51" ref="D131:AB131">+D108+D130</f>
        <v>152147</v>
      </c>
      <c r="E131" s="224">
        <f t="shared" si="51"/>
        <v>9313</v>
      </c>
      <c r="F131" s="224">
        <f t="shared" si="51"/>
        <v>161460</v>
      </c>
      <c r="G131" s="224">
        <f t="shared" si="51"/>
        <v>119137</v>
      </c>
      <c r="H131" s="224">
        <f t="shared" si="51"/>
        <v>4924</v>
      </c>
      <c r="I131" s="224">
        <f t="shared" si="51"/>
        <v>0</v>
      </c>
      <c r="J131" s="224">
        <f t="shared" si="51"/>
        <v>566</v>
      </c>
      <c r="K131" s="224">
        <f t="shared" si="51"/>
        <v>0</v>
      </c>
      <c r="L131" s="224">
        <f t="shared" si="51"/>
        <v>0</v>
      </c>
      <c r="M131" s="224">
        <f t="shared" si="51"/>
        <v>1900</v>
      </c>
      <c r="N131" s="224">
        <f t="shared" si="51"/>
        <v>25400</v>
      </c>
      <c r="O131" s="224">
        <f t="shared" si="51"/>
        <v>0</v>
      </c>
      <c r="P131" s="224">
        <f t="shared" si="51"/>
        <v>0</v>
      </c>
      <c r="Q131" s="224">
        <f t="shared" si="51"/>
        <v>220</v>
      </c>
      <c r="R131" s="224">
        <f t="shared" si="51"/>
        <v>0</v>
      </c>
      <c r="S131" s="224">
        <f t="shared" si="51"/>
        <v>0</v>
      </c>
      <c r="T131" s="224">
        <f t="shared" si="51"/>
        <v>0</v>
      </c>
      <c r="U131" s="224">
        <f t="shared" si="51"/>
        <v>0</v>
      </c>
      <c r="V131" s="224">
        <f t="shared" si="51"/>
        <v>0</v>
      </c>
      <c r="W131" s="224">
        <f t="shared" si="51"/>
        <v>7043</v>
      </c>
      <c r="X131" s="224">
        <f t="shared" si="51"/>
        <v>0</v>
      </c>
      <c r="Y131" s="224">
        <f t="shared" si="51"/>
        <v>1270</v>
      </c>
      <c r="Z131" s="224">
        <f t="shared" si="51"/>
        <v>0</v>
      </c>
      <c r="AA131" s="224">
        <f t="shared" si="51"/>
        <v>1000</v>
      </c>
      <c r="AB131" s="224">
        <f t="shared" si="51"/>
        <v>0</v>
      </c>
    </row>
    <row r="132" spans="2:6" s="230" customFormat="1" ht="12.75">
      <c r="B132" s="180"/>
      <c r="C132" s="180"/>
      <c r="D132" s="180"/>
      <c r="E132" s="180"/>
      <c r="F132" s="180"/>
    </row>
    <row r="133" spans="2:6" s="230" customFormat="1" ht="12.75">
      <c r="B133" s="180"/>
      <c r="C133" s="180"/>
      <c r="D133" s="180"/>
      <c r="E133" s="180"/>
      <c r="F133" s="180"/>
    </row>
    <row r="134" spans="2:6" s="230" customFormat="1" ht="12.75">
      <c r="B134" s="180"/>
      <c r="C134" s="180"/>
      <c r="D134" s="180"/>
      <c r="E134" s="180"/>
      <c r="F134" s="180"/>
    </row>
    <row r="135" spans="2:6" s="230" customFormat="1" ht="12.75">
      <c r="B135" s="180"/>
      <c r="C135" s="180"/>
      <c r="D135" s="180"/>
      <c r="E135" s="180"/>
      <c r="F135" s="180"/>
    </row>
    <row r="136" spans="2:6" s="230" customFormat="1" ht="12.75">
      <c r="B136" s="180"/>
      <c r="C136" s="180"/>
      <c r="D136" s="180"/>
      <c r="E136" s="180"/>
      <c r="F136" s="180"/>
    </row>
    <row r="137" spans="2:6" s="230" customFormat="1" ht="12.75">
      <c r="B137" s="180"/>
      <c r="C137" s="180"/>
      <c r="D137" s="180"/>
      <c r="E137" s="180"/>
      <c r="F137" s="180"/>
    </row>
    <row r="138" spans="2:6" s="230" customFormat="1" ht="12.75">
      <c r="B138" s="180"/>
      <c r="C138" s="180"/>
      <c r="D138" s="180"/>
      <c r="E138" s="180"/>
      <c r="F138" s="180"/>
    </row>
    <row r="139" spans="2:6" s="230" customFormat="1" ht="12.75">
      <c r="B139" s="180"/>
      <c r="C139" s="180"/>
      <c r="D139" s="180"/>
      <c r="E139" s="180"/>
      <c r="F139" s="180"/>
    </row>
    <row r="140" spans="2:6" s="230" customFormat="1" ht="12.75">
      <c r="B140" s="180"/>
      <c r="C140" s="180"/>
      <c r="D140" s="180"/>
      <c r="E140" s="180"/>
      <c r="F140" s="180"/>
    </row>
    <row r="141" spans="2:6" s="230" customFormat="1" ht="12.75">
      <c r="B141" s="180"/>
      <c r="C141" s="180"/>
      <c r="D141" s="180"/>
      <c r="E141" s="180"/>
      <c r="F141" s="180"/>
    </row>
    <row r="142" spans="2:6" s="230" customFormat="1" ht="12.75">
      <c r="B142" s="180"/>
      <c r="C142" s="180"/>
      <c r="D142" s="180"/>
      <c r="E142" s="180"/>
      <c r="F142" s="180"/>
    </row>
    <row r="143" spans="2:6" s="230" customFormat="1" ht="12.75">
      <c r="B143" s="180"/>
      <c r="C143" s="180"/>
      <c r="D143" s="180"/>
      <c r="E143" s="180"/>
      <c r="F143" s="180"/>
    </row>
    <row r="144" spans="2:6" s="230" customFormat="1" ht="12.75">
      <c r="B144" s="180"/>
      <c r="C144" s="180"/>
      <c r="D144" s="180"/>
      <c r="E144" s="180"/>
      <c r="F144" s="180"/>
    </row>
    <row r="145" spans="2:6" s="230" customFormat="1" ht="12.75">
      <c r="B145" s="180"/>
      <c r="C145" s="180"/>
      <c r="D145" s="180"/>
      <c r="E145" s="180"/>
      <c r="F145" s="180"/>
    </row>
    <row r="146" spans="2:6" s="230" customFormat="1" ht="12.75">
      <c r="B146" s="180"/>
      <c r="C146" s="180"/>
      <c r="D146" s="180"/>
      <c r="E146" s="180"/>
      <c r="F146" s="180"/>
    </row>
    <row r="147" spans="2:6" s="230" customFormat="1" ht="12.75">
      <c r="B147" s="180"/>
      <c r="C147" s="180"/>
      <c r="D147" s="180"/>
      <c r="E147" s="180"/>
      <c r="F147" s="180"/>
    </row>
    <row r="148" spans="2:6" s="230" customFormat="1" ht="12.75">
      <c r="B148" s="180"/>
      <c r="C148" s="180"/>
      <c r="D148" s="180"/>
      <c r="E148" s="180"/>
      <c r="F148" s="180"/>
    </row>
    <row r="149" spans="2:6" s="230" customFormat="1" ht="12.75">
      <c r="B149" s="180"/>
      <c r="C149" s="180"/>
      <c r="D149" s="180"/>
      <c r="E149" s="180"/>
      <c r="F149" s="180"/>
    </row>
    <row r="150" spans="2:6" s="230" customFormat="1" ht="12.75">
      <c r="B150" s="180"/>
      <c r="C150" s="180"/>
      <c r="D150" s="180"/>
      <c r="E150" s="180"/>
      <c r="F150" s="180"/>
    </row>
    <row r="151" spans="2:6" s="230" customFormat="1" ht="12.75">
      <c r="B151" s="180"/>
      <c r="C151" s="180"/>
      <c r="D151" s="180"/>
      <c r="E151" s="180"/>
      <c r="F151" s="180"/>
    </row>
    <row r="152" spans="2:6" s="230" customFormat="1" ht="12.75">
      <c r="B152" s="180"/>
      <c r="C152" s="180"/>
      <c r="D152" s="180"/>
      <c r="E152" s="180"/>
      <c r="F152" s="180"/>
    </row>
    <row r="153" spans="2:6" s="230" customFormat="1" ht="12.75">
      <c r="B153" s="180"/>
      <c r="C153" s="180"/>
      <c r="D153" s="180"/>
      <c r="E153" s="180"/>
      <c r="F153" s="180"/>
    </row>
    <row r="154" spans="2:6" s="230" customFormat="1" ht="12.75">
      <c r="B154" s="180"/>
      <c r="C154" s="180"/>
      <c r="D154" s="180"/>
      <c r="E154" s="180"/>
      <c r="F154" s="180"/>
    </row>
    <row r="155" spans="2:6" s="230" customFormat="1" ht="12.75">
      <c r="B155" s="180"/>
      <c r="C155" s="180"/>
      <c r="D155" s="180"/>
      <c r="E155" s="180"/>
      <c r="F155" s="180"/>
    </row>
    <row r="156" spans="2:6" s="230" customFormat="1" ht="12.75">
      <c r="B156" s="180"/>
      <c r="C156" s="180"/>
      <c r="D156" s="180"/>
      <c r="E156" s="180"/>
      <c r="F156" s="180"/>
    </row>
    <row r="157" spans="2:6" s="230" customFormat="1" ht="12.75">
      <c r="B157" s="180"/>
      <c r="C157" s="180"/>
      <c r="D157" s="180"/>
      <c r="E157" s="180"/>
      <c r="F157" s="180"/>
    </row>
    <row r="158" spans="2:6" s="230" customFormat="1" ht="12.75">
      <c r="B158" s="180"/>
      <c r="C158" s="180"/>
      <c r="D158" s="180"/>
      <c r="E158" s="180"/>
      <c r="F158" s="180"/>
    </row>
    <row r="159" spans="2:6" s="230" customFormat="1" ht="12.75">
      <c r="B159" s="180"/>
      <c r="C159" s="180"/>
      <c r="D159" s="180"/>
      <c r="E159" s="180"/>
      <c r="F159" s="180"/>
    </row>
    <row r="160" spans="2:6" s="230" customFormat="1" ht="12.75">
      <c r="B160" s="180"/>
      <c r="C160" s="180"/>
      <c r="D160" s="180"/>
      <c r="E160" s="180"/>
      <c r="F160" s="180"/>
    </row>
    <row r="161" spans="2:6" s="230" customFormat="1" ht="12.75">
      <c r="B161" s="180"/>
      <c r="C161" s="180"/>
      <c r="D161" s="180"/>
      <c r="E161" s="180"/>
      <c r="F161" s="180"/>
    </row>
    <row r="162" spans="2:6" s="230" customFormat="1" ht="12.75">
      <c r="B162" s="180"/>
      <c r="C162" s="180"/>
      <c r="D162" s="180"/>
      <c r="E162" s="180"/>
      <c r="F162" s="180"/>
    </row>
    <row r="163" spans="2:6" s="230" customFormat="1" ht="12.75">
      <c r="B163" s="180"/>
      <c r="C163" s="180"/>
      <c r="D163" s="180"/>
      <c r="E163" s="180"/>
      <c r="F163" s="180"/>
    </row>
    <row r="164" spans="2:6" s="230" customFormat="1" ht="12.75">
      <c r="B164" s="180"/>
      <c r="C164" s="180"/>
      <c r="D164" s="180"/>
      <c r="E164" s="180"/>
      <c r="F164" s="180"/>
    </row>
    <row r="165" spans="2:6" s="230" customFormat="1" ht="12.75">
      <c r="B165" s="180"/>
      <c r="C165" s="180"/>
      <c r="D165" s="180"/>
      <c r="E165" s="180"/>
      <c r="F165" s="180"/>
    </row>
    <row r="166" spans="2:6" s="230" customFormat="1" ht="12.75">
      <c r="B166" s="180"/>
      <c r="C166" s="180"/>
      <c r="D166" s="180"/>
      <c r="E166" s="180"/>
      <c r="F166" s="180"/>
    </row>
    <row r="167" spans="2:6" s="230" customFormat="1" ht="12.75">
      <c r="B167" s="180"/>
      <c r="C167" s="180"/>
      <c r="D167" s="180"/>
      <c r="E167" s="180"/>
      <c r="F167" s="180"/>
    </row>
    <row r="168" spans="2:6" s="230" customFormat="1" ht="12.75">
      <c r="B168" s="180"/>
      <c r="C168" s="180"/>
      <c r="D168" s="180"/>
      <c r="E168" s="180"/>
      <c r="F168" s="180"/>
    </row>
    <row r="169" spans="2:6" s="230" customFormat="1" ht="12.75">
      <c r="B169" s="180"/>
      <c r="C169" s="180"/>
      <c r="D169" s="180"/>
      <c r="E169" s="180"/>
      <c r="F169" s="180"/>
    </row>
    <row r="170" spans="2:6" s="230" customFormat="1" ht="12.75">
      <c r="B170" s="180"/>
      <c r="C170" s="180"/>
      <c r="D170" s="180"/>
      <c r="E170" s="180"/>
      <c r="F170" s="180"/>
    </row>
    <row r="171" spans="2:6" s="230" customFormat="1" ht="12.75">
      <c r="B171" s="180"/>
      <c r="C171" s="180"/>
      <c r="D171" s="180"/>
      <c r="E171" s="180"/>
      <c r="F171" s="180"/>
    </row>
    <row r="172" spans="2:6" s="230" customFormat="1" ht="12.75">
      <c r="B172" s="180"/>
      <c r="C172" s="180"/>
      <c r="D172" s="180"/>
      <c r="E172" s="180"/>
      <c r="F172" s="180"/>
    </row>
    <row r="173" spans="2:6" s="230" customFormat="1" ht="12.75">
      <c r="B173" s="180"/>
      <c r="C173" s="180"/>
      <c r="D173" s="180"/>
      <c r="E173" s="180"/>
      <c r="F173" s="180"/>
    </row>
    <row r="174" spans="2:6" s="230" customFormat="1" ht="12.75">
      <c r="B174" s="180"/>
      <c r="C174" s="180"/>
      <c r="D174" s="180"/>
      <c r="E174" s="180"/>
      <c r="F174" s="180"/>
    </row>
    <row r="175" spans="2:6" s="230" customFormat="1" ht="12.75">
      <c r="B175" s="180"/>
      <c r="C175" s="180"/>
      <c r="D175" s="180"/>
      <c r="E175" s="180"/>
      <c r="F175" s="180"/>
    </row>
    <row r="176" spans="2:6" s="230" customFormat="1" ht="12.75">
      <c r="B176" s="180"/>
      <c r="C176" s="180"/>
      <c r="D176" s="180"/>
      <c r="E176" s="180"/>
      <c r="F176" s="180"/>
    </row>
    <row r="177" spans="2:6" s="230" customFormat="1" ht="12.75">
      <c r="B177" s="180"/>
      <c r="C177" s="180"/>
      <c r="D177" s="180"/>
      <c r="E177" s="180"/>
      <c r="F177" s="180"/>
    </row>
    <row r="178" spans="2:6" s="230" customFormat="1" ht="12.75">
      <c r="B178" s="180"/>
      <c r="C178" s="180"/>
      <c r="D178" s="180"/>
      <c r="E178" s="180"/>
      <c r="F178" s="180"/>
    </row>
    <row r="179" spans="2:6" s="230" customFormat="1" ht="12.75">
      <c r="B179" s="180"/>
      <c r="C179" s="180"/>
      <c r="D179" s="180"/>
      <c r="E179" s="180"/>
      <c r="F179" s="180"/>
    </row>
    <row r="180" spans="2:6" s="230" customFormat="1" ht="12.75">
      <c r="B180" s="180"/>
      <c r="C180" s="180"/>
      <c r="D180" s="180"/>
      <c r="E180" s="180"/>
      <c r="F180" s="180"/>
    </row>
    <row r="181" spans="2:6" s="230" customFormat="1" ht="12.75">
      <c r="B181" s="180"/>
      <c r="C181" s="180"/>
      <c r="D181" s="180"/>
      <c r="E181" s="180"/>
      <c r="F181" s="180"/>
    </row>
    <row r="182" spans="2:6" s="230" customFormat="1" ht="12.75">
      <c r="B182" s="180"/>
      <c r="C182" s="180"/>
      <c r="D182" s="180"/>
      <c r="E182" s="180"/>
      <c r="F182" s="180"/>
    </row>
    <row r="183" spans="2:6" s="230" customFormat="1" ht="12.75">
      <c r="B183" s="180"/>
      <c r="C183" s="180"/>
      <c r="D183" s="180"/>
      <c r="E183" s="180"/>
      <c r="F183" s="180"/>
    </row>
    <row r="184" spans="2:6" s="230" customFormat="1" ht="12.75">
      <c r="B184" s="180"/>
      <c r="C184" s="180"/>
      <c r="D184" s="180"/>
      <c r="E184" s="180"/>
      <c r="F184" s="180"/>
    </row>
    <row r="185" spans="2:6" s="230" customFormat="1" ht="12.75">
      <c r="B185" s="180"/>
      <c r="C185" s="180"/>
      <c r="D185" s="180"/>
      <c r="E185" s="180"/>
      <c r="F185" s="180"/>
    </row>
    <row r="186" spans="2:6" s="230" customFormat="1" ht="12.75">
      <c r="B186" s="180"/>
      <c r="C186" s="180"/>
      <c r="D186" s="180"/>
      <c r="E186" s="180"/>
      <c r="F186" s="180"/>
    </row>
    <row r="187" spans="2:6" s="230" customFormat="1" ht="12.75">
      <c r="B187" s="180"/>
      <c r="C187" s="180"/>
      <c r="D187" s="180"/>
      <c r="E187" s="180"/>
      <c r="F187" s="180"/>
    </row>
    <row r="188" spans="2:6" s="230" customFormat="1" ht="12.75">
      <c r="B188" s="180"/>
      <c r="C188" s="180"/>
      <c r="D188" s="180"/>
      <c r="E188" s="180"/>
      <c r="F188" s="180"/>
    </row>
    <row r="189" spans="2:6" s="230" customFormat="1" ht="12.75">
      <c r="B189" s="180"/>
      <c r="C189" s="180"/>
      <c r="D189" s="180"/>
      <c r="E189" s="180"/>
      <c r="F189" s="180"/>
    </row>
    <row r="190" spans="2:6" s="230" customFormat="1" ht="12.75">
      <c r="B190" s="180"/>
      <c r="C190" s="180"/>
      <c r="D190" s="180"/>
      <c r="E190" s="180"/>
      <c r="F190" s="180"/>
    </row>
    <row r="191" spans="2:6" s="230" customFormat="1" ht="12.75">
      <c r="B191" s="180"/>
      <c r="C191" s="180"/>
      <c r="D191" s="180"/>
      <c r="E191" s="180"/>
      <c r="F191" s="180"/>
    </row>
    <row r="192" spans="2:6" s="230" customFormat="1" ht="12.75">
      <c r="B192" s="180"/>
      <c r="C192" s="180"/>
      <c r="D192" s="180"/>
      <c r="E192" s="180"/>
      <c r="F192" s="180"/>
    </row>
    <row r="193" spans="2:6" s="230" customFormat="1" ht="12.75">
      <c r="B193" s="180"/>
      <c r="C193" s="180"/>
      <c r="D193" s="180"/>
      <c r="E193" s="180"/>
      <c r="F193" s="180"/>
    </row>
    <row r="194" spans="2:6" s="230" customFormat="1" ht="12.75">
      <c r="B194" s="180"/>
      <c r="C194" s="180"/>
      <c r="D194" s="180"/>
      <c r="E194" s="180"/>
      <c r="F194" s="180"/>
    </row>
    <row r="195" spans="2:6" s="230" customFormat="1" ht="12.75">
      <c r="B195" s="180"/>
      <c r="C195" s="180"/>
      <c r="D195" s="180"/>
      <c r="E195" s="180"/>
      <c r="F195" s="180"/>
    </row>
    <row r="196" spans="2:6" s="230" customFormat="1" ht="12.75">
      <c r="B196" s="180"/>
      <c r="C196" s="180"/>
      <c r="D196" s="180"/>
      <c r="E196" s="180"/>
      <c r="F196" s="180"/>
    </row>
    <row r="197" spans="2:6" s="230" customFormat="1" ht="12.75">
      <c r="B197" s="180"/>
      <c r="C197" s="180"/>
      <c r="D197" s="180"/>
      <c r="E197" s="180"/>
      <c r="F197" s="180"/>
    </row>
    <row r="198" spans="2:6" s="230" customFormat="1" ht="12.75">
      <c r="B198" s="180"/>
      <c r="C198" s="180"/>
      <c r="D198" s="180"/>
      <c r="E198" s="180"/>
      <c r="F198" s="180"/>
    </row>
    <row r="199" spans="2:6" s="230" customFormat="1" ht="12.75">
      <c r="B199" s="180"/>
      <c r="C199" s="180"/>
      <c r="D199" s="180"/>
      <c r="E199" s="180"/>
      <c r="F199" s="180"/>
    </row>
    <row r="200" spans="2:6" s="230" customFormat="1" ht="12.75">
      <c r="B200" s="180"/>
      <c r="C200" s="180"/>
      <c r="D200" s="180"/>
      <c r="E200" s="180"/>
      <c r="F200" s="180"/>
    </row>
    <row r="201" spans="2:6" s="230" customFormat="1" ht="12.75">
      <c r="B201" s="180"/>
      <c r="C201" s="180"/>
      <c r="D201" s="180"/>
      <c r="E201" s="180"/>
      <c r="F201" s="180"/>
    </row>
    <row r="202" spans="2:6" s="230" customFormat="1" ht="12.75">
      <c r="B202" s="180"/>
      <c r="C202" s="180"/>
      <c r="D202" s="180"/>
      <c r="E202" s="180"/>
      <c r="F202" s="180"/>
    </row>
    <row r="203" spans="2:6" s="230" customFormat="1" ht="12.75">
      <c r="B203" s="180"/>
      <c r="C203" s="180"/>
      <c r="D203" s="180"/>
      <c r="E203" s="180"/>
      <c r="F203" s="180"/>
    </row>
    <row r="204" spans="2:6" s="230" customFormat="1" ht="12.75">
      <c r="B204" s="180"/>
      <c r="C204" s="180"/>
      <c r="D204" s="180"/>
      <c r="E204" s="180"/>
      <c r="F204" s="180"/>
    </row>
    <row r="205" spans="2:6" s="230" customFormat="1" ht="12.75">
      <c r="B205" s="180"/>
      <c r="C205" s="180"/>
      <c r="D205" s="180"/>
      <c r="E205" s="180"/>
      <c r="F205" s="180"/>
    </row>
    <row r="206" spans="2:6" s="230" customFormat="1" ht="12.75">
      <c r="B206" s="180"/>
      <c r="C206" s="180"/>
      <c r="D206" s="180"/>
      <c r="E206" s="180"/>
      <c r="F206" s="180"/>
    </row>
    <row r="207" spans="2:6" s="230" customFormat="1" ht="12.75">
      <c r="B207" s="180"/>
      <c r="C207" s="180"/>
      <c r="D207" s="180"/>
      <c r="E207" s="180"/>
      <c r="F207" s="180"/>
    </row>
    <row r="208" spans="2:6" s="230" customFormat="1" ht="12.75">
      <c r="B208" s="180"/>
      <c r="C208" s="180"/>
      <c r="D208" s="180"/>
      <c r="E208" s="180"/>
      <c r="F208" s="180"/>
    </row>
    <row r="209" spans="2:6" s="230" customFormat="1" ht="12.75">
      <c r="B209" s="180"/>
      <c r="C209" s="180"/>
      <c r="D209" s="180"/>
      <c r="E209" s="180"/>
      <c r="F209" s="180"/>
    </row>
    <row r="210" spans="2:6" s="230" customFormat="1" ht="12.75">
      <c r="B210" s="180"/>
      <c r="C210" s="180"/>
      <c r="D210" s="180"/>
      <c r="E210" s="180"/>
      <c r="F210" s="180"/>
    </row>
    <row r="211" spans="2:6" s="230" customFormat="1" ht="12.75">
      <c r="B211" s="180"/>
      <c r="C211" s="180"/>
      <c r="D211" s="180"/>
      <c r="E211" s="180"/>
      <c r="F211" s="180"/>
    </row>
    <row r="212" spans="2:6" s="230" customFormat="1" ht="12.75">
      <c r="B212" s="180"/>
      <c r="C212" s="180"/>
      <c r="D212" s="180"/>
      <c r="E212" s="180"/>
      <c r="F212" s="180"/>
    </row>
    <row r="213" spans="2:6" s="230" customFormat="1" ht="12.75">
      <c r="B213" s="180"/>
      <c r="C213" s="180"/>
      <c r="D213" s="180"/>
      <c r="E213" s="180"/>
      <c r="F213" s="180"/>
    </row>
    <row r="214" spans="2:6" s="230" customFormat="1" ht="12.75">
      <c r="B214" s="180"/>
      <c r="C214" s="180"/>
      <c r="D214" s="180"/>
      <c r="E214" s="180"/>
      <c r="F214" s="180"/>
    </row>
    <row r="215" spans="2:6" s="230" customFormat="1" ht="12.75">
      <c r="B215" s="180"/>
      <c r="C215" s="180"/>
      <c r="D215" s="180"/>
      <c r="E215" s="180"/>
      <c r="F215" s="180"/>
    </row>
    <row r="216" spans="2:6" s="230" customFormat="1" ht="12.75">
      <c r="B216" s="180"/>
      <c r="C216" s="180"/>
      <c r="D216" s="180"/>
      <c r="E216" s="180"/>
      <c r="F216" s="180"/>
    </row>
    <row r="217" spans="2:6" s="230" customFormat="1" ht="12.75">
      <c r="B217" s="180"/>
      <c r="C217" s="180"/>
      <c r="D217" s="180"/>
      <c r="E217" s="180"/>
      <c r="F217" s="180"/>
    </row>
    <row r="218" spans="2:6" s="230" customFormat="1" ht="12.75">
      <c r="B218" s="180"/>
      <c r="C218" s="180"/>
      <c r="D218" s="180"/>
      <c r="E218" s="180"/>
      <c r="F218" s="180"/>
    </row>
    <row r="219" spans="2:6" s="230" customFormat="1" ht="12.75">
      <c r="B219" s="180"/>
      <c r="C219" s="180"/>
      <c r="D219" s="180"/>
      <c r="E219" s="180"/>
      <c r="F219" s="180"/>
    </row>
    <row r="220" spans="2:6" s="230" customFormat="1" ht="12.75">
      <c r="B220" s="180"/>
      <c r="C220" s="180"/>
      <c r="D220" s="180"/>
      <c r="E220" s="180"/>
      <c r="F220" s="180"/>
    </row>
    <row r="221" spans="2:6" s="230" customFormat="1" ht="12.75">
      <c r="B221" s="180"/>
      <c r="C221" s="180"/>
      <c r="D221" s="180"/>
      <c r="E221" s="180"/>
      <c r="F221" s="180"/>
    </row>
    <row r="222" spans="2:6" s="230" customFormat="1" ht="12.75">
      <c r="B222" s="180"/>
      <c r="C222" s="180"/>
      <c r="D222" s="180"/>
      <c r="E222" s="180"/>
      <c r="F222" s="180"/>
    </row>
    <row r="223" spans="2:6" s="230" customFormat="1" ht="12.75">
      <c r="B223" s="180"/>
      <c r="C223" s="180"/>
      <c r="D223" s="180"/>
      <c r="E223" s="180"/>
      <c r="F223" s="180"/>
    </row>
    <row r="224" spans="2:6" s="230" customFormat="1" ht="12.75">
      <c r="B224" s="180"/>
      <c r="C224" s="180"/>
      <c r="D224" s="180"/>
      <c r="E224" s="180"/>
      <c r="F224" s="180"/>
    </row>
    <row r="225" spans="2:6" s="230" customFormat="1" ht="12.75">
      <c r="B225" s="180"/>
      <c r="C225" s="180"/>
      <c r="D225" s="180"/>
      <c r="E225" s="180"/>
      <c r="F225" s="180"/>
    </row>
    <row r="226" spans="2:6" s="230" customFormat="1" ht="12.75">
      <c r="B226" s="180"/>
      <c r="C226" s="180"/>
      <c r="D226" s="180"/>
      <c r="E226" s="180"/>
      <c r="F226" s="180"/>
    </row>
    <row r="227" spans="2:6" s="230" customFormat="1" ht="12.75">
      <c r="B227" s="180"/>
      <c r="C227" s="180"/>
      <c r="D227" s="180"/>
      <c r="E227" s="180"/>
      <c r="F227" s="180"/>
    </row>
    <row r="228" spans="2:6" s="230" customFormat="1" ht="12.75">
      <c r="B228" s="180"/>
      <c r="C228" s="180"/>
      <c r="D228" s="180"/>
      <c r="E228" s="180"/>
      <c r="F228" s="180"/>
    </row>
    <row r="229" spans="2:6" s="230" customFormat="1" ht="12.75">
      <c r="B229" s="180"/>
      <c r="C229" s="180"/>
      <c r="D229" s="180"/>
      <c r="E229" s="180"/>
      <c r="F229" s="180"/>
    </row>
    <row r="230" spans="2:6" s="230" customFormat="1" ht="12.75">
      <c r="B230" s="180"/>
      <c r="C230" s="180"/>
      <c r="D230" s="180"/>
      <c r="E230" s="180"/>
      <c r="F230" s="180"/>
    </row>
    <row r="231" spans="2:6" s="230" customFormat="1" ht="12.75">
      <c r="B231" s="180"/>
      <c r="C231" s="180"/>
      <c r="D231" s="180"/>
      <c r="E231" s="180"/>
      <c r="F231" s="180"/>
    </row>
    <row r="232" spans="2:6" s="230" customFormat="1" ht="12.75">
      <c r="B232" s="180"/>
      <c r="C232" s="180"/>
      <c r="D232" s="180"/>
      <c r="E232" s="180"/>
      <c r="F232" s="180"/>
    </row>
    <row r="233" spans="2:6" s="230" customFormat="1" ht="12.75">
      <c r="B233" s="180"/>
      <c r="C233" s="180"/>
      <c r="D233" s="180"/>
      <c r="E233" s="180"/>
      <c r="F233" s="180"/>
    </row>
    <row r="234" spans="2:6" s="230" customFormat="1" ht="12.75">
      <c r="B234" s="180"/>
      <c r="C234" s="180"/>
      <c r="D234" s="180"/>
      <c r="E234" s="180"/>
      <c r="F234" s="180"/>
    </row>
    <row r="235" spans="2:6" s="230" customFormat="1" ht="12.75">
      <c r="B235" s="180"/>
      <c r="C235" s="180"/>
      <c r="D235" s="180"/>
      <c r="E235" s="180"/>
      <c r="F235" s="180"/>
    </row>
    <row r="236" spans="2:6" s="230" customFormat="1" ht="12.75">
      <c r="B236" s="180"/>
      <c r="C236" s="180"/>
      <c r="D236" s="180"/>
      <c r="E236" s="180"/>
      <c r="F236" s="180"/>
    </row>
    <row r="237" spans="2:6" s="230" customFormat="1" ht="12.75">
      <c r="B237" s="180"/>
      <c r="C237" s="180"/>
      <c r="D237" s="180"/>
      <c r="E237" s="180"/>
      <c r="F237" s="180"/>
    </row>
    <row r="238" spans="2:6" s="230" customFormat="1" ht="12.75">
      <c r="B238" s="180"/>
      <c r="C238" s="180"/>
      <c r="D238" s="180"/>
      <c r="E238" s="180"/>
      <c r="F238" s="180"/>
    </row>
    <row r="239" spans="2:6" s="230" customFormat="1" ht="12.75">
      <c r="B239" s="180"/>
      <c r="C239" s="180"/>
      <c r="D239" s="180"/>
      <c r="E239" s="180"/>
      <c r="F239" s="180"/>
    </row>
    <row r="240" spans="2:6" s="230" customFormat="1" ht="12.75">
      <c r="B240" s="180"/>
      <c r="C240" s="180"/>
      <c r="D240" s="180"/>
      <c r="E240" s="180"/>
      <c r="F240" s="180"/>
    </row>
    <row r="241" spans="2:6" s="230" customFormat="1" ht="12.75">
      <c r="B241" s="180"/>
      <c r="C241" s="180"/>
      <c r="D241" s="180"/>
      <c r="E241" s="180"/>
      <c r="F241" s="180"/>
    </row>
    <row r="242" spans="2:6" s="230" customFormat="1" ht="12.75">
      <c r="B242" s="180"/>
      <c r="C242" s="180"/>
      <c r="D242" s="180"/>
      <c r="E242" s="180"/>
      <c r="F242" s="180"/>
    </row>
    <row r="243" spans="2:6" s="230" customFormat="1" ht="12.75">
      <c r="B243" s="180"/>
      <c r="C243" s="180"/>
      <c r="D243" s="180"/>
      <c r="E243" s="180"/>
      <c r="F243" s="180"/>
    </row>
    <row r="244" spans="2:6" s="230" customFormat="1" ht="12.75">
      <c r="B244" s="180"/>
      <c r="C244" s="180"/>
      <c r="D244" s="180"/>
      <c r="E244" s="180"/>
      <c r="F244" s="180"/>
    </row>
    <row r="245" spans="2:6" s="230" customFormat="1" ht="12.75">
      <c r="B245" s="180"/>
      <c r="C245" s="180"/>
      <c r="D245" s="180"/>
      <c r="E245" s="180"/>
      <c r="F245" s="180"/>
    </row>
    <row r="246" spans="2:6" s="230" customFormat="1" ht="12.75">
      <c r="B246" s="180"/>
      <c r="C246" s="180"/>
      <c r="D246" s="180"/>
      <c r="E246" s="180"/>
      <c r="F246" s="180"/>
    </row>
    <row r="247" spans="2:6" s="230" customFormat="1" ht="12.75">
      <c r="B247" s="180"/>
      <c r="C247" s="180"/>
      <c r="D247" s="180"/>
      <c r="E247" s="180"/>
      <c r="F247" s="180"/>
    </row>
    <row r="248" spans="2:6" s="230" customFormat="1" ht="12.75">
      <c r="B248" s="180"/>
      <c r="C248" s="180"/>
      <c r="D248" s="180"/>
      <c r="E248" s="180"/>
      <c r="F248" s="180"/>
    </row>
    <row r="249" spans="2:6" s="230" customFormat="1" ht="12.75">
      <c r="B249" s="180"/>
      <c r="C249" s="180"/>
      <c r="D249" s="180"/>
      <c r="E249" s="180"/>
      <c r="F249" s="180"/>
    </row>
    <row r="250" spans="2:6" s="230" customFormat="1" ht="12.75">
      <c r="B250" s="180"/>
      <c r="C250" s="180"/>
      <c r="D250" s="180"/>
      <c r="E250" s="180"/>
      <c r="F250" s="180"/>
    </row>
    <row r="251" spans="2:6" s="230" customFormat="1" ht="12.75">
      <c r="B251" s="180"/>
      <c r="C251" s="180"/>
      <c r="D251" s="180"/>
      <c r="E251" s="180"/>
      <c r="F251" s="180"/>
    </row>
    <row r="252" spans="2:6" s="230" customFormat="1" ht="12.75">
      <c r="B252" s="180"/>
      <c r="C252" s="180"/>
      <c r="D252" s="180"/>
      <c r="E252" s="180"/>
      <c r="F252" s="180"/>
    </row>
    <row r="253" spans="2:6" s="230" customFormat="1" ht="12.75">
      <c r="B253" s="180"/>
      <c r="C253" s="180"/>
      <c r="D253" s="180"/>
      <c r="E253" s="180"/>
      <c r="F253" s="180"/>
    </row>
    <row r="254" spans="2:6" s="230" customFormat="1" ht="12.75">
      <c r="B254" s="180"/>
      <c r="C254" s="180"/>
      <c r="D254" s="180"/>
      <c r="E254" s="180"/>
      <c r="F254" s="180"/>
    </row>
    <row r="255" spans="2:6" s="230" customFormat="1" ht="12.75">
      <c r="B255" s="180"/>
      <c r="C255" s="180"/>
      <c r="D255" s="180"/>
      <c r="E255" s="180"/>
      <c r="F255" s="180"/>
    </row>
    <row r="256" spans="2:6" s="230" customFormat="1" ht="12.75">
      <c r="B256" s="180"/>
      <c r="C256" s="180"/>
      <c r="D256" s="180"/>
      <c r="E256" s="180"/>
      <c r="F256" s="180"/>
    </row>
    <row r="257" spans="2:6" s="230" customFormat="1" ht="12.75">
      <c r="B257" s="180"/>
      <c r="C257" s="180"/>
      <c r="D257" s="180"/>
      <c r="E257" s="180"/>
      <c r="F257" s="180"/>
    </row>
    <row r="258" spans="2:6" s="230" customFormat="1" ht="15">
      <c r="B258"/>
      <c r="C258"/>
      <c r="D258"/>
      <c r="E258"/>
      <c r="F258"/>
    </row>
    <row r="259" spans="2:6" s="230" customFormat="1" ht="15">
      <c r="B259"/>
      <c r="C259"/>
      <c r="D259"/>
      <c r="E259"/>
      <c r="F259"/>
    </row>
  </sheetData>
  <sheetProtection selectLockedCells="1" selectUnlockedCells="1"/>
  <mergeCells count="11">
    <mergeCell ref="G66:I66"/>
    <mergeCell ref="U66:V66"/>
    <mergeCell ref="W66:AB66"/>
    <mergeCell ref="S4:T4"/>
    <mergeCell ref="V4:X4"/>
    <mergeCell ref="Y4:AB4"/>
    <mergeCell ref="P4:R4"/>
    <mergeCell ref="D5:F5"/>
    <mergeCell ref="G4:I4"/>
    <mergeCell ref="J4:L4"/>
    <mergeCell ref="M4:O4"/>
  </mergeCells>
  <printOptions horizontalCentered="1"/>
  <pageMargins left="0.5201388888888889" right="0.4722222222222222" top="0.3541666666666667" bottom="0.35416666666666663" header="0.5118055555555555" footer="0.19652777777777777"/>
  <pageSetup horizontalDpi="300" verticalDpi="300" orientation="portrait" paperSize="9" scale="80" r:id="rId3"/>
  <headerFooter alignWithMargins="0">
    <oddFooter>&amp;R&amp;P</oddFooter>
  </headerFooter>
  <rowBreaks count="1" manualBreakCount="1">
    <brk id="66" max="255" man="1"/>
  </rowBreaks>
  <colBreaks count="1" manualBreakCount="1">
    <brk id="6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V260"/>
  <sheetViews>
    <sheetView view="pageBreakPreview" zoomScale="75" zoomScaleSheetLayoutView="75" workbookViewId="0" topLeftCell="A1">
      <selection activeCell="G143" sqref="G143"/>
    </sheetView>
  </sheetViews>
  <sheetFormatPr defaultColWidth="9.140625" defaultRowHeight="15"/>
  <cols>
    <col min="1" max="1" width="13.00390625" style="28" customWidth="1"/>
    <col min="2" max="2" width="72.00390625" style="28" customWidth="1"/>
    <col min="3" max="3" width="10.7109375" style="28" customWidth="1"/>
    <col min="4" max="4" width="11.57421875" style="28" customWidth="1"/>
    <col min="5" max="5" width="10.7109375" style="28" customWidth="1"/>
    <col min="6" max="6" width="11.140625" style="29" customWidth="1"/>
    <col min="7" max="16384" width="9.140625" style="28" customWidth="1"/>
  </cols>
  <sheetData>
    <row r="1" s="12" customFormat="1" ht="15.75">
      <c r="F1" s="30" t="s">
        <v>663</v>
      </c>
    </row>
    <row r="2" spans="2:6" s="12" customFormat="1" ht="20.25">
      <c r="B2" s="243" t="s">
        <v>80</v>
      </c>
      <c r="F2" s="14" t="s">
        <v>88</v>
      </c>
    </row>
    <row r="3" spans="2:6" s="12" customFormat="1" ht="15.75">
      <c r="B3" s="38" t="s">
        <v>664</v>
      </c>
      <c r="C3" s="34"/>
      <c r="D3" s="34"/>
      <c r="E3" s="34"/>
      <c r="F3" s="35"/>
    </row>
    <row r="4" spans="2:6" s="12" customFormat="1" ht="15.75">
      <c r="B4" s="36" t="s">
        <v>118</v>
      </c>
      <c r="C4" s="37"/>
      <c r="D4" s="37"/>
      <c r="E4" s="37"/>
      <c r="F4" s="38"/>
    </row>
    <row r="5" spans="2:6" ht="15.75" customHeight="1">
      <c r="B5" s="39"/>
      <c r="D5" s="404" t="s">
        <v>91</v>
      </c>
      <c r="E5" s="404"/>
      <c r="F5" s="404"/>
    </row>
    <row r="6" spans="2:6" ht="47.25">
      <c r="B6" s="17" t="s">
        <v>92</v>
      </c>
      <c r="C6" s="40" t="s">
        <v>119</v>
      </c>
      <c r="D6" s="41" t="s">
        <v>93</v>
      </c>
      <c r="E6" s="41" t="s">
        <v>94</v>
      </c>
      <c r="F6" s="169" t="s">
        <v>601</v>
      </c>
    </row>
    <row r="7" spans="2:6" ht="15.75">
      <c r="B7" s="43" t="s">
        <v>120</v>
      </c>
      <c r="C7" s="44" t="s">
        <v>121</v>
      </c>
      <c r="D7" s="22">
        <f>124700+1000+14598</f>
        <v>140298</v>
      </c>
      <c r="E7" s="22"/>
      <c r="F7" s="23">
        <f>+D7+E7</f>
        <v>140298</v>
      </c>
    </row>
    <row r="8" spans="2:6" ht="15.75">
      <c r="B8" s="46" t="s">
        <v>122</v>
      </c>
      <c r="C8" s="44" t="s">
        <v>123</v>
      </c>
      <c r="D8" s="22">
        <v>2400</v>
      </c>
      <c r="E8" s="22"/>
      <c r="F8" s="23">
        <f>+D8+E8</f>
        <v>2400</v>
      </c>
    </row>
    <row r="9" spans="2:6" ht="15.75">
      <c r="B9" s="47" t="s">
        <v>124</v>
      </c>
      <c r="C9" s="48" t="s">
        <v>125</v>
      </c>
      <c r="D9" s="23">
        <f>SUM(D7:D8)</f>
        <v>142698</v>
      </c>
      <c r="E9" s="23">
        <f>SUM(E7:E8)</f>
        <v>0</v>
      </c>
      <c r="F9" s="23">
        <f>SUM(F7:F8)</f>
        <v>142698</v>
      </c>
    </row>
    <row r="10" spans="2:6" ht="15.75">
      <c r="B10" s="49" t="s">
        <v>126</v>
      </c>
      <c r="C10" s="48" t="s">
        <v>127</v>
      </c>
      <c r="D10" s="22">
        <f>33738+682+1986</f>
        <v>36406</v>
      </c>
      <c r="E10" s="22"/>
      <c r="F10" s="23">
        <f aca="true" t="shared" si="0" ref="F10:F15">+D10+E10</f>
        <v>36406</v>
      </c>
    </row>
    <row r="11" spans="2:6" ht="15.75">
      <c r="B11" s="46" t="s">
        <v>128</v>
      </c>
      <c r="C11" s="44" t="s">
        <v>129</v>
      </c>
      <c r="D11" s="22">
        <f>20+400+150+1900+1400+200+100+160</f>
        <v>4330</v>
      </c>
      <c r="E11" s="22"/>
      <c r="F11" s="23">
        <f t="shared" si="0"/>
        <v>4330</v>
      </c>
    </row>
    <row r="12" spans="2:6" ht="15.75">
      <c r="B12" s="46" t="s">
        <v>130</v>
      </c>
      <c r="C12" s="44" t="s">
        <v>131</v>
      </c>
      <c r="D12" s="22">
        <f>600+300+200+2900+600</f>
        <v>4600</v>
      </c>
      <c r="E12" s="22"/>
      <c r="F12" s="23">
        <f t="shared" si="0"/>
        <v>4600</v>
      </c>
    </row>
    <row r="13" spans="2:6" ht="15.75">
      <c r="B13" s="46" t="s">
        <v>132</v>
      </c>
      <c r="C13" s="44" t="s">
        <v>133</v>
      </c>
      <c r="D13" s="22">
        <f>3000+6800+500+600+1000+1700+500+1200+350+190+250+150+2000+1500+1200+400</f>
        <v>21340</v>
      </c>
      <c r="E13" s="22"/>
      <c r="F13" s="23">
        <f t="shared" si="0"/>
        <v>21340</v>
      </c>
    </row>
    <row r="14" spans="2:6" ht="15.75">
      <c r="B14" s="46" t="s">
        <v>134</v>
      </c>
      <c r="C14" s="44" t="s">
        <v>135</v>
      </c>
      <c r="D14" s="22">
        <v>240</v>
      </c>
      <c r="E14" s="22"/>
      <c r="F14" s="23">
        <f t="shared" si="0"/>
        <v>240</v>
      </c>
    </row>
    <row r="15" spans="2:6" ht="15.75">
      <c r="B15" s="46" t="s">
        <v>136</v>
      </c>
      <c r="C15" s="44" t="s">
        <v>137</v>
      </c>
      <c r="D15" s="22">
        <v>9347</v>
      </c>
      <c r="E15" s="22"/>
      <c r="F15" s="23">
        <f t="shared" si="0"/>
        <v>9347</v>
      </c>
    </row>
    <row r="16" spans="2:6" ht="15.75">
      <c r="B16" s="49" t="s">
        <v>138</v>
      </c>
      <c r="C16" s="48" t="s">
        <v>139</v>
      </c>
      <c r="D16" s="23">
        <f>SUM(D11:D15)</f>
        <v>39857</v>
      </c>
      <c r="E16" s="23">
        <f>SUM(E11:E15)</f>
        <v>0</v>
      </c>
      <c r="F16" s="23">
        <f>SUM(F11:F15)</f>
        <v>39857</v>
      </c>
    </row>
    <row r="17" spans="2:6" ht="15.75">
      <c r="B17" s="50" t="s">
        <v>140</v>
      </c>
      <c r="C17" s="48" t="s">
        <v>141</v>
      </c>
      <c r="D17" s="22"/>
      <c r="E17" s="22"/>
      <c r="F17" s="23">
        <f aca="true" t="shared" si="1" ref="F17:F31">+D17+E17</f>
        <v>0</v>
      </c>
    </row>
    <row r="18" spans="2:6" ht="15.75">
      <c r="B18" s="51" t="s">
        <v>142</v>
      </c>
      <c r="C18" s="44" t="s">
        <v>143</v>
      </c>
      <c r="D18" s="22"/>
      <c r="E18" s="22"/>
      <c r="F18" s="23">
        <f t="shared" si="1"/>
        <v>0</v>
      </c>
    </row>
    <row r="19" spans="2:6" ht="15.75">
      <c r="B19" s="51" t="s">
        <v>144</v>
      </c>
      <c r="C19" s="44" t="s">
        <v>145</v>
      </c>
      <c r="D19" s="22"/>
      <c r="E19" s="22"/>
      <c r="F19" s="23">
        <f t="shared" si="1"/>
        <v>0</v>
      </c>
    </row>
    <row r="20" spans="2:6" ht="15.75">
      <c r="B20" s="51" t="s">
        <v>146</v>
      </c>
      <c r="C20" s="44" t="s">
        <v>147</v>
      </c>
      <c r="D20" s="22"/>
      <c r="E20" s="22"/>
      <c r="F20" s="23">
        <f t="shared" si="1"/>
        <v>0</v>
      </c>
    </row>
    <row r="21" spans="2:6" ht="15.75">
      <c r="B21" s="51" t="s">
        <v>148</v>
      </c>
      <c r="C21" s="44" t="s">
        <v>149</v>
      </c>
      <c r="D21" s="22"/>
      <c r="E21" s="22"/>
      <c r="F21" s="23">
        <f t="shared" si="1"/>
        <v>0</v>
      </c>
    </row>
    <row r="22" spans="2:6" ht="15.75">
      <c r="B22" s="51" t="s">
        <v>150</v>
      </c>
      <c r="C22" s="44" t="s">
        <v>151</v>
      </c>
      <c r="D22" s="22"/>
      <c r="E22" s="22"/>
      <c r="F22" s="23">
        <f t="shared" si="1"/>
        <v>0</v>
      </c>
    </row>
    <row r="23" spans="2:6" ht="15.75">
      <c r="B23" s="51" t="s">
        <v>152</v>
      </c>
      <c r="C23" s="44" t="s">
        <v>153</v>
      </c>
      <c r="D23" s="22"/>
      <c r="E23" s="22"/>
      <c r="F23" s="23">
        <f t="shared" si="1"/>
        <v>0</v>
      </c>
    </row>
    <row r="24" spans="2:6" ht="15.75">
      <c r="B24" s="51" t="s">
        <v>154</v>
      </c>
      <c r="C24" s="44" t="s">
        <v>155</v>
      </c>
      <c r="D24" s="22"/>
      <c r="E24" s="22"/>
      <c r="F24" s="23">
        <f t="shared" si="1"/>
        <v>0</v>
      </c>
    </row>
    <row r="25" spans="2:6" ht="15.75">
      <c r="B25" s="51" t="s">
        <v>156</v>
      </c>
      <c r="C25" s="44" t="s">
        <v>157</v>
      </c>
      <c r="D25" s="22"/>
      <c r="E25" s="22"/>
      <c r="F25" s="23">
        <f t="shared" si="1"/>
        <v>0</v>
      </c>
    </row>
    <row r="26" spans="2:6" ht="15.75">
      <c r="B26" s="51" t="s">
        <v>158</v>
      </c>
      <c r="C26" s="44" t="s">
        <v>159</v>
      </c>
      <c r="D26" s="22"/>
      <c r="E26" s="22"/>
      <c r="F26" s="23">
        <f t="shared" si="1"/>
        <v>0</v>
      </c>
    </row>
    <row r="27" spans="2:6" ht="15.75">
      <c r="B27" s="52" t="s">
        <v>160</v>
      </c>
      <c r="C27" s="44" t="s">
        <v>161</v>
      </c>
      <c r="D27" s="22"/>
      <c r="E27" s="22"/>
      <c r="F27" s="23">
        <f t="shared" si="1"/>
        <v>0</v>
      </c>
    </row>
    <row r="28" spans="2:6" ht="15.75">
      <c r="B28" s="52" t="s">
        <v>665</v>
      </c>
      <c r="C28" s="44" t="s">
        <v>163</v>
      </c>
      <c r="D28" s="22"/>
      <c r="E28" s="22"/>
      <c r="F28" s="23">
        <f t="shared" si="1"/>
        <v>0</v>
      </c>
    </row>
    <row r="29" spans="2:6" ht="15.75">
      <c r="B29" s="51" t="s">
        <v>164</v>
      </c>
      <c r="C29" s="44" t="s">
        <v>165</v>
      </c>
      <c r="D29" s="22"/>
      <c r="E29" s="22"/>
      <c r="F29" s="23">
        <f t="shared" si="1"/>
        <v>0</v>
      </c>
    </row>
    <row r="30" spans="2:6" ht="15.75">
      <c r="B30" s="52" t="s">
        <v>166</v>
      </c>
      <c r="C30" s="44" t="s">
        <v>167</v>
      </c>
      <c r="D30" s="22"/>
      <c r="E30" s="22"/>
      <c r="F30" s="23">
        <f t="shared" si="1"/>
        <v>0</v>
      </c>
    </row>
    <row r="31" spans="2:6" ht="15.75">
      <c r="B31" s="52" t="s">
        <v>168</v>
      </c>
      <c r="C31" s="44" t="s">
        <v>167</v>
      </c>
      <c r="D31" s="22"/>
      <c r="E31" s="22"/>
      <c r="F31" s="23">
        <f t="shared" si="1"/>
        <v>0</v>
      </c>
    </row>
    <row r="32" spans="2:6" s="29" customFormat="1" ht="15.75">
      <c r="B32" s="50" t="s">
        <v>169</v>
      </c>
      <c r="C32" s="48" t="s">
        <v>170</v>
      </c>
      <c r="D32" s="23">
        <f>SUM(D18:D31)</f>
        <v>0</v>
      </c>
      <c r="E32" s="23">
        <f>SUM(E18:E31)</f>
        <v>0</v>
      </c>
      <c r="F32" s="23">
        <f>SUM(F18:F31)</f>
        <v>0</v>
      </c>
    </row>
    <row r="33" spans="2:6" ht="15.75">
      <c r="B33" s="53" t="s">
        <v>171</v>
      </c>
      <c r="C33" s="54" t="s">
        <v>172</v>
      </c>
      <c r="D33" s="55">
        <f>+D32+D17+D16+D10+D9</f>
        <v>218961</v>
      </c>
      <c r="E33" s="55">
        <f>+E32+E17+E16+E10+E9</f>
        <v>0</v>
      </c>
      <c r="F33" s="55">
        <f>+F32+F17+F16+F10+F9</f>
        <v>218961</v>
      </c>
    </row>
    <row r="34" spans="2:6" ht="15.75">
      <c r="B34" s="56" t="s">
        <v>173</v>
      </c>
      <c r="C34" s="44" t="s">
        <v>174</v>
      </c>
      <c r="D34" s="22"/>
      <c r="E34" s="22"/>
      <c r="F34" s="23">
        <f aca="true" t="shared" si="2" ref="F34:F40">+D34+E34</f>
        <v>0</v>
      </c>
    </row>
    <row r="35" spans="2:6" ht="15.75">
      <c r="B35" s="56" t="s">
        <v>175</v>
      </c>
      <c r="C35" s="44" t="s">
        <v>176</v>
      </c>
      <c r="D35" s="22"/>
      <c r="E35" s="22"/>
      <c r="F35" s="23">
        <f t="shared" si="2"/>
        <v>0</v>
      </c>
    </row>
    <row r="36" spans="2:6" ht="15.75">
      <c r="B36" s="56" t="s">
        <v>177</v>
      </c>
      <c r="C36" s="44" t="s">
        <v>178</v>
      </c>
      <c r="D36" s="22"/>
      <c r="E36" s="22"/>
      <c r="F36" s="23">
        <f t="shared" si="2"/>
        <v>0</v>
      </c>
    </row>
    <row r="37" spans="2:6" ht="15.75">
      <c r="B37" s="56" t="s">
        <v>179</v>
      </c>
      <c r="C37" s="44" t="s">
        <v>180</v>
      </c>
      <c r="D37" s="22"/>
      <c r="E37" s="22"/>
      <c r="F37" s="23">
        <f t="shared" si="2"/>
        <v>0</v>
      </c>
    </row>
    <row r="38" spans="2:6" ht="15.75">
      <c r="B38" s="57" t="s">
        <v>181</v>
      </c>
      <c r="C38" s="44" t="s">
        <v>182</v>
      </c>
      <c r="D38" s="22"/>
      <c r="E38" s="22"/>
      <c r="F38" s="23">
        <f t="shared" si="2"/>
        <v>0</v>
      </c>
    </row>
    <row r="39" spans="2:6" ht="15.75">
      <c r="B39" s="57" t="s">
        <v>183</v>
      </c>
      <c r="C39" s="44" t="s">
        <v>184</v>
      </c>
      <c r="D39" s="22"/>
      <c r="E39" s="22"/>
      <c r="F39" s="23">
        <f t="shared" si="2"/>
        <v>0</v>
      </c>
    </row>
    <row r="40" spans="2:6" ht="15.75">
      <c r="B40" s="57" t="s">
        <v>185</v>
      </c>
      <c r="C40" s="44" t="s">
        <v>186</v>
      </c>
      <c r="D40" s="22"/>
      <c r="E40" s="22"/>
      <c r="F40" s="23">
        <f t="shared" si="2"/>
        <v>0</v>
      </c>
    </row>
    <row r="41" spans="2:6" s="29" customFormat="1" ht="15.75">
      <c r="B41" s="58" t="s">
        <v>187</v>
      </c>
      <c r="C41" s="48" t="s">
        <v>188</v>
      </c>
      <c r="D41" s="23">
        <f>SUM(D34:D40)</f>
        <v>0</v>
      </c>
      <c r="E41" s="23">
        <f>SUM(E34:E40)</f>
        <v>0</v>
      </c>
      <c r="F41" s="23">
        <f>SUM(F34:F40)</f>
        <v>0</v>
      </c>
    </row>
    <row r="42" spans="2:6" ht="15.75">
      <c r="B42" s="59" t="s">
        <v>189</v>
      </c>
      <c r="C42" s="44" t="s">
        <v>190</v>
      </c>
      <c r="D42" s="22"/>
      <c r="E42" s="22"/>
      <c r="F42" s="23">
        <f>+D42+E42</f>
        <v>0</v>
      </c>
    </row>
    <row r="43" spans="2:6" ht="15.75">
      <c r="B43" s="59" t="s">
        <v>191</v>
      </c>
      <c r="C43" s="44" t="s">
        <v>192</v>
      </c>
      <c r="D43" s="22"/>
      <c r="E43" s="22"/>
      <c r="F43" s="23">
        <f>+D43+E43</f>
        <v>0</v>
      </c>
    </row>
    <row r="44" spans="2:6" ht="15.75">
      <c r="B44" s="59" t="s">
        <v>193</v>
      </c>
      <c r="C44" s="44" t="s">
        <v>194</v>
      </c>
      <c r="D44" s="22"/>
      <c r="E44" s="22"/>
      <c r="F44" s="23">
        <f>+D44+E44</f>
        <v>0</v>
      </c>
    </row>
    <row r="45" spans="2:6" ht="15.75">
      <c r="B45" s="59" t="s">
        <v>195</v>
      </c>
      <c r="C45" s="44" t="s">
        <v>196</v>
      </c>
      <c r="D45" s="22"/>
      <c r="E45" s="22"/>
      <c r="F45" s="23">
        <f>+D45+E45</f>
        <v>0</v>
      </c>
    </row>
    <row r="46" spans="2:6" s="29" customFormat="1" ht="15.75">
      <c r="B46" s="49" t="s">
        <v>197</v>
      </c>
      <c r="C46" s="48" t="s">
        <v>198</v>
      </c>
      <c r="D46" s="23">
        <f>SUM(D42:D45)</f>
        <v>0</v>
      </c>
      <c r="E46" s="23">
        <f>SUM(E42:E45)</f>
        <v>0</v>
      </c>
      <c r="F46" s="23">
        <f>SUM(F42:F45)</f>
        <v>0</v>
      </c>
    </row>
    <row r="47" spans="2:6" ht="31.5">
      <c r="B47" s="59" t="s">
        <v>199</v>
      </c>
      <c r="C47" s="44" t="s">
        <v>200</v>
      </c>
      <c r="D47" s="22"/>
      <c r="E47" s="22"/>
      <c r="F47" s="23">
        <f aca="true" t="shared" si="3" ref="F47:F55">+D47+E47</f>
        <v>0</v>
      </c>
    </row>
    <row r="48" spans="2:6" ht="15.75">
      <c r="B48" s="59" t="s">
        <v>201</v>
      </c>
      <c r="C48" s="44" t="s">
        <v>202</v>
      </c>
      <c r="D48" s="22"/>
      <c r="E48" s="22"/>
      <c r="F48" s="23">
        <f t="shared" si="3"/>
        <v>0</v>
      </c>
    </row>
    <row r="49" spans="2:6" ht="31.5">
      <c r="B49" s="59" t="s">
        <v>203</v>
      </c>
      <c r="C49" s="44" t="s">
        <v>204</v>
      </c>
      <c r="D49" s="22"/>
      <c r="E49" s="22"/>
      <c r="F49" s="23">
        <f t="shared" si="3"/>
        <v>0</v>
      </c>
    </row>
    <row r="50" spans="2:6" ht="15.75">
      <c r="B50" s="59" t="s">
        <v>205</v>
      </c>
      <c r="C50" s="44" t="s">
        <v>206</v>
      </c>
      <c r="D50" s="22"/>
      <c r="E50" s="22"/>
      <c r="F50" s="23">
        <f t="shared" si="3"/>
        <v>0</v>
      </c>
    </row>
    <row r="51" spans="2:6" ht="31.5">
      <c r="B51" s="59" t="s">
        <v>207</v>
      </c>
      <c r="C51" s="44" t="s">
        <v>208</v>
      </c>
      <c r="D51" s="22"/>
      <c r="E51" s="22"/>
      <c r="F51" s="23">
        <f t="shared" si="3"/>
        <v>0</v>
      </c>
    </row>
    <row r="52" spans="2:6" ht="15.75">
      <c r="B52" s="59" t="s">
        <v>209</v>
      </c>
      <c r="C52" s="44" t="s">
        <v>210</v>
      </c>
      <c r="D52" s="22"/>
      <c r="E52" s="22"/>
      <c r="F52" s="23">
        <f t="shared" si="3"/>
        <v>0</v>
      </c>
    </row>
    <row r="53" spans="2:6" ht="15.75">
      <c r="B53" s="59" t="s">
        <v>211</v>
      </c>
      <c r="C53" s="44" t="s">
        <v>212</v>
      </c>
      <c r="D53" s="22"/>
      <c r="E53" s="22"/>
      <c r="F53" s="23">
        <f t="shared" si="3"/>
        <v>0</v>
      </c>
    </row>
    <row r="54" spans="2:6" ht="15.75">
      <c r="B54" s="52" t="s">
        <v>666</v>
      </c>
      <c r="C54" s="44" t="s">
        <v>214</v>
      </c>
      <c r="D54" s="22"/>
      <c r="E54" s="22"/>
      <c r="F54" s="23">
        <f t="shared" si="3"/>
        <v>0</v>
      </c>
    </row>
    <row r="55" spans="2:6" ht="15.75">
      <c r="B55" s="59" t="s">
        <v>215</v>
      </c>
      <c r="C55" s="44" t="s">
        <v>216</v>
      </c>
      <c r="D55" s="22"/>
      <c r="E55" s="22"/>
      <c r="F55" s="23">
        <f t="shared" si="3"/>
        <v>0</v>
      </c>
    </row>
    <row r="56" spans="2:6" s="29" customFormat="1" ht="15.75">
      <c r="B56" s="50" t="s">
        <v>217</v>
      </c>
      <c r="C56" s="48" t="s">
        <v>218</v>
      </c>
      <c r="D56" s="23">
        <f>SUM(D47:D55)</f>
        <v>0</v>
      </c>
      <c r="E56" s="23">
        <f>SUM(E47:E55)</f>
        <v>0</v>
      </c>
      <c r="F56" s="23">
        <f>SUM(F47:F55)</f>
        <v>0</v>
      </c>
    </row>
    <row r="57" spans="2:6" ht="15.75">
      <c r="B57" s="53" t="s">
        <v>219</v>
      </c>
      <c r="C57" s="54" t="s">
        <v>220</v>
      </c>
      <c r="D57" s="55">
        <f>+D56+D46+D41</f>
        <v>0</v>
      </c>
      <c r="E57" s="55">
        <f>+E56+E46+E41</f>
        <v>0</v>
      </c>
      <c r="F57" s="55">
        <f>+F56+F46+F41</f>
        <v>0</v>
      </c>
    </row>
    <row r="58" spans="2:6" ht="15.75">
      <c r="B58" s="60" t="s">
        <v>221</v>
      </c>
      <c r="C58" s="61" t="s">
        <v>222</v>
      </c>
      <c r="D58" s="62">
        <f>+D56+D46+D41+D32+D17+D16+D10+D9</f>
        <v>218961</v>
      </c>
      <c r="E58" s="62">
        <f>+E56+E46+E41+E32+E17+E16+E10+E9</f>
        <v>0</v>
      </c>
      <c r="F58" s="62">
        <f>+F56+F46+F41+F32+F17+F16+F10+F9</f>
        <v>218961</v>
      </c>
    </row>
    <row r="59" spans="2:22" ht="15.75">
      <c r="B59" s="67" t="s">
        <v>654</v>
      </c>
      <c r="C59" s="46" t="s">
        <v>248</v>
      </c>
      <c r="D59" s="244"/>
      <c r="E59" s="244"/>
      <c r="F59" s="22">
        <f>+D59+E59</f>
        <v>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/>
      <c r="V59" s="64"/>
    </row>
    <row r="60" spans="2:22" ht="15.75">
      <c r="B60" s="67" t="s">
        <v>249</v>
      </c>
      <c r="C60" s="46" t="s">
        <v>250</v>
      </c>
      <c r="D60" s="244"/>
      <c r="E60" s="244"/>
      <c r="F60" s="22">
        <f>+D60+E60</f>
        <v>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/>
      <c r="V60" s="64"/>
    </row>
    <row r="61" spans="2:22" ht="15.75">
      <c r="B61" s="59" t="s">
        <v>251</v>
      </c>
      <c r="C61" s="46" t="s">
        <v>252</v>
      </c>
      <c r="D61" s="244"/>
      <c r="E61" s="244"/>
      <c r="F61" s="22">
        <f>+D61+E61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4"/>
    </row>
    <row r="62" spans="2:22" ht="15.75">
      <c r="B62" s="59" t="s">
        <v>253</v>
      </c>
      <c r="C62" s="46" t="s">
        <v>254</v>
      </c>
      <c r="D62" s="244"/>
      <c r="E62" s="244"/>
      <c r="F62" s="22">
        <f>+D62+E62</f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4"/>
    </row>
    <row r="63" spans="2:22" ht="15.75">
      <c r="B63" s="72" t="s">
        <v>255</v>
      </c>
      <c r="C63" s="73" t="s">
        <v>256</v>
      </c>
      <c r="D63" s="74">
        <f>+D61+D60+D59+D62</f>
        <v>0</v>
      </c>
      <c r="E63" s="74">
        <f>+E61+E60+E59+E62</f>
        <v>0</v>
      </c>
      <c r="F63" s="74">
        <f>+F61+F60+F59+F62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4"/>
      <c r="V63" s="64"/>
    </row>
    <row r="64" spans="2:22" ht="15.75">
      <c r="B64" s="26" t="s">
        <v>257</v>
      </c>
      <c r="C64" s="26" t="s">
        <v>258</v>
      </c>
      <c r="D64" s="27">
        <f>+D58+D63</f>
        <v>218961</v>
      </c>
      <c r="E64" s="27">
        <f>+E58+E63</f>
        <v>0</v>
      </c>
      <c r="F64" s="27">
        <f>+F58+F63</f>
        <v>218961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5.75">
      <c r="B65" s="12"/>
      <c r="C65" s="75"/>
      <c r="D65" s="76"/>
      <c r="E65" s="76"/>
      <c r="F65" s="7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5.75" customHeight="1" hidden="1">
      <c r="B66" s="12"/>
      <c r="C66" s="75"/>
      <c r="D66" s="404" t="s">
        <v>259</v>
      </c>
      <c r="E66" s="404"/>
      <c r="F66" s="40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47.25">
      <c r="B67" s="17" t="s">
        <v>92</v>
      </c>
      <c r="C67" s="40" t="s">
        <v>260</v>
      </c>
      <c r="D67" s="41" t="s">
        <v>93</v>
      </c>
      <c r="E67" s="41" t="s">
        <v>94</v>
      </c>
      <c r="F67" s="169" t="s">
        <v>601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5.75">
      <c r="B68" s="49" t="s">
        <v>655</v>
      </c>
      <c r="C68" s="58" t="s">
        <v>274</v>
      </c>
      <c r="D68" s="23"/>
      <c r="E68" s="23"/>
      <c r="F68" s="23">
        <f aca="true" t="shared" si="4" ref="F68:F73">+E68+D68</f>
        <v>0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5.75">
      <c r="B69" s="46" t="s">
        <v>275</v>
      </c>
      <c r="C69" s="57" t="s">
        <v>276</v>
      </c>
      <c r="D69" s="23"/>
      <c r="E69" s="23"/>
      <c r="F69" s="23">
        <f t="shared" si="4"/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31.5">
      <c r="B70" s="46" t="s">
        <v>277</v>
      </c>
      <c r="C70" s="57" t="s">
        <v>278</v>
      </c>
      <c r="D70" s="23"/>
      <c r="E70" s="23"/>
      <c r="F70" s="23">
        <f t="shared" si="4"/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31.5">
      <c r="B71" s="46" t="s">
        <v>279</v>
      </c>
      <c r="C71" s="57" t="s">
        <v>280</v>
      </c>
      <c r="D71" s="23"/>
      <c r="E71" s="23"/>
      <c r="F71" s="23">
        <f t="shared" si="4"/>
        <v>0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31.5">
      <c r="B72" s="46" t="s">
        <v>281</v>
      </c>
      <c r="C72" s="57" t="s">
        <v>282</v>
      </c>
      <c r="D72" s="23"/>
      <c r="E72" s="23"/>
      <c r="F72" s="23">
        <f t="shared" si="4"/>
        <v>0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5.75">
      <c r="B73" s="46" t="s">
        <v>283</v>
      </c>
      <c r="C73" s="57" t="s">
        <v>284</v>
      </c>
      <c r="D73" s="22">
        <f>3888+3592</f>
        <v>7480</v>
      </c>
      <c r="E73" s="22"/>
      <c r="F73" s="23">
        <f t="shared" si="4"/>
        <v>7480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5.75">
      <c r="B74" s="49" t="s">
        <v>285</v>
      </c>
      <c r="C74" s="58" t="s">
        <v>286</v>
      </c>
      <c r="D74" s="23">
        <f>+D73+D72+D71+D70+D69+D68</f>
        <v>7480</v>
      </c>
      <c r="E74" s="23">
        <f>+E73+E72+E71+E70+E69+E68</f>
        <v>0</v>
      </c>
      <c r="F74" s="23">
        <f>+F73+F72+F71+F70+F69+F68</f>
        <v>7480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5.75">
      <c r="B75" s="49" t="s">
        <v>287</v>
      </c>
      <c r="C75" s="58" t="s">
        <v>288</v>
      </c>
      <c r="D75" s="22"/>
      <c r="E75" s="22"/>
      <c r="F75" s="23">
        <f aca="true" t="shared" si="5" ref="F75:F81">+E75+D75</f>
        <v>0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5.75" hidden="1">
      <c r="B76" s="46" t="s">
        <v>289</v>
      </c>
      <c r="C76" s="57" t="s">
        <v>290</v>
      </c>
      <c r="D76" s="22"/>
      <c r="E76" s="22"/>
      <c r="F76" s="23">
        <f t="shared" si="5"/>
        <v>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5.75" hidden="1">
      <c r="B77" s="46" t="s">
        <v>291</v>
      </c>
      <c r="C77" s="57" t="s">
        <v>292</v>
      </c>
      <c r="D77" s="22"/>
      <c r="E77" s="22"/>
      <c r="F77" s="23">
        <f t="shared" si="5"/>
        <v>0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5.75" hidden="1">
      <c r="B78" s="46" t="s">
        <v>293</v>
      </c>
      <c r="C78" s="57" t="s">
        <v>294</v>
      </c>
      <c r="D78" s="22"/>
      <c r="E78" s="22"/>
      <c r="F78" s="23">
        <f t="shared" si="5"/>
        <v>0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5.75" hidden="1">
      <c r="B79" s="46" t="s">
        <v>295</v>
      </c>
      <c r="C79" s="57" t="s">
        <v>296</v>
      </c>
      <c r="D79" s="22"/>
      <c r="E79" s="22"/>
      <c r="F79" s="23">
        <f t="shared" si="5"/>
        <v>0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5.75" hidden="1">
      <c r="B80" s="46" t="s">
        <v>297</v>
      </c>
      <c r="C80" s="57" t="s">
        <v>298</v>
      </c>
      <c r="D80" s="22"/>
      <c r="E80" s="22"/>
      <c r="F80" s="23">
        <f t="shared" si="5"/>
        <v>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5.75" hidden="1">
      <c r="B81" s="46" t="s">
        <v>299</v>
      </c>
      <c r="C81" s="57" t="s">
        <v>300</v>
      </c>
      <c r="D81" s="22"/>
      <c r="E81" s="22"/>
      <c r="F81" s="23">
        <f t="shared" si="5"/>
        <v>0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5.75">
      <c r="B82" s="49" t="s">
        <v>301</v>
      </c>
      <c r="C82" s="58" t="s">
        <v>302</v>
      </c>
      <c r="D82" s="23">
        <f>SUM(D76:D81)</f>
        <v>0</v>
      </c>
      <c r="E82" s="23">
        <f>SUM(E76:E81)</f>
        <v>0</v>
      </c>
      <c r="F82" s="23">
        <f>SUM(F76:F81)</f>
        <v>0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5.75">
      <c r="B83" s="59" t="s">
        <v>656</v>
      </c>
      <c r="C83" s="57" t="s">
        <v>304</v>
      </c>
      <c r="D83" s="22"/>
      <c r="E83" s="22"/>
      <c r="F83" s="23">
        <f aca="true" t="shared" si="6" ref="F83:F93">+E83+D83</f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5.75">
      <c r="B84" s="59" t="s">
        <v>305</v>
      </c>
      <c r="C84" s="57" t="s">
        <v>306</v>
      </c>
      <c r="D84" s="22">
        <v>7157</v>
      </c>
      <c r="E84" s="22"/>
      <c r="F84" s="23">
        <f t="shared" si="6"/>
        <v>7157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5.75">
      <c r="B85" s="59" t="s">
        <v>307</v>
      </c>
      <c r="C85" s="57" t="s">
        <v>308</v>
      </c>
      <c r="D85" s="22"/>
      <c r="E85" s="22"/>
      <c r="F85" s="23">
        <f t="shared" si="6"/>
        <v>0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5.75">
      <c r="B86" s="59" t="s">
        <v>309</v>
      </c>
      <c r="C86" s="57" t="s">
        <v>310</v>
      </c>
      <c r="D86" s="22"/>
      <c r="E86" s="22"/>
      <c r="F86" s="23">
        <f t="shared" si="6"/>
        <v>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5.75">
      <c r="B87" s="59" t="s">
        <v>311</v>
      </c>
      <c r="C87" s="57" t="s">
        <v>312</v>
      </c>
      <c r="D87" s="22"/>
      <c r="E87" s="22"/>
      <c r="F87" s="23">
        <f t="shared" si="6"/>
        <v>0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5.75">
      <c r="B88" s="59" t="s">
        <v>313</v>
      </c>
      <c r="C88" s="57" t="s">
        <v>314</v>
      </c>
      <c r="D88" s="22">
        <v>1878</v>
      </c>
      <c r="E88" s="22"/>
      <c r="F88" s="23">
        <f t="shared" si="6"/>
        <v>1878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5.75">
      <c r="B89" s="59" t="s">
        <v>315</v>
      </c>
      <c r="C89" s="57" t="s">
        <v>316</v>
      </c>
      <c r="D89" s="22"/>
      <c r="E89" s="22"/>
      <c r="F89" s="23">
        <f t="shared" si="6"/>
        <v>0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5.75">
      <c r="B90" s="59" t="s">
        <v>317</v>
      </c>
      <c r="C90" s="57" t="s">
        <v>318</v>
      </c>
      <c r="D90" s="22"/>
      <c r="E90" s="22"/>
      <c r="F90" s="23">
        <f t="shared" si="6"/>
        <v>0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2:22" ht="15.75">
      <c r="B91" s="59" t="s">
        <v>319</v>
      </c>
      <c r="C91" s="57" t="s">
        <v>320</v>
      </c>
      <c r="D91" s="22"/>
      <c r="E91" s="22"/>
      <c r="F91" s="23">
        <f t="shared" si="6"/>
        <v>0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2:22" ht="15.75">
      <c r="B92" s="59" t="s">
        <v>321</v>
      </c>
      <c r="C92" s="57" t="s">
        <v>322</v>
      </c>
      <c r="D92" s="22"/>
      <c r="E92" s="22"/>
      <c r="F92" s="23">
        <f t="shared" si="6"/>
        <v>0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2:22" ht="15.75">
      <c r="B93" s="59" t="s">
        <v>323</v>
      </c>
      <c r="C93" s="57" t="s">
        <v>324</v>
      </c>
      <c r="D93" s="22"/>
      <c r="E93" s="22"/>
      <c r="F93" s="23">
        <f t="shared" si="6"/>
        <v>0</v>
      </c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2:22" ht="15.75">
      <c r="B94" s="50" t="s">
        <v>325</v>
      </c>
      <c r="C94" s="58" t="s">
        <v>326</v>
      </c>
      <c r="D94" s="23">
        <f>SUM(D83:D93)</f>
        <v>9035</v>
      </c>
      <c r="E94" s="23">
        <f>SUM(E83:E93)</f>
        <v>0</v>
      </c>
      <c r="F94" s="23">
        <f>SUM(F83:F93)</f>
        <v>9035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ht="15.75">
      <c r="B95" s="59" t="s">
        <v>327</v>
      </c>
      <c r="C95" s="57" t="s">
        <v>328</v>
      </c>
      <c r="D95" s="22"/>
      <c r="E95" s="22"/>
      <c r="F95" s="23">
        <f>+E95+D95</f>
        <v>0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ht="15.75">
      <c r="B96" s="59" t="s">
        <v>329</v>
      </c>
      <c r="C96" s="57" t="s">
        <v>330</v>
      </c>
      <c r="D96" s="22"/>
      <c r="E96" s="22"/>
      <c r="F96" s="23">
        <f>+E96+D96</f>
        <v>0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ht="15.75">
      <c r="B97" s="59" t="s">
        <v>331</v>
      </c>
      <c r="C97" s="57" t="s">
        <v>332</v>
      </c>
      <c r="D97" s="22"/>
      <c r="E97" s="22"/>
      <c r="F97" s="23">
        <f>+E97+D97</f>
        <v>0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ht="15.75">
      <c r="B98" s="59" t="s">
        <v>333</v>
      </c>
      <c r="C98" s="57" t="s">
        <v>334</v>
      </c>
      <c r="D98" s="22"/>
      <c r="E98" s="22"/>
      <c r="F98" s="23">
        <f>+E98+D98</f>
        <v>0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ht="15.75">
      <c r="B99" s="59" t="s">
        <v>335</v>
      </c>
      <c r="C99" s="57" t="s">
        <v>336</v>
      </c>
      <c r="D99" s="22"/>
      <c r="E99" s="22"/>
      <c r="F99" s="23">
        <f>+E99+D99</f>
        <v>0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ht="15.75">
      <c r="B100" s="49" t="s">
        <v>337</v>
      </c>
      <c r="C100" s="58" t="s">
        <v>338</v>
      </c>
      <c r="D100" s="23">
        <f>SUM(D95:D99)</f>
        <v>0</v>
      </c>
      <c r="E100" s="23">
        <f>SUM(E95:E99)</f>
        <v>0</v>
      </c>
      <c r="F100" s="23">
        <f>SUM(F95:F99)</f>
        <v>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ht="15.75">
      <c r="B101" s="49" t="s">
        <v>339</v>
      </c>
      <c r="C101" s="58" t="s">
        <v>340</v>
      </c>
      <c r="D101" s="22"/>
      <c r="E101" s="22"/>
      <c r="F101" s="23">
        <f aca="true" t="shared" si="7" ref="F101:F106">+E101+D101</f>
        <v>0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ht="31.5">
      <c r="B102" s="59" t="s">
        <v>341</v>
      </c>
      <c r="C102" s="57" t="s">
        <v>342</v>
      </c>
      <c r="D102" s="22"/>
      <c r="E102" s="22"/>
      <c r="F102" s="23">
        <f t="shared" si="7"/>
        <v>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ht="15.75">
      <c r="B103" s="46" t="s">
        <v>343</v>
      </c>
      <c r="C103" s="57" t="s">
        <v>344</v>
      </c>
      <c r="D103" s="22"/>
      <c r="E103" s="22"/>
      <c r="F103" s="23">
        <f t="shared" si="7"/>
        <v>0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ht="31.5">
      <c r="B104" s="59" t="s">
        <v>345</v>
      </c>
      <c r="C104" s="57" t="s">
        <v>346</v>
      </c>
      <c r="D104" s="22"/>
      <c r="E104" s="22"/>
      <c r="F104" s="23">
        <f t="shared" si="7"/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ht="31.5">
      <c r="B105" s="59" t="s">
        <v>347</v>
      </c>
      <c r="C105" s="57" t="s">
        <v>348</v>
      </c>
      <c r="D105" s="22"/>
      <c r="E105" s="22"/>
      <c r="F105" s="23">
        <f t="shared" si="7"/>
        <v>0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ht="15.75">
      <c r="B106" s="59" t="s">
        <v>349</v>
      </c>
      <c r="C106" s="57" t="s">
        <v>350</v>
      </c>
      <c r="D106" s="22"/>
      <c r="E106" s="22"/>
      <c r="F106" s="23">
        <f t="shared" si="7"/>
        <v>0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ht="15.75">
      <c r="B107" s="49" t="s">
        <v>351</v>
      </c>
      <c r="C107" s="58" t="s">
        <v>352</v>
      </c>
      <c r="D107" s="23">
        <f>SUM(D102:D106)</f>
        <v>0</v>
      </c>
      <c r="E107" s="23">
        <f>SUM(E102:E106)</f>
        <v>0</v>
      </c>
      <c r="F107" s="23">
        <f>SUM(F102:F106)</f>
        <v>0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ht="15.75">
      <c r="B108" s="80" t="s">
        <v>353</v>
      </c>
      <c r="C108" s="60" t="s">
        <v>354</v>
      </c>
      <c r="D108" s="62">
        <f>+D107+D101+D100+D94+D82+D75+D74</f>
        <v>16515</v>
      </c>
      <c r="E108" s="62">
        <f>+E107+E101+E100+E94+E82+E75+E74</f>
        <v>0</v>
      </c>
      <c r="F108" s="62">
        <f>+F107+F101+F100+F94+F82+F75+F74</f>
        <v>16515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ht="15.75">
      <c r="B109" s="81" t="s">
        <v>355</v>
      </c>
      <c r="C109" s="82"/>
      <c r="D109" s="83">
        <f>+D101+D94+D82+D74-D33</f>
        <v>-202446</v>
      </c>
      <c r="E109" s="83">
        <f>+E101+E94+E82+E74-E33</f>
        <v>0</v>
      </c>
      <c r="F109" s="83">
        <f aca="true" t="shared" si="8" ref="F109:F116">+E109+D109</f>
        <v>-202446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ht="15.75">
      <c r="B110" s="81" t="s">
        <v>356</v>
      </c>
      <c r="C110" s="82"/>
      <c r="D110" s="83">
        <f>+D107+D100+D75-D57</f>
        <v>0</v>
      </c>
      <c r="E110" s="83">
        <f>+E107+E100+E75-E57</f>
        <v>0</v>
      </c>
      <c r="F110" s="83">
        <f t="shared" si="8"/>
        <v>0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6" ht="15.75">
      <c r="B111" s="50" t="s">
        <v>657</v>
      </c>
      <c r="C111" s="49" t="s">
        <v>364</v>
      </c>
      <c r="D111" s="22"/>
      <c r="E111" s="22"/>
      <c r="F111" s="23">
        <f t="shared" si="8"/>
        <v>0</v>
      </c>
    </row>
    <row r="112" spans="2:6" ht="15.75">
      <c r="B112" s="71" t="s">
        <v>658</v>
      </c>
      <c r="C112" s="49" t="s">
        <v>374</v>
      </c>
      <c r="D112" s="22"/>
      <c r="E112" s="22"/>
      <c r="F112" s="23">
        <f t="shared" si="8"/>
        <v>0</v>
      </c>
    </row>
    <row r="113" spans="2:6" ht="15.75">
      <c r="B113" s="46" t="s">
        <v>375</v>
      </c>
      <c r="C113" s="46" t="s">
        <v>376</v>
      </c>
      <c r="D113" s="22"/>
      <c r="E113" s="22"/>
      <c r="F113" s="23">
        <f t="shared" si="8"/>
        <v>0</v>
      </c>
    </row>
    <row r="114" spans="2:6" ht="15.75">
      <c r="B114" s="46" t="s">
        <v>377</v>
      </c>
      <c r="C114" s="46" t="s">
        <v>376</v>
      </c>
      <c r="D114" s="22"/>
      <c r="E114" s="22"/>
      <c r="F114" s="23">
        <f t="shared" si="8"/>
        <v>0</v>
      </c>
    </row>
    <row r="115" spans="2:6" ht="15.75">
      <c r="B115" s="46" t="s">
        <v>378</v>
      </c>
      <c r="C115" s="46" t="s">
        <v>379</v>
      </c>
      <c r="D115" s="22"/>
      <c r="E115" s="22"/>
      <c r="F115" s="23">
        <f t="shared" si="8"/>
        <v>0</v>
      </c>
    </row>
    <row r="116" spans="2:6" ht="15.75">
      <c r="B116" s="46" t="s">
        <v>380</v>
      </c>
      <c r="C116" s="46" t="s">
        <v>379</v>
      </c>
      <c r="D116" s="22"/>
      <c r="E116" s="22"/>
      <c r="F116" s="23">
        <f t="shared" si="8"/>
        <v>0</v>
      </c>
    </row>
    <row r="117" spans="1:6" ht="15.75">
      <c r="A117" s="88" t="s">
        <v>667</v>
      </c>
      <c r="B117" s="49" t="s">
        <v>381</v>
      </c>
      <c r="C117" s="49" t="s">
        <v>382</v>
      </c>
      <c r="D117" s="23">
        <f>SUM(D113:D116)</f>
        <v>0</v>
      </c>
      <c r="E117" s="23">
        <f>SUM(E113:E116)</f>
        <v>0</v>
      </c>
      <c r="F117" s="23">
        <f>SUM(F113:F116)</f>
        <v>0</v>
      </c>
    </row>
    <row r="118" spans="1:6" ht="15.75">
      <c r="A118" s="88" t="s">
        <v>668</v>
      </c>
      <c r="B118" s="67" t="s">
        <v>383</v>
      </c>
      <c r="C118" s="46" t="s">
        <v>384</v>
      </c>
      <c r="D118" s="22"/>
      <c r="E118" s="22"/>
      <c r="F118" s="23">
        <f aca="true" t="shared" si="9" ref="F118:F125">+E118+D118</f>
        <v>0</v>
      </c>
    </row>
    <row r="119" spans="2:6" ht="15.75">
      <c r="B119" s="67" t="s">
        <v>385</v>
      </c>
      <c r="C119" s="46" t="s">
        <v>386</v>
      </c>
      <c r="D119" s="22"/>
      <c r="E119" s="22"/>
      <c r="F119" s="23">
        <f t="shared" si="9"/>
        <v>0</v>
      </c>
    </row>
    <row r="120" spans="1:7" ht="15.75">
      <c r="A120" s="28" t="s">
        <v>669</v>
      </c>
      <c r="B120" s="67" t="s">
        <v>387</v>
      </c>
      <c r="C120" s="46" t="s">
        <v>388</v>
      </c>
      <c r="D120" s="22">
        <v>202446</v>
      </c>
      <c r="E120" s="22"/>
      <c r="F120" s="23">
        <f t="shared" si="9"/>
        <v>202446</v>
      </c>
      <c r="G120" s="85"/>
    </row>
    <row r="121" spans="2:6" s="245" customFormat="1" ht="15.75">
      <c r="B121" s="246" t="s">
        <v>670</v>
      </c>
      <c r="C121" s="147"/>
      <c r="D121" s="103">
        <f>137308</f>
        <v>137308</v>
      </c>
      <c r="E121" s="103"/>
      <c r="F121" s="133">
        <f t="shared" si="9"/>
        <v>137308</v>
      </c>
    </row>
    <row r="122" spans="2:6" s="245" customFormat="1" ht="15.75">
      <c r="B122" s="247" t="s">
        <v>662</v>
      </c>
      <c r="C122" s="147"/>
      <c r="D122" s="103">
        <f>+D120-D121</f>
        <v>65138</v>
      </c>
      <c r="E122" s="103">
        <f>+E120-E121</f>
        <v>0</v>
      </c>
      <c r="F122" s="133">
        <f t="shared" si="9"/>
        <v>65138</v>
      </c>
    </row>
    <row r="123" spans="2:6" ht="15.75">
      <c r="B123" s="67" t="s">
        <v>389</v>
      </c>
      <c r="C123" s="46" t="s">
        <v>390</v>
      </c>
      <c r="D123" s="22"/>
      <c r="E123" s="22"/>
      <c r="F123" s="23">
        <f t="shared" si="9"/>
        <v>0</v>
      </c>
    </row>
    <row r="124" spans="2:6" ht="15.75">
      <c r="B124" s="59" t="s">
        <v>391</v>
      </c>
      <c r="C124" s="46" t="s">
        <v>392</v>
      </c>
      <c r="D124" s="22"/>
      <c r="E124" s="22"/>
      <c r="F124" s="23">
        <f t="shared" si="9"/>
        <v>0</v>
      </c>
    </row>
    <row r="125" spans="2:6" ht="15.75">
      <c r="B125" s="59" t="s">
        <v>393</v>
      </c>
      <c r="C125" s="46" t="s">
        <v>394</v>
      </c>
      <c r="D125" s="22"/>
      <c r="E125" s="22"/>
      <c r="F125" s="23">
        <f t="shared" si="9"/>
        <v>0</v>
      </c>
    </row>
    <row r="126" spans="2:6" ht="15.75">
      <c r="B126" s="50" t="s">
        <v>395</v>
      </c>
      <c r="C126" s="49" t="s">
        <v>396</v>
      </c>
      <c r="D126" s="23">
        <f>SUM(D118:D125)+D117+D112+D111-D121-D122</f>
        <v>202446</v>
      </c>
      <c r="E126" s="23">
        <f>SUM(E118:E125)+E117+E112+E111-E121-E122</f>
        <v>0</v>
      </c>
      <c r="F126" s="23">
        <f>SUM(F118:F124)+F117+F112+F111-F121-F122</f>
        <v>202446</v>
      </c>
    </row>
    <row r="127" spans="2:6" ht="15.75" hidden="1">
      <c r="B127" s="67" t="s">
        <v>397</v>
      </c>
      <c r="C127" s="46" t="s">
        <v>398</v>
      </c>
      <c r="D127" s="22"/>
      <c r="E127" s="22"/>
      <c r="F127" s="23">
        <f>+E127+D127</f>
        <v>0</v>
      </c>
    </row>
    <row r="128" spans="2:6" ht="15.75" hidden="1">
      <c r="B128" s="59" t="s">
        <v>399</v>
      </c>
      <c r="C128" s="46" t="s">
        <v>400</v>
      </c>
      <c r="D128" s="22"/>
      <c r="E128" s="22"/>
      <c r="F128" s="23">
        <f>+E128+D128</f>
        <v>0</v>
      </c>
    </row>
    <row r="129" spans="2:6" ht="15.75" hidden="1">
      <c r="B129" s="59" t="s">
        <v>401</v>
      </c>
      <c r="C129" s="46" t="s">
        <v>402</v>
      </c>
      <c r="D129" s="22"/>
      <c r="E129" s="22"/>
      <c r="F129" s="23">
        <f>+E129+D129</f>
        <v>0</v>
      </c>
    </row>
    <row r="130" spans="2:6" ht="15.75">
      <c r="B130" s="72" t="s">
        <v>403</v>
      </c>
      <c r="C130" s="73" t="s">
        <v>404</v>
      </c>
      <c r="D130" s="62">
        <f>+D128+D127+D126+D129</f>
        <v>202446</v>
      </c>
      <c r="E130" s="62">
        <f>+E128+E127+E126+E129</f>
        <v>0</v>
      </c>
      <c r="F130" s="62">
        <f>+F128+F127+F126</f>
        <v>202446</v>
      </c>
    </row>
    <row r="131" spans="2:6" ht="15.75">
      <c r="B131" s="26" t="s">
        <v>405</v>
      </c>
      <c r="C131" s="26" t="s">
        <v>406</v>
      </c>
      <c r="D131" s="27">
        <f>+D108+D130</f>
        <v>218961</v>
      </c>
      <c r="E131" s="27">
        <f>+E108+E130</f>
        <v>0</v>
      </c>
      <c r="F131" s="27">
        <f>+F108+F130</f>
        <v>218961</v>
      </c>
    </row>
    <row r="132" spans="2:6" ht="15.75">
      <c r="B132" s="12"/>
      <c r="C132" s="12"/>
      <c r="D132" s="13"/>
      <c r="E132" s="13"/>
      <c r="F132" s="84"/>
    </row>
    <row r="133" spans="2:6" ht="15.75">
      <c r="B133" s="24" t="s">
        <v>407</v>
      </c>
      <c r="C133" s="24"/>
      <c r="D133" s="23">
        <f>+D108-D58</f>
        <v>-202446</v>
      </c>
      <c r="E133" s="23">
        <f>+E108-E58</f>
        <v>0</v>
      </c>
      <c r="F133" s="23">
        <f>+F108-F58</f>
        <v>-202446</v>
      </c>
    </row>
    <row r="134" spans="2:6" ht="15.75">
      <c r="B134" s="24" t="s">
        <v>408</v>
      </c>
      <c r="C134" s="24"/>
      <c r="D134" s="23">
        <f>+D130-D63</f>
        <v>202446</v>
      </c>
      <c r="E134" s="23">
        <f>+E130-E63</f>
        <v>0</v>
      </c>
      <c r="F134" s="23">
        <f>+F130-F63</f>
        <v>202446</v>
      </c>
    </row>
    <row r="135" spans="2:6" ht="15.75">
      <c r="B135" s="12"/>
      <c r="C135" s="12"/>
      <c r="D135" s="13"/>
      <c r="E135" s="13"/>
      <c r="F135" s="84"/>
    </row>
    <row r="136" spans="2:6" ht="15.75">
      <c r="B136" s="87" t="s">
        <v>411</v>
      </c>
      <c r="C136" s="12"/>
      <c r="D136" s="13">
        <f>+D131-D64</f>
        <v>0</v>
      </c>
      <c r="E136" s="13">
        <f>+E131-E64</f>
        <v>0</v>
      </c>
      <c r="F136" s="13">
        <f>+F131-F64</f>
        <v>0</v>
      </c>
    </row>
    <row r="137" spans="2:6" ht="15.75">
      <c r="B137" s="12"/>
      <c r="C137" s="12"/>
      <c r="D137" s="13"/>
      <c r="E137" s="13"/>
      <c r="F137" s="84"/>
    </row>
    <row r="138" spans="2:6" ht="15.75">
      <c r="B138" s="12"/>
      <c r="C138" s="12"/>
      <c r="D138" s="13"/>
      <c r="E138" s="13"/>
      <c r="F138" s="84"/>
    </row>
    <row r="139" spans="2:6" ht="15.75">
      <c r="B139" s="12"/>
      <c r="C139" s="12"/>
      <c r="D139" s="13"/>
      <c r="E139" s="13"/>
      <c r="F139" s="84"/>
    </row>
    <row r="140" spans="2:6" ht="15.75">
      <c r="B140" s="12"/>
      <c r="C140" s="12"/>
      <c r="D140" s="13"/>
      <c r="E140" s="13"/>
      <c r="F140" s="84"/>
    </row>
    <row r="141" spans="2:6" ht="15.75">
      <c r="B141" s="12"/>
      <c r="C141" s="12"/>
      <c r="D141" s="13"/>
      <c r="E141" s="13"/>
      <c r="F141" s="84"/>
    </row>
    <row r="142" spans="2:6" ht="15.75">
      <c r="B142" s="12"/>
      <c r="C142" s="12"/>
      <c r="D142" s="13"/>
      <c r="E142" s="13"/>
      <c r="F142" s="84"/>
    </row>
    <row r="143" spans="2:6" ht="15.75">
      <c r="B143" s="12"/>
      <c r="C143" s="12"/>
      <c r="D143" s="13"/>
      <c r="E143" s="13"/>
      <c r="F143" s="84"/>
    </row>
    <row r="144" spans="2:6" ht="15.75">
      <c r="B144" s="12"/>
      <c r="C144" s="12"/>
      <c r="D144" s="13"/>
      <c r="E144" s="13"/>
      <c r="F144" s="84"/>
    </row>
    <row r="145" spans="2:6" ht="15.75">
      <c r="B145" s="12"/>
      <c r="C145" s="12"/>
      <c r="D145" s="13"/>
      <c r="E145" s="13"/>
      <c r="F145" s="84"/>
    </row>
    <row r="146" spans="2:6" ht="15.75">
      <c r="B146" s="12"/>
      <c r="C146" s="12"/>
      <c r="D146" s="13"/>
      <c r="E146" s="13"/>
      <c r="F146" s="84"/>
    </row>
    <row r="147" spans="2:6" ht="15.75">
      <c r="B147" s="12"/>
      <c r="C147" s="12"/>
      <c r="D147" s="13"/>
      <c r="E147" s="13"/>
      <c r="F147" s="84"/>
    </row>
    <row r="148" spans="2:6" ht="15.75">
      <c r="B148" s="12"/>
      <c r="C148" s="12"/>
      <c r="D148" s="13"/>
      <c r="E148" s="13"/>
      <c r="F148" s="84"/>
    </row>
    <row r="149" spans="2:6" ht="15.75">
      <c r="B149" s="12"/>
      <c r="C149" s="12"/>
      <c r="D149" s="13"/>
      <c r="E149" s="13"/>
      <c r="F149" s="84"/>
    </row>
    <row r="150" spans="2:6" ht="15.75">
      <c r="B150" s="12"/>
      <c r="C150" s="12"/>
      <c r="D150" s="13"/>
      <c r="E150" s="13"/>
      <c r="F150" s="84"/>
    </row>
    <row r="151" spans="2:6" ht="15.75">
      <c r="B151" s="12"/>
      <c r="C151" s="12"/>
      <c r="D151" s="13"/>
      <c r="E151" s="13"/>
      <c r="F151" s="84"/>
    </row>
    <row r="152" spans="2:6" ht="15.75">
      <c r="B152" s="12"/>
      <c r="C152" s="12"/>
      <c r="D152" s="13"/>
      <c r="E152" s="13"/>
      <c r="F152" s="84"/>
    </row>
    <row r="153" spans="2:6" ht="15.75">
      <c r="B153" s="12"/>
      <c r="C153" s="12"/>
      <c r="D153" s="13"/>
      <c r="E153" s="13"/>
      <c r="F153" s="84"/>
    </row>
    <row r="154" spans="2:6" ht="15.75">
      <c r="B154" s="12"/>
      <c r="C154" s="12"/>
      <c r="D154" s="13"/>
      <c r="E154" s="13"/>
      <c r="F154" s="84"/>
    </row>
    <row r="155" spans="2:6" ht="15.75">
      <c r="B155" s="12"/>
      <c r="C155" s="12"/>
      <c r="D155" s="13"/>
      <c r="E155" s="13"/>
      <c r="F155" s="84"/>
    </row>
    <row r="156" spans="2:6" ht="15.75">
      <c r="B156" s="12"/>
      <c r="C156" s="12"/>
      <c r="D156" s="13"/>
      <c r="E156" s="13"/>
      <c r="F156" s="84"/>
    </row>
    <row r="157" spans="2:6" ht="15.75">
      <c r="B157" s="12"/>
      <c r="C157" s="12"/>
      <c r="D157" s="13"/>
      <c r="E157" s="13"/>
      <c r="F157" s="84"/>
    </row>
    <row r="158" spans="2:6" ht="15.75">
      <c r="B158" s="12"/>
      <c r="C158" s="12"/>
      <c r="D158" s="13"/>
      <c r="E158" s="13"/>
      <c r="F158" s="84"/>
    </row>
    <row r="159" spans="2:6" ht="15.75">
      <c r="B159" s="12"/>
      <c r="C159" s="12"/>
      <c r="D159" s="13"/>
      <c r="E159" s="13"/>
      <c r="F159" s="84"/>
    </row>
    <row r="160" spans="2:6" ht="15.75">
      <c r="B160" s="12"/>
      <c r="C160" s="12"/>
      <c r="D160" s="13"/>
      <c r="E160" s="13"/>
      <c r="F160" s="84"/>
    </row>
    <row r="161" spans="2:6" ht="15.75">
      <c r="B161" s="12"/>
      <c r="C161" s="12"/>
      <c r="D161" s="13"/>
      <c r="E161" s="13"/>
      <c r="F161" s="84"/>
    </row>
    <row r="162" spans="2:6" ht="15.75">
      <c r="B162" s="12"/>
      <c r="C162" s="12"/>
      <c r="D162" s="13"/>
      <c r="E162" s="13"/>
      <c r="F162" s="84"/>
    </row>
    <row r="163" spans="2:6" ht="15.75">
      <c r="B163" s="12"/>
      <c r="C163" s="12"/>
      <c r="D163" s="13"/>
      <c r="E163" s="13"/>
      <c r="F163" s="84"/>
    </row>
    <row r="164" spans="2:6" ht="15.75">
      <c r="B164" s="12"/>
      <c r="C164" s="12"/>
      <c r="D164" s="13"/>
      <c r="E164" s="13"/>
      <c r="F164" s="84"/>
    </row>
    <row r="165" spans="2:6" ht="15.75">
      <c r="B165" s="12"/>
      <c r="C165" s="12"/>
      <c r="D165" s="13"/>
      <c r="E165" s="13"/>
      <c r="F165" s="84"/>
    </row>
    <row r="166" spans="2:6" ht="15.75">
      <c r="B166" s="12"/>
      <c r="C166" s="12"/>
      <c r="D166" s="13"/>
      <c r="E166" s="13"/>
      <c r="F166" s="84"/>
    </row>
    <row r="167" spans="2:6" ht="15.75">
      <c r="B167" s="12"/>
      <c r="C167" s="12"/>
      <c r="D167" s="13"/>
      <c r="E167" s="13"/>
      <c r="F167" s="84"/>
    </row>
    <row r="168" spans="2:6" ht="15.75">
      <c r="B168" s="12"/>
      <c r="C168" s="12"/>
      <c r="D168" s="13"/>
      <c r="E168" s="13"/>
      <c r="F168" s="84"/>
    </row>
    <row r="169" spans="2:6" ht="15.75">
      <c r="B169" s="12"/>
      <c r="C169" s="12"/>
      <c r="D169" s="13"/>
      <c r="E169" s="13"/>
      <c r="F169" s="84"/>
    </row>
    <row r="170" spans="2:6" ht="15.75">
      <c r="B170" s="12"/>
      <c r="C170" s="12"/>
      <c r="D170" s="13"/>
      <c r="E170" s="13"/>
      <c r="F170" s="84"/>
    </row>
    <row r="171" spans="2:6" ht="15.75">
      <c r="B171" s="12"/>
      <c r="C171" s="12"/>
      <c r="D171" s="13"/>
      <c r="E171" s="13"/>
      <c r="F171" s="84"/>
    </row>
    <row r="172" spans="2:6" ht="15.75">
      <c r="B172" s="12"/>
      <c r="C172" s="12"/>
      <c r="D172" s="13"/>
      <c r="E172" s="13"/>
      <c r="F172" s="84"/>
    </row>
    <row r="173" spans="2:6" ht="15.75">
      <c r="B173" s="12"/>
      <c r="C173" s="12"/>
      <c r="D173" s="13"/>
      <c r="E173" s="13"/>
      <c r="F173" s="84"/>
    </row>
    <row r="174" spans="2:6" ht="15.75">
      <c r="B174" s="12"/>
      <c r="C174" s="12"/>
      <c r="D174" s="13"/>
      <c r="E174" s="13"/>
      <c r="F174" s="84"/>
    </row>
    <row r="175" spans="2:6" ht="15.75">
      <c r="B175" s="12"/>
      <c r="C175" s="12"/>
      <c r="D175" s="13"/>
      <c r="E175" s="13"/>
      <c r="F175" s="84"/>
    </row>
    <row r="176" spans="2:6" ht="15.75">
      <c r="B176" s="12"/>
      <c r="C176" s="12"/>
      <c r="D176" s="13"/>
      <c r="E176" s="13"/>
      <c r="F176" s="84"/>
    </row>
    <row r="177" spans="2:6" ht="15.75">
      <c r="B177" s="12"/>
      <c r="C177" s="12"/>
      <c r="D177" s="13"/>
      <c r="E177" s="13"/>
      <c r="F177" s="84"/>
    </row>
    <row r="178" spans="2:6" ht="15.75">
      <c r="B178" s="12"/>
      <c r="C178" s="12"/>
      <c r="D178" s="13"/>
      <c r="E178" s="13"/>
      <c r="F178" s="84"/>
    </row>
    <row r="179" spans="2:6" ht="15.75">
      <c r="B179" s="12"/>
      <c r="C179" s="12"/>
      <c r="D179" s="13"/>
      <c r="E179" s="13"/>
      <c r="F179" s="84"/>
    </row>
    <row r="180" spans="2:6" ht="15.75">
      <c r="B180" s="12"/>
      <c r="C180" s="12"/>
      <c r="D180" s="13"/>
      <c r="E180" s="13"/>
      <c r="F180" s="84"/>
    </row>
    <row r="181" spans="2:6" ht="15.75">
      <c r="B181" s="12"/>
      <c r="C181" s="12"/>
      <c r="D181" s="13"/>
      <c r="E181" s="13"/>
      <c r="F181" s="84"/>
    </row>
    <row r="182" spans="2:6" ht="15.75">
      <c r="B182" s="12"/>
      <c r="C182" s="12"/>
      <c r="D182" s="13"/>
      <c r="E182" s="13"/>
      <c r="F182" s="84"/>
    </row>
    <row r="183" spans="2:6" ht="15.75">
      <c r="B183" s="12"/>
      <c r="C183" s="12"/>
      <c r="D183" s="13"/>
      <c r="E183" s="13"/>
      <c r="F183" s="84"/>
    </row>
    <row r="184" spans="2:6" ht="15.75">
      <c r="B184" s="12"/>
      <c r="C184" s="12"/>
      <c r="D184" s="13"/>
      <c r="E184" s="13"/>
      <c r="F184" s="84"/>
    </row>
    <row r="185" spans="2:6" ht="15.75">
      <c r="B185" s="12"/>
      <c r="C185" s="12"/>
      <c r="D185" s="13"/>
      <c r="E185" s="13"/>
      <c r="F185" s="84"/>
    </row>
    <row r="186" spans="2:6" ht="15.75">
      <c r="B186" s="12"/>
      <c r="C186" s="12"/>
      <c r="D186" s="13"/>
      <c r="E186" s="13"/>
      <c r="F186" s="84"/>
    </row>
    <row r="187" spans="2:6" ht="15.75">
      <c r="B187" s="12"/>
      <c r="C187" s="12"/>
      <c r="D187" s="13"/>
      <c r="E187" s="13"/>
      <c r="F187" s="84"/>
    </row>
    <row r="188" spans="2:6" ht="15.75">
      <c r="B188" s="12"/>
      <c r="C188" s="12"/>
      <c r="D188" s="13"/>
      <c r="E188" s="13"/>
      <c r="F188" s="84"/>
    </row>
    <row r="189" spans="2:6" ht="15.75">
      <c r="B189" s="12"/>
      <c r="C189" s="12"/>
      <c r="D189" s="13"/>
      <c r="E189" s="13"/>
      <c r="F189" s="84"/>
    </row>
    <row r="190" spans="2:6" ht="15.75">
      <c r="B190" s="12"/>
      <c r="C190" s="12"/>
      <c r="D190" s="13"/>
      <c r="E190" s="13"/>
      <c r="F190" s="84"/>
    </row>
    <row r="191" spans="2:6" ht="15.75">
      <c r="B191" s="12"/>
      <c r="C191" s="12"/>
      <c r="D191" s="13"/>
      <c r="E191" s="13"/>
      <c r="F191" s="84"/>
    </row>
    <row r="192" spans="2:6" ht="15.75">
      <c r="B192" s="12"/>
      <c r="C192" s="12"/>
      <c r="D192" s="13"/>
      <c r="E192" s="13"/>
      <c r="F192" s="84"/>
    </row>
    <row r="193" spans="2:6" ht="15.75">
      <c r="B193" s="12"/>
      <c r="C193" s="12"/>
      <c r="D193" s="13"/>
      <c r="E193" s="13"/>
      <c r="F193" s="84"/>
    </row>
    <row r="194" spans="2:6" ht="15.75">
      <c r="B194" s="12"/>
      <c r="C194" s="12"/>
      <c r="D194" s="13"/>
      <c r="E194" s="13"/>
      <c r="F194" s="84"/>
    </row>
    <row r="195" spans="2:6" ht="15.75">
      <c r="B195" s="12"/>
      <c r="C195" s="12"/>
      <c r="D195" s="12"/>
      <c r="E195" s="12"/>
      <c r="F195" s="25"/>
    </row>
    <row r="196" spans="2:6" ht="15.75">
      <c r="B196" s="12"/>
      <c r="C196" s="12"/>
      <c r="D196" s="12"/>
      <c r="E196" s="12"/>
      <c r="F196" s="25"/>
    </row>
    <row r="197" spans="2:6" ht="15.75">
      <c r="B197" s="12"/>
      <c r="C197" s="12"/>
      <c r="D197" s="12"/>
      <c r="E197" s="12"/>
      <c r="F197" s="25"/>
    </row>
    <row r="198" spans="2:6" ht="15.75">
      <c r="B198" s="12"/>
      <c r="C198" s="12"/>
      <c r="D198" s="12"/>
      <c r="E198" s="12"/>
      <c r="F198" s="25"/>
    </row>
    <row r="199" spans="2:6" ht="15.75">
      <c r="B199" s="12"/>
      <c r="C199" s="12"/>
      <c r="D199" s="12"/>
      <c r="E199" s="12"/>
      <c r="F199" s="25"/>
    </row>
    <row r="200" spans="2:6" ht="15.75">
      <c r="B200" s="12"/>
      <c r="C200" s="12"/>
      <c r="D200" s="12"/>
      <c r="E200" s="12"/>
      <c r="F200" s="25"/>
    </row>
    <row r="201" spans="2:6" ht="15.75">
      <c r="B201" s="12"/>
      <c r="C201" s="12"/>
      <c r="D201" s="12"/>
      <c r="E201" s="12"/>
      <c r="F201" s="25"/>
    </row>
    <row r="202" spans="2:6" ht="15.75">
      <c r="B202" s="12"/>
      <c r="C202" s="12"/>
      <c r="D202" s="12"/>
      <c r="E202" s="12"/>
      <c r="F202" s="25"/>
    </row>
    <row r="203" spans="2:6" ht="15.75">
      <c r="B203" s="12"/>
      <c r="C203" s="12"/>
      <c r="D203" s="12"/>
      <c r="E203" s="12"/>
      <c r="F203" s="25"/>
    </row>
    <row r="204" spans="2:6" ht="15.75">
      <c r="B204" s="12"/>
      <c r="C204" s="12"/>
      <c r="D204" s="12"/>
      <c r="E204" s="12"/>
      <c r="F204" s="25"/>
    </row>
    <row r="205" spans="2:6" ht="15.75">
      <c r="B205" s="12"/>
      <c r="C205" s="12"/>
      <c r="D205" s="12"/>
      <c r="E205" s="12"/>
      <c r="F205" s="25"/>
    </row>
    <row r="206" spans="2:6" ht="15.75">
      <c r="B206" s="12"/>
      <c r="C206" s="12"/>
      <c r="D206" s="12"/>
      <c r="E206" s="12"/>
      <c r="F206" s="25"/>
    </row>
    <row r="207" spans="2:6" ht="15.75">
      <c r="B207" s="12"/>
      <c r="C207" s="12"/>
      <c r="D207" s="12"/>
      <c r="E207" s="12"/>
      <c r="F207" s="25"/>
    </row>
    <row r="208" spans="2:6" ht="15.75">
      <c r="B208" s="12"/>
      <c r="C208" s="12"/>
      <c r="D208" s="12"/>
      <c r="E208" s="12"/>
      <c r="F208" s="25"/>
    </row>
    <row r="209" spans="2:6" ht="15.75">
      <c r="B209" s="12"/>
      <c r="C209" s="12"/>
      <c r="D209" s="12"/>
      <c r="E209" s="12"/>
      <c r="F209" s="25"/>
    </row>
    <row r="210" spans="2:6" ht="15.75">
      <c r="B210" s="12"/>
      <c r="C210" s="12"/>
      <c r="D210" s="12"/>
      <c r="E210" s="12"/>
      <c r="F210" s="25"/>
    </row>
    <row r="211" spans="2:6" ht="15.75">
      <c r="B211" s="12"/>
      <c r="C211" s="12"/>
      <c r="D211" s="12"/>
      <c r="E211" s="12"/>
      <c r="F211" s="25"/>
    </row>
    <row r="212" spans="2:6" ht="15.75">
      <c r="B212" s="12"/>
      <c r="C212" s="12"/>
      <c r="D212" s="12"/>
      <c r="E212" s="12"/>
      <c r="F212" s="25"/>
    </row>
    <row r="213" spans="2:6" ht="15.75">
      <c r="B213" s="12"/>
      <c r="C213" s="12"/>
      <c r="D213" s="12"/>
      <c r="E213" s="12"/>
      <c r="F213" s="25"/>
    </row>
    <row r="214" spans="2:6" ht="15.75">
      <c r="B214" s="12"/>
      <c r="C214" s="12"/>
      <c r="D214" s="12"/>
      <c r="E214" s="12"/>
      <c r="F214" s="25"/>
    </row>
    <row r="215" spans="2:6" ht="15.75">
      <c r="B215" s="12"/>
      <c r="C215" s="12"/>
      <c r="D215" s="12"/>
      <c r="E215" s="12"/>
      <c r="F215" s="25"/>
    </row>
    <row r="216" spans="2:6" ht="15.75">
      <c r="B216" s="12"/>
      <c r="C216" s="12"/>
      <c r="D216" s="12"/>
      <c r="E216" s="12"/>
      <c r="F216" s="25"/>
    </row>
    <row r="217" spans="2:6" ht="15.75">
      <c r="B217" s="12"/>
      <c r="C217" s="12"/>
      <c r="D217" s="12"/>
      <c r="E217" s="12"/>
      <c r="F217" s="25"/>
    </row>
    <row r="218" spans="2:6" ht="15.75">
      <c r="B218" s="12"/>
      <c r="C218" s="12"/>
      <c r="D218" s="12"/>
      <c r="E218" s="12"/>
      <c r="F218" s="25"/>
    </row>
    <row r="219" spans="2:6" ht="15.75">
      <c r="B219" s="12"/>
      <c r="C219" s="12"/>
      <c r="D219" s="12"/>
      <c r="E219" s="12"/>
      <c r="F219" s="25"/>
    </row>
    <row r="220" spans="2:6" ht="15.75">
      <c r="B220" s="12"/>
      <c r="C220" s="12"/>
      <c r="D220" s="12"/>
      <c r="E220" s="12"/>
      <c r="F220" s="25"/>
    </row>
    <row r="221" spans="2:6" ht="15.75">
      <c r="B221" s="12"/>
      <c r="C221" s="12"/>
      <c r="D221" s="12"/>
      <c r="E221" s="12"/>
      <c r="F221" s="25"/>
    </row>
    <row r="222" spans="2:6" ht="15.75">
      <c r="B222" s="12"/>
      <c r="C222" s="12"/>
      <c r="D222" s="12"/>
      <c r="E222" s="12"/>
      <c r="F222" s="25"/>
    </row>
    <row r="223" spans="2:6" ht="15.75">
      <c r="B223" s="12"/>
      <c r="C223" s="12"/>
      <c r="D223" s="12"/>
      <c r="E223" s="12"/>
      <c r="F223" s="25"/>
    </row>
    <row r="224" spans="2:6" ht="15.75">
      <c r="B224" s="12"/>
      <c r="C224" s="12"/>
      <c r="D224" s="12"/>
      <c r="E224" s="12"/>
      <c r="F224" s="25"/>
    </row>
    <row r="225" spans="2:6" ht="15.75">
      <c r="B225" s="12"/>
      <c r="C225" s="12"/>
      <c r="D225" s="12"/>
      <c r="E225" s="12"/>
      <c r="F225" s="25"/>
    </row>
    <row r="226" spans="2:6" ht="15.75">
      <c r="B226" s="12"/>
      <c r="C226" s="12"/>
      <c r="D226" s="12"/>
      <c r="E226" s="12"/>
      <c r="F226" s="25"/>
    </row>
    <row r="227" spans="2:6" ht="15.75">
      <c r="B227" s="12"/>
      <c r="C227" s="12"/>
      <c r="D227" s="12"/>
      <c r="E227" s="12"/>
      <c r="F227" s="25"/>
    </row>
    <row r="228" spans="2:6" ht="15.75">
      <c r="B228" s="12"/>
      <c r="C228" s="12"/>
      <c r="D228" s="12"/>
      <c r="E228" s="12"/>
      <c r="F228" s="25"/>
    </row>
    <row r="229" spans="2:6" ht="15.75">
      <c r="B229" s="12"/>
      <c r="C229" s="12"/>
      <c r="D229" s="12"/>
      <c r="E229" s="12"/>
      <c r="F229" s="25"/>
    </row>
    <row r="230" spans="2:6" ht="15.75">
      <c r="B230" s="12"/>
      <c r="C230" s="12"/>
      <c r="D230" s="12"/>
      <c r="E230" s="12"/>
      <c r="F230" s="25"/>
    </row>
    <row r="231" spans="2:6" ht="15.75">
      <c r="B231" s="12"/>
      <c r="C231" s="12"/>
      <c r="D231" s="12"/>
      <c r="E231" s="12"/>
      <c r="F231" s="25"/>
    </row>
    <row r="232" spans="2:6" ht="15.75">
      <c r="B232" s="12"/>
      <c r="C232" s="12"/>
      <c r="D232" s="12"/>
      <c r="E232" s="12"/>
      <c r="F232" s="25"/>
    </row>
    <row r="233" spans="2:6" ht="15.75">
      <c r="B233" s="12"/>
      <c r="C233" s="12"/>
      <c r="D233" s="12"/>
      <c r="E233" s="12"/>
      <c r="F233" s="25"/>
    </row>
    <row r="234" spans="2:6" ht="15.75">
      <c r="B234" s="12"/>
      <c r="C234" s="12"/>
      <c r="D234" s="12"/>
      <c r="E234" s="12"/>
      <c r="F234" s="25"/>
    </row>
    <row r="235" spans="2:6" ht="15.75">
      <c r="B235" s="12"/>
      <c r="C235" s="12"/>
      <c r="D235" s="12"/>
      <c r="E235" s="12"/>
      <c r="F235" s="25"/>
    </row>
    <row r="236" spans="2:6" ht="15.75">
      <c r="B236" s="12"/>
      <c r="C236" s="12"/>
      <c r="D236" s="12"/>
      <c r="E236" s="12"/>
      <c r="F236" s="25"/>
    </row>
    <row r="237" spans="2:6" ht="15.75">
      <c r="B237" s="12"/>
      <c r="C237" s="12"/>
      <c r="D237" s="12"/>
      <c r="E237" s="12"/>
      <c r="F237" s="25"/>
    </row>
    <row r="238" spans="2:6" ht="15.75">
      <c r="B238" s="12"/>
      <c r="C238" s="12"/>
      <c r="D238" s="12"/>
      <c r="E238" s="12"/>
      <c r="F238" s="25"/>
    </row>
    <row r="239" spans="2:6" ht="15.75">
      <c r="B239" s="12"/>
      <c r="C239" s="12"/>
      <c r="D239" s="12"/>
      <c r="E239" s="12"/>
      <c r="F239" s="25"/>
    </row>
    <row r="240" spans="2:6" ht="15.75">
      <c r="B240" s="12"/>
      <c r="C240" s="12"/>
      <c r="D240" s="12"/>
      <c r="E240" s="12"/>
      <c r="F240" s="25"/>
    </row>
    <row r="241" spans="2:6" ht="15.75">
      <c r="B241" s="12"/>
      <c r="C241" s="12"/>
      <c r="D241" s="12"/>
      <c r="E241" s="12"/>
      <c r="F241" s="25"/>
    </row>
    <row r="242" spans="2:6" ht="15.75">
      <c r="B242" s="12"/>
      <c r="C242" s="12"/>
      <c r="D242" s="12"/>
      <c r="E242" s="12"/>
      <c r="F242" s="25"/>
    </row>
    <row r="243" spans="2:6" ht="15.75">
      <c r="B243" s="12"/>
      <c r="C243" s="12"/>
      <c r="D243" s="12"/>
      <c r="E243" s="12"/>
      <c r="F243" s="25"/>
    </row>
    <row r="244" spans="2:6" ht="15.75">
      <c r="B244" s="12"/>
      <c r="C244" s="12"/>
      <c r="D244" s="12"/>
      <c r="E244" s="12"/>
      <c r="F244" s="25"/>
    </row>
    <row r="245" spans="2:6" ht="15.75">
      <c r="B245" s="12"/>
      <c r="C245" s="12"/>
      <c r="D245" s="12"/>
      <c r="E245" s="12"/>
      <c r="F245" s="25"/>
    </row>
    <row r="246" spans="2:6" ht="15.75">
      <c r="B246" s="12"/>
      <c r="C246" s="12"/>
      <c r="D246" s="12"/>
      <c r="E246" s="12"/>
      <c r="F246" s="25"/>
    </row>
    <row r="247" spans="2:6" ht="15.75">
      <c r="B247" s="12"/>
      <c r="C247" s="12"/>
      <c r="D247" s="12"/>
      <c r="E247" s="12"/>
      <c r="F247" s="25"/>
    </row>
    <row r="248" spans="2:6" ht="15.75">
      <c r="B248" s="12"/>
      <c r="C248" s="12"/>
      <c r="D248" s="12"/>
      <c r="E248" s="12"/>
      <c r="F248" s="25"/>
    </row>
    <row r="249" spans="2:6" ht="15.75">
      <c r="B249" s="12"/>
      <c r="C249" s="12"/>
      <c r="D249" s="12"/>
      <c r="E249" s="12"/>
      <c r="F249" s="25"/>
    </row>
    <row r="250" spans="2:6" ht="15.75">
      <c r="B250" s="12"/>
      <c r="C250" s="12"/>
      <c r="D250" s="12"/>
      <c r="E250" s="12"/>
      <c r="F250" s="25"/>
    </row>
    <row r="251" spans="2:6" ht="15.75">
      <c r="B251" s="12"/>
      <c r="C251" s="12"/>
      <c r="D251" s="12"/>
      <c r="E251" s="12"/>
      <c r="F251" s="25"/>
    </row>
    <row r="252" spans="2:6" ht="15.75">
      <c r="B252" s="12"/>
      <c r="C252" s="12"/>
      <c r="D252" s="12"/>
      <c r="E252" s="12"/>
      <c r="F252" s="25"/>
    </row>
    <row r="253" spans="2:6" ht="15.75">
      <c r="B253" s="12"/>
      <c r="C253" s="12"/>
      <c r="D253" s="12"/>
      <c r="E253" s="12"/>
      <c r="F253" s="25"/>
    </row>
    <row r="254" spans="2:6" ht="15.75">
      <c r="B254" s="12"/>
      <c r="C254" s="12"/>
      <c r="D254" s="12"/>
      <c r="E254" s="12"/>
      <c r="F254" s="25"/>
    </row>
    <row r="255" spans="2:6" ht="15.75">
      <c r="B255" s="12"/>
      <c r="C255" s="12"/>
      <c r="D255" s="12"/>
      <c r="E255" s="12"/>
      <c r="F255" s="25"/>
    </row>
    <row r="256" spans="2:6" ht="15.75">
      <c r="B256" s="12"/>
      <c r="C256" s="12"/>
      <c r="D256" s="12"/>
      <c r="E256" s="12"/>
      <c r="F256" s="25"/>
    </row>
    <row r="257" spans="2:6" ht="15.75">
      <c r="B257" s="12"/>
      <c r="C257" s="12"/>
      <c r="D257" s="12"/>
      <c r="E257" s="12"/>
      <c r="F257" s="25"/>
    </row>
    <row r="258" spans="2:6" ht="15.75">
      <c r="B258" s="12"/>
      <c r="C258" s="12"/>
      <c r="D258" s="12"/>
      <c r="E258" s="12"/>
      <c r="F258" s="25"/>
    </row>
    <row r="259" spans="2:6" ht="15.75">
      <c r="B259" s="12"/>
      <c r="C259" s="12"/>
      <c r="D259" s="12"/>
      <c r="E259" s="12"/>
      <c r="F259" s="25"/>
    </row>
    <row r="260" spans="2:6" ht="15.75">
      <c r="B260" s="12"/>
      <c r="C260" s="12"/>
      <c r="D260" s="12"/>
      <c r="E260" s="12"/>
      <c r="F260" s="25"/>
    </row>
  </sheetData>
  <sheetProtection selectLockedCells="1" selectUnlockedCells="1"/>
  <mergeCells count="2">
    <mergeCell ref="D5:F5"/>
    <mergeCell ref="D66:F66"/>
  </mergeCells>
  <printOptions horizontalCentered="1"/>
  <pageMargins left="0.6" right="0.39375" top="0.5902777777777778" bottom="0.5118055555555555" header="0.5118055555555555" footer="0.31527777777777777"/>
  <pageSetup horizontalDpi="300" verticalDpi="300" orientation="portrait" paperSize="9" scale="64" r:id="rId1"/>
  <headerFooter alignWithMargins="0">
    <oddFooter>&amp;R&amp;P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Lengyeltóti Zsuzsanna</cp:lastModifiedBy>
  <cp:lastPrinted>2015-02-26T13:14:30Z</cp:lastPrinted>
  <dcterms:created xsi:type="dcterms:W3CDTF">2015-02-27T08:13:29Z</dcterms:created>
  <dcterms:modified xsi:type="dcterms:W3CDTF">2015-02-27T08:13:29Z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