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7.sz táj. feladatos Önk. " sheetId="1" r:id="rId1"/>
  </sheets>
  <externalReferences>
    <externalReference r:id="rId2"/>
  </externalReferences>
  <definedNames>
    <definedName name="_xlnm.Print_Area" localSheetId="0">'7.sz táj. feladatos Önk. '!$A$1:$O$62</definedName>
  </definedNames>
  <calcPr calcId="145621"/>
</workbook>
</file>

<file path=xl/calcChain.xml><?xml version="1.0" encoding="utf-8"?>
<calcChain xmlns="http://schemas.openxmlformats.org/spreadsheetml/2006/main">
  <c r="N64" i="1" l="1"/>
  <c r="M64" i="1"/>
  <c r="L64" i="1"/>
  <c r="K64" i="1"/>
  <c r="J64" i="1"/>
  <c r="O64" i="1" s="1"/>
  <c r="G64" i="1"/>
  <c r="F64" i="1"/>
  <c r="E64" i="1"/>
  <c r="D64" i="1"/>
  <c r="C64" i="1"/>
  <c r="H64" i="1" s="1"/>
  <c r="L61" i="1"/>
  <c r="O61" i="1" s="1"/>
  <c r="N60" i="1"/>
  <c r="N62" i="1" s="1"/>
  <c r="N63" i="1" s="1"/>
  <c r="M60" i="1"/>
  <c r="M62" i="1" s="1"/>
  <c r="M63" i="1" s="1"/>
  <c r="L60" i="1"/>
  <c r="L62" i="1" s="1"/>
  <c r="E60" i="1"/>
  <c r="E62" i="1" s="1"/>
  <c r="E63" i="1" s="1"/>
  <c r="J59" i="1"/>
  <c r="O59" i="1" s="1"/>
  <c r="F59" i="1"/>
  <c r="F60" i="1" s="1"/>
  <c r="F62" i="1" s="1"/>
  <c r="F63" i="1" s="1"/>
  <c r="O58" i="1"/>
  <c r="H58" i="1"/>
  <c r="E58" i="1"/>
  <c r="K56" i="1"/>
  <c r="J56" i="1"/>
  <c r="O56" i="1" s="1"/>
  <c r="H56" i="1"/>
  <c r="O55" i="1"/>
  <c r="J55" i="1"/>
  <c r="H55" i="1"/>
  <c r="J54" i="1"/>
  <c r="O54" i="1" s="1"/>
  <c r="C54" i="1"/>
  <c r="H54" i="1" s="1"/>
  <c r="O53" i="1"/>
  <c r="H53" i="1"/>
  <c r="O52" i="1"/>
  <c r="H52" i="1"/>
  <c r="O51" i="1"/>
  <c r="H51" i="1"/>
  <c r="K49" i="1"/>
  <c r="J49" i="1"/>
  <c r="O49" i="1" s="1"/>
  <c r="H49" i="1"/>
  <c r="K47" i="1"/>
  <c r="J47" i="1"/>
  <c r="O47" i="1" s="1"/>
  <c r="H47" i="1"/>
  <c r="K46" i="1"/>
  <c r="J46" i="1"/>
  <c r="O46" i="1" s="1"/>
  <c r="H46" i="1"/>
  <c r="C46" i="1"/>
  <c r="O45" i="1"/>
  <c r="J45" i="1"/>
  <c r="H45" i="1"/>
  <c r="C45" i="1"/>
  <c r="O43" i="1"/>
  <c r="C43" i="1"/>
  <c r="H43" i="1" s="1"/>
  <c r="K42" i="1"/>
  <c r="J42" i="1"/>
  <c r="O42" i="1" s="1"/>
  <c r="H42" i="1"/>
  <c r="O41" i="1"/>
  <c r="H41" i="1"/>
  <c r="O40" i="1"/>
  <c r="H40" i="1"/>
  <c r="O39" i="1"/>
  <c r="H39" i="1"/>
  <c r="O38" i="1"/>
  <c r="H38" i="1"/>
  <c r="K37" i="1"/>
  <c r="J37" i="1"/>
  <c r="O37" i="1" s="1"/>
  <c r="H37" i="1"/>
  <c r="K35" i="1"/>
  <c r="J35" i="1"/>
  <c r="O35" i="1" s="1"/>
  <c r="H35" i="1"/>
  <c r="C35" i="1"/>
  <c r="O34" i="1"/>
  <c r="J34" i="1"/>
  <c r="H34" i="1"/>
  <c r="J33" i="1"/>
  <c r="O33" i="1" s="1"/>
  <c r="H33" i="1"/>
  <c r="K32" i="1"/>
  <c r="J32" i="1"/>
  <c r="O32" i="1" s="1"/>
  <c r="D32" i="1"/>
  <c r="C32" i="1"/>
  <c r="H32" i="1" s="1"/>
  <c r="O30" i="1"/>
  <c r="H30" i="1"/>
  <c r="O29" i="1"/>
  <c r="C29" i="1"/>
  <c r="H29" i="1" s="1"/>
  <c r="O28" i="1"/>
  <c r="H28" i="1"/>
  <c r="O27" i="1"/>
  <c r="H27" i="1"/>
  <c r="O25" i="1"/>
  <c r="H25" i="1"/>
  <c r="K24" i="1"/>
  <c r="J24" i="1"/>
  <c r="O24" i="1" s="1"/>
  <c r="H24" i="1"/>
  <c r="O23" i="1"/>
  <c r="H23" i="1"/>
  <c r="K22" i="1"/>
  <c r="J22" i="1"/>
  <c r="O22" i="1" s="1"/>
  <c r="H22" i="1"/>
  <c r="K21" i="1"/>
  <c r="J21" i="1"/>
  <c r="O21" i="1" s="1"/>
  <c r="H21" i="1"/>
  <c r="J20" i="1"/>
  <c r="O20" i="1" s="1"/>
  <c r="H20" i="1"/>
  <c r="O19" i="1"/>
  <c r="H19" i="1"/>
  <c r="O17" i="1"/>
  <c r="J17" i="1"/>
  <c r="H17" i="1"/>
  <c r="O15" i="1"/>
  <c r="H15" i="1"/>
  <c r="G15" i="1"/>
  <c r="G60" i="1" s="1"/>
  <c r="G62" i="1" s="1"/>
  <c r="G63" i="1" s="1"/>
  <c r="O14" i="1"/>
  <c r="J14" i="1"/>
  <c r="D14" i="1"/>
  <c r="C14" i="1"/>
  <c r="H14" i="1" s="1"/>
  <c r="J13" i="1"/>
  <c r="O13" i="1" s="1"/>
  <c r="I13" i="1"/>
  <c r="I60" i="1" s="1"/>
  <c r="I62" i="1" s="1"/>
  <c r="I63" i="1" s="1"/>
  <c r="H13" i="1"/>
  <c r="C13" i="1"/>
  <c r="K12" i="1"/>
  <c r="K60" i="1" s="1"/>
  <c r="K62" i="1" s="1"/>
  <c r="K63" i="1" s="1"/>
  <c r="J12" i="1"/>
  <c r="O12" i="1" s="1"/>
  <c r="D12" i="1"/>
  <c r="D60" i="1" s="1"/>
  <c r="D62" i="1" s="1"/>
  <c r="D63" i="1" s="1"/>
  <c r="C12" i="1"/>
  <c r="H12" i="1" s="1"/>
  <c r="O11" i="1"/>
  <c r="H11" i="1"/>
  <c r="O10" i="1"/>
  <c r="J10" i="1"/>
  <c r="J60" i="1" s="1"/>
  <c r="J62" i="1" s="1"/>
  <c r="J63" i="1" s="1"/>
  <c r="H10" i="1"/>
  <c r="C10" i="1"/>
  <c r="C60" i="1" s="1"/>
  <c r="C62" i="1" s="1"/>
  <c r="C63" i="1" s="1"/>
  <c r="A1" i="1"/>
  <c r="O60" i="1" l="1"/>
  <c r="L63" i="1"/>
  <c r="H59" i="1"/>
  <c r="H60" i="1" s="1"/>
  <c r="H62" i="1" s="1"/>
  <c r="H63" i="1" s="1"/>
  <c r="O63" i="1" l="1"/>
  <c r="P60" i="1"/>
  <c r="O62" i="1"/>
</calcChain>
</file>

<file path=xl/sharedStrings.xml><?xml version="1.0" encoding="utf-8"?>
<sst xmlns="http://schemas.openxmlformats.org/spreadsheetml/2006/main" count="138" uniqueCount="120">
  <si>
    <t>tájékoztató tábla</t>
  </si>
  <si>
    <t>Az önkormányzat 2020. évi költségvetésének</t>
  </si>
  <si>
    <t>bevételi  és  kiadási  előirányzata  feladatonként</t>
  </si>
  <si>
    <t>adatok: eFt-ban</t>
  </si>
  <si>
    <t>Cofog száma</t>
  </si>
  <si>
    <t>Feladat megnevezése</t>
  </si>
  <si>
    <t>BEVÉTELEK</t>
  </si>
  <si>
    <t>KIADÁSOK</t>
  </si>
  <si>
    <t>Műk.</t>
  </si>
  <si>
    <t>Felhalm.</t>
  </si>
  <si>
    <t>Közhat.</t>
  </si>
  <si>
    <t>Értékp.</t>
  </si>
  <si>
    <t>Maradvány</t>
  </si>
  <si>
    <t>2019 év</t>
  </si>
  <si>
    <t>Intézmény</t>
  </si>
  <si>
    <t>Hitel</t>
  </si>
  <si>
    <t>Tartalék</t>
  </si>
  <si>
    <t>2019. év</t>
  </si>
  <si>
    <t>bev.</t>
  </si>
  <si>
    <t>hitel, kölcs.</t>
  </si>
  <si>
    <t>bevételei</t>
  </si>
  <si>
    <t>kiadások</t>
  </si>
  <si>
    <t>kiad.</t>
  </si>
  <si>
    <t>finansz.</t>
  </si>
  <si>
    <t>kiadásai</t>
  </si>
  <si>
    <t>1.    Általános közszolgáltatások</t>
  </si>
  <si>
    <t>011130</t>
  </si>
  <si>
    <t>Önkormányzatok és önkormányzati hivatalok jogalkotó és általános igazgatási tevékenysége</t>
  </si>
  <si>
    <t>013320</t>
  </si>
  <si>
    <t>Köztemető-fenntartás és -működtetés</t>
  </si>
  <si>
    <t>013350</t>
  </si>
  <si>
    <t> Az önkormányzati vagyonnal való gazdálkodással kapcsolatos feladatok</t>
  </si>
  <si>
    <t>016080</t>
  </si>
  <si>
    <t>Kiemelt állami és önkormányzati rendezvények</t>
  </si>
  <si>
    <t>018010</t>
  </si>
  <si>
    <t>Önkormányzatok elszámolásai a központi költségvetéssel</t>
  </si>
  <si>
    <t>018030</t>
  </si>
  <si>
    <t>Támogatási célú finanszírozási műveletek</t>
  </si>
  <si>
    <t>2.    Védelem</t>
  </si>
  <si>
    <t>022010</t>
  </si>
  <si>
    <t>Polgári honvédelem ágazati feladatai, a lakosság felkészítése</t>
  </si>
  <si>
    <t>4.    Gazdasági ügyek</t>
  </si>
  <si>
    <t>041237</t>
  </si>
  <si>
    <t>Közfoglalkoztatási mintaprogram</t>
  </si>
  <si>
    <t>042130</t>
  </si>
  <si>
    <t>Növénytermesztés, állattenyésztés és kapcsolódó szolgáltatások</t>
  </si>
  <si>
    <t>045120</t>
  </si>
  <si>
    <t>Út, autópálya építése</t>
  </si>
  <si>
    <t>045160</t>
  </si>
  <si>
    <t>Közutak, hidak, alagutak üzemeltetése, fenntartása</t>
  </si>
  <si>
    <t>046010</t>
  </si>
  <si>
    <t xml:space="preserve">Hírközlés és az információs társadalom fejlesztésének igazgatása és támogatása </t>
  </si>
  <si>
    <t>047320</t>
  </si>
  <si>
    <t>Turizmusfejlesztési támogatások és tevékenységek</t>
  </si>
  <si>
    <t>047410</t>
  </si>
  <si>
    <t>Ár- és belvízvédelemmel összefüggő tevékenységek</t>
  </si>
  <si>
    <t>5.    Környezetvédelem</t>
  </si>
  <si>
    <t>051030</t>
  </si>
  <si>
    <t>Nem veszélyes (települési) hulladék vegyes (ömlesztett) begyűjtése, szállítása, átrakása</t>
  </si>
  <si>
    <t>051040</t>
  </si>
  <si>
    <t>Nem veszélyes hulladék kezelése, ártalmatlanítása</t>
  </si>
  <si>
    <t>052080</t>
  </si>
  <si>
    <t>Szennyvízcsatorna építése, fenntartása, üzemeltetése</t>
  </si>
  <si>
    <t>056010</t>
  </si>
  <si>
    <t>Komplex környezetvédelmi programok támogatása</t>
  </si>
  <si>
    <t>6.    Lakásépítés és kommunális létesítmények</t>
  </si>
  <si>
    <t>062020</t>
  </si>
  <si>
    <t>Településfejlesztési projektek és támogatásuk</t>
  </si>
  <si>
    <t>064010</t>
  </si>
  <si>
    <t>Közvilágítás</t>
  </si>
  <si>
    <t>066010</t>
  </si>
  <si>
    <t>Zöldterület-kezelés</t>
  </si>
  <si>
    <t>066020</t>
  </si>
  <si>
    <t>Város-, községgazdálkodási egyéb szolgáltatások</t>
  </si>
  <si>
    <t>7.    Egészségügy</t>
  </si>
  <si>
    <t>072112</t>
  </si>
  <si>
    <t xml:space="preserve">Háziorvosi ügyeleti ellátás </t>
  </si>
  <si>
    <t>072210</t>
  </si>
  <si>
    <t>Járóbetegek gyógyító szakellátása</t>
  </si>
  <si>
    <t>072450</t>
  </si>
  <si>
    <t>Fizikoterápiás szolgáltatás</t>
  </si>
  <si>
    <t>074032</t>
  </si>
  <si>
    <t>Ifjúság-egészségügyi gondozás</t>
  </si>
  <si>
    <t>074040</t>
  </si>
  <si>
    <t>Fertőző megbetegedések megelőzése, járványügyi ellátás</t>
  </si>
  <si>
    <t>074051</t>
  </si>
  <si>
    <t xml:space="preserve">Nem fertőző megbetegedések megelőzése </t>
  </si>
  <si>
    <t>074052</t>
  </si>
  <si>
    <t>Kábítószer-megelőzés programjai, tevékenységei</t>
  </si>
  <si>
    <t>8.    Szabadidő, sport, kultúra és vallás</t>
  </si>
  <si>
    <t>083030</t>
  </si>
  <si>
    <t>Egyéb kiadói tevékenység</t>
  </si>
  <si>
    <t>084031</t>
  </si>
  <si>
    <t>Civil szervezetek működési támogatása</t>
  </si>
  <si>
    <t>084070</t>
  </si>
  <si>
    <t>A fiatalok társadalmi integrációját segítő struktúra, szakmai szolgáltatások fejlesztése, működtetése</t>
  </si>
  <si>
    <t>9.    Oktatás</t>
  </si>
  <si>
    <t>091140</t>
  </si>
  <si>
    <t>Óvodai nevelés, ellátás működtetési feladatai</t>
  </si>
  <si>
    <t>10. Szociális védelem</t>
  </si>
  <si>
    <t>104012</t>
  </si>
  <si>
    <t>Gyermekek átmeneti ellátása</t>
  </si>
  <si>
    <t>104037</t>
  </si>
  <si>
    <t>Intézményen kívüli gyermekétkeztetés</t>
  </si>
  <si>
    <t>104043</t>
  </si>
  <si>
    <t>Család és gyermekjóléti központ</t>
  </si>
  <si>
    <t>106010</t>
  </si>
  <si>
    <t>Lakóingatlan szociális célú bérbeadása, üzemeltetése</t>
  </si>
  <si>
    <t>107060</t>
  </si>
  <si>
    <t> Egyéb szociális pénzbeli és természetbeni ellátások, támogatások</t>
  </si>
  <si>
    <t>107090</t>
  </si>
  <si>
    <t>Romák társadalmi integrációját elősegítő tevékenységek, programok</t>
  </si>
  <si>
    <t>90. Technikai funkciókódok</t>
  </si>
  <si>
    <t>900020</t>
  </si>
  <si>
    <t>Önkormányzatok funkcióra nem sorolható bevételei államháztartáson kívülről</t>
  </si>
  <si>
    <t>900060</t>
  </si>
  <si>
    <t>Forgatási és befektetési célú finanszírozási műveletek</t>
  </si>
  <si>
    <t>Összesen:</t>
  </si>
  <si>
    <t>- Le: intézményi támogatás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</si>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</sst>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F_t_-;\-* #,##0.00\ _F_t_-;_-* &quot;-&quot;??\ _F_t_-;_-@_-"/>
  </numFmts>
  <fonts count="36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b/>
      <i/>
      <sz val="13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MS Sans Serif"/>
      <family val="2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charset val="238"/>
    </font>
    <font>
      <sz val="8"/>
      <name val="MS Sans Serif"/>
      <family val="2"/>
      <charset val="238"/>
    </font>
    <font>
      <sz val="9"/>
      <name val="Times New Roman CE"/>
      <charset val="238"/>
    </font>
    <font>
      <b/>
      <sz val="9"/>
      <color rgb="FFFF0000"/>
      <name val="Times New Roman CE"/>
      <charset val="238"/>
    </font>
    <font>
      <i/>
      <sz val="9"/>
      <name val="Times New Roman CE"/>
      <charset val="238"/>
    </font>
    <font>
      <sz val="9"/>
      <name val="Times New Roman CE"/>
      <family val="1"/>
      <charset val="238"/>
    </font>
    <font>
      <sz val="9"/>
      <color rgb="FFFF0000"/>
      <name val="Times New Roman CE"/>
      <charset val="238"/>
    </font>
    <font>
      <b/>
      <i/>
      <sz val="9"/>
      <color rgb="FFFF0000"/>
      <name val="Times New Roman CE"/>
      <charset val="238"/>
    </font>
    <font>
      <b/>
      <i/>
      <sz val="11"/>
      <name val="Times New Roman CE"/>
      <charset val="238"/>
    </font>
    <font>
      <b/>
      <i/>
      <sz val="9"/>
      <color rgb="FFFF0000"/>
      <name val="Times New Roman CE"/>
      <family val="1"/>
      <charset val="238"/>
    </font>
    <font>
      <b/>
      <sz val="10"/>
      <color rgb="FFFF0000"/>
      <name val="MS Sans Serif"/>
      <family val="2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0" borderId="0"/>
    <xf numFmtId="0" fontId="9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2" borderId="0" applyNumberFormat="0" applyBorder="0" applyAlignment="0" applyProtection="0"/>
    <xf numFmtId="0" fontId="31" fillId="6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0" fillId="0" borderId="0" applyFont="0" applyFill="0" applyBorder="0" applyAlignment="0" applyProtection="0"/>
  </cellStyleXfs>
  <cellXfs count="182">
    <xf numFmtId="0" fontId="0" fillId="0" borderId="0" xfId="0"/>
    <xf numFmtId="0" fontId="3" fillId="0" borderId="0" xfId="1" applyFont="1" applyAlignment="1">
      <alignment horizontal="right"/>
    </xf>
    <xf numFmtId="0" fontId="2" fillId="0" borderId="0" xfId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8" fillId="0" borderId="0" xfId="1" applyFont="1"/>
    <xf numFmtId="3" fontId="10" fillId="0" borderId="0" xfId="2" applyNumberFormat="1" applyFont="1" applyFill="1" applyAlignment="1">
      <alignment horizontal="right"/>
    </xf>
    <xf numFmtId="49" fontId="11" fillId="0" borderId="0" xfId="1" applyNumberFormat="1" applyFont="1" applyAlignment="1">
      <alignment horizontal="center"/>
    </xf>
    <xf numFmtId="0" fontId="2" fillId="0" borderId="0" xfId="1" applyFont="1"/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Continuous"/>
    </xf>
    <xf numFmtId="0" fontId="5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8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13" fillId="0" borderId="0" xfId="1" applyFont="1" applyAlignment="1">
      <alignment horizontal="right"/>
    </xf>
    <xf numFmtId="0" fontId="14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/>
    </xf>
    <xf numFmtId="0" fontId="15" fillId="0" borderId="3" xfId="1" applyFont="1" applyBorder="1" applyAlignment="1">
      <alignment horizontal="center"/>
    </xf>
    <xf numFmtId="0" fontId="15" fillId="0" borderId="4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4" fillId="0" borderId="6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/>
    </xf>
    <xf numFmtId="0" fontId="16" fillId="0" borderId="8" xfId="1" applyFont="1" applyBorder="1" applyAlignment="1">
      <alignment horizontal="center"/>
    </xf>
    <xf numFmtId="0" fontId="17" fillId="0" borderId="9" xfId="1" applyFont="1" applyBorder="1" applyAlignment="1">
      <alignment horizontal="center"/>
    </xf>
    <xf numFmtId="0" fontId="16" fillId="0" borderId="6" xfId="1" applyFont="1" applyBorder="1" applyAlignment="1">
      <alignment horizontal="center"/>
    </xf>
    <xf numFmtId="0" fontId="16" fillId="0" borderId="9" xfId="1" applyFont="1" applyBorder="1" applyAlignment="1">
      <alignment horizontal="center"/>
    </xf>
    <xf numFmtId="0" fontId="14" fillId="0" borderId="10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/>
    </xf>
    <xf numFmtId="0" fontId="16" fillId="0" borderId="12" xfId="1" applyFont="1" applyBorder="1" applyAlignment="1">
      <alignment horizontal="center"/>
    </xf>
    <xf numFmtId="0" fontId="17" fillId="0" borderId="13" xfId="1" applyFont="1" applyBorder="1" applyAlignment="1">
      <alignment horizontal="center"/>
    </xf>
    <xf numFmtId="0" fontId="16" fillId="0" borderId="14" xfId="1" applyFont="1" applyBorder="1" applyAlignment="1">
      <alignment horizontal="center"/>
    </xf>
    <xf numFmtId="0" fontId="16" fillId="0" borderId="13" xfId="1" applyFont="1" applyBorder="1" applyAlignment="1">
      <alignment horizontal="center"/>
    </xf>
    <xf numFmtId="0" fontId="18" fillId="0" borderId="15" xfId="1" applyFont="1" applyBorder="1" applyAlignment="1">
      <alignment horizontal="center"/>
    </xf>
    <xf numFmtId="0" fontId="18" fillId="0" borderId="5" xfId="1" applyFont="1" applyBorder="1" applyAlignment="1">
      <alignment horizontal="center"/>
    </xf>
    <xf numFmtId="0" fontId="18" fillId="0" borderId="16" xfId="1" applyFont="1" applyBorder="1" applyAlignment="1">
      <alignment horizontal="center"/>
    </xf>
    <xf numFmtId="0" fontId="18" fillId="0" borderId="17" xfId="1" applyFont="1" applyBorder="1" applyAlignment="1">
      <alignment horizontal="center"/>
    </xf>
    <xf numFmtId="0" fontId="19" fillId="0" borderId="0" xfId="1" applyFont="1"/>
    <xf numFmtId="0" fontId="0" fillId="0" borderId="18" xfId="0" quotePrefix="1" applyBorder="1" applyAlignment="1">
      <alignment vertical="center"/>
    </xf>
    <xf numFmtId="0" fontId="0" fillId="0" borderId="19" xfId="0" applyBorder="1" applyAlignment="1">
      <alignment vertical="center" wrapText="1"/>
    </xf>
    <xf numFmtId="3" fontId="20" fillId="0" borderId="20" xfId="1" applyNumberFormat="1" applyFont="1" applyBorder="1"/>
    <xf numFmtId="3" fontId="20" fillId="0" borderId="3" xfId="1" applyNumberFormat="1" applyFont="1" applyBorder="1"/>
    <xf numFmtId="3" fontId="17" fillId="0" borderId="4" xfId="1" applyNumberFormat="1" applyFont="1" applyBorder="1"/>
    <xf numFmtId="3" fontId="17" fillId="0" borderId="6" xfId="1" applyNumberFormat="1" applyFont="1" applyBorder="1"/>
    <xf numFmtId="3" fontId="20" fillId="0" borderId="21" xfId="1" applyNumberFormat="1" applyFont="1" applyBorder="1"/>
    <xf numFmtId="3" fontId="20" fillId="0" borderId="22" xfId="1" applyNumberFormat="1" applyFont="1" applyBorder="1"/>
    <xf numFmtId="3" fontId="17" fillId="0" borderId="23" xfId="1" applyNumberFormat="1" applyFont="1" applyBorder="1"/>
    <xf numFmtId="0" fontId="0" fillId="0" borderId="24" xfId="0" quotePrefix="1" applyBorder="1" applyAlignment="1">
      <alignment vertical="center"/>
    </xf>
    <xf numFmtId="0" fontId="0" fillId="0" borderId="25" xfId="0" applyBorder="1" applyAlignment="1">
      <alignment vertical="center" wrapText="1"/>
    </xf>
    <xf numFmtId="3" fontId="20" fillId="0" borderId="26" xfId="1" applyNumberFormat="1" applyFont="1" applyBorder="1"/>
    <xf numFmtId="3" fontId="20" fillId="0" borderId="27" xfId="1" applyNumberFormat="1" applyFont="1" applyBorder="1"/>
    <xf numFmtId="3" fontId="20" fillId="0" borderId="28" xfId="1" applyNumberFormat="1" applyFont="1" applyBorder="1"/>
    <xf numFmtId="3" fontId="17" fillId="0" borderId="29" xfId="1" applyNumberFormat="1" applyFont="1" applyBorder="1"/>
    <xf numFmtId="3" fontId="17" fillId="0" borderId="0" xfId="1" applyNumberFormat="1" applyFont="1" applyBorder="1"/>
    <xf numFmtId="3" fontId="21" fillId="0" borderId="28" xfId="1" applyNumberFormat="1" applyFont="1" applyBorder="1"/>
    <xf numFmtId="3" fontId="20" fillId="0" borderId="27" xfId="1" applyNumberFormat="1" applyFont="1" applyFill="1" applyBorder="1"/>
    <xf numFmtId="3" fontId="17" fillId="0" borderId="30" xfId="1" applyNumberFormat="1" applyFont="1" applyBorder="1"/>
    <xf numFmtId="3" fontId="21" fillId="0" borderId="27" xfId="1" applyNumberFormat="1" applyFont="1" applyBorder="1"/>
    <xf numFmtId="3" fontId="22" fillId="0" borderId="27" xfId="1" applyNumberFormat="1" applyFont="1" applyBorder="1"/>
    <xf numFmtId="0" fontId="0" fillId="0" borderId="31" xfId="0" quotePrefix="1" applyBorder="1" applyAlignment="1">
      <alignment vertical="center"/>
    </xf>
    <xf numFmtId="0" fontId="0" fillId="0" borderId="32" xfId="0" applyBorder="1" applyAlignment="1">
      <alignment vertical="center" wrapText="1"/>
    </xf>
    <xf numFmtId="3" fontId="20" fillId="0" borderId="33" xfId="1" applyNumberFormat="1" applyFont="1" applyBorder="1"/>
    <xf numFmtId="3" fontId="17" fillId="0" borderId="34" xfId="1" applyNumberFormat="1" applyFont="1" applyBorder="1"/>
    <xf numFmtId="3" fontId="20" fillId="0" borderId="34" xfId="1" applyNumberFormat="1" applyFont="1" applyBorder="1"/>
    <xf numFmtId="3" fontId="17" fillId="0" borderId="35" xfId="1" applyNumberFormat="1" applyFont="1" applyBorder="1"/>
    <xf numFmtId="3" fontId="20" fillId="0" borderId="7" xfId="1" applyNumberFormat="1" applyFont="1" applyBorder="1"/>
    <xf numFmtId="3" fontId="20" fillId="0" borderId="8" xfId="1" applyNumberFormat="1" applyFont="1" applyBorder="1"/>
    <xf numFmtId="3" fontId="21" fillId="0" borderId="8" xfId="1" applyNumberFormat="1" applyFont="1" applyBorder="1"/>
    <xf numFmtId="0" fontId="18" fillId="0" borderId="36" xfId="1" applyFont="1" applyBorder="1" applyAlignment="1">
      <alignment horizontal="center"/>
    </xf>
    <xf numFmtId="0" fontId="18" fillId="0" borderId="14" xfId="1" applyFont="1" applyBorder="1" applyAlignment="1">
      <alignment horizontal="center"/>
    </xf>
    <xf numFmtId="0" fontId="0" fillId="0" borderId="37" xfId="0" quotePrefix="1" applyFont="1" applyBorder="1" applyAlignment="1">
      <alignment vertical="center"/>
    </xf>
    <xf numFmtId="0" fontId="0" fillId="0" borderId="17" xfId="0" applyFont="1" applyBorder="1" applyAlignment="1">
      <alignment vertical="center" wrapText="1"/>
    </xf>
    <xf numFmtId="3" fontId="20" fillId="0" borderId="38" xfId="1" applyNumberFormat="1" applyFont="1" applyBorder="1"/>
    <xf numFmtId="3" fontId="20" fillId="0" borderId="39" xfId="1" applyNumberFormat="1" applyFont="1" applyBorder="1"/>
    <xf numFmtId="3" fontId="17" fillId="0" borderId="40" xfId="1" applyNumberFormat="1" applyFont="1" applyBorder="1"/>
    <xf numFmtId="3" fontId="23" fillId="0" borderId="6" xfId="1" applyNumberFormat="1" applyFont="1" applyBorder="1"/>
    <xf numFmtId="3" fontId="20" fillId="0" borderId="41" xfId="1" applyNumberFormat="1" applyFont="1" applyBorder="1"/>
    <xf numFmtId="0" fontId="18" fillId="0" borderId="42" xfId="1" applyFont="1" applyBorder="1" applyAlignment="1">
      <alignment horizontal="center"/>
    </xf>
    <xf numFmtId="0" fontId="18" fillId="0" borderId="0" xfId="1" applyFont="1" applyBorder="1" applyAlignment="1">
      <alignment horizontal="center"/>
    </xf>
    <xf numFmtId="0" fontId="18" fillId="0" borderId="43" xfId="1" applyFont="1" applyBorder="1" applyAlignment="1">
      <alignment horizontal="center"/>
    </xf>
    <xf numFmtId="0" fontId="0" fillId="0" borderId="18" xfId="0" quotePrefix="1" applyBorder="1"/>
    <xf numFmtId="0" fontId="0" fillId="0" borderId="19" xfId="0" applyBorder="1" applyAlignment="1">
      <alignment wrapText="1"/>
    </xf>
    <xf numFmtId="3" fontId="23" fillId="0" borderId="0" xfId="1" applyNumberFormat="1" applyFont="1" applyBorder="1"/>
    <xf numFmtId="3" fontId="20" fillId="0" borderId="2" xfId="1" applyNumberFormat="1" applyFont="1" applyBorder="1"/>
    <xf numFmtId="0" fontId="0" fillId="0" borderId="24" xfId="0" quotePrefix="1" applyBorder="1"/>
    <xf numFmtId="0" fontId="0" fillId="0" borderId="25" xfId="0" applyBorder="1" applyAlignment="1">
      <alignment wrapText="1"/>
    </xf>
    <xf numFmtId="0" fontId="0" fillId="0" borderId="24" xfId="0" quotePrefix="1" applyFont="1" applyBorder="1"/>
    <xf numFmtId="0" fontId="0" fillId="0" borderId="25" xfId="0" applyFont="1" applyBorder="1" applyAlignment="1">
      <alignment wrapText="1"/>
    </xf>
    <xf numFmtId="3" fontId="24" fillId="0" borderId="26" xfId="1" applyNumberFormat="1" applyFont="1" applyBorder="1"/>
    <xf numFmtId="3" fontId="24" fillId="0" borderId="27" xfId="1" applyNumberFormat="1" applyFont="1" applyBorder="1"/>
    <xf numFmtId="3" fontId="21" fillId="0" borderId="0" xfId="1" applyNumberFormat="1" applyFont="1" applyBorder="1"/>
    <xf numFmtId="0" fontId="0" fillId="0" borderId="31" xfId="0" quotePrefix="1" applyBorder="1"/>
    <xf numFmtId="0" fontId="0" fillId="0" borderId="32" xfId="0" applyBorder="1" applyAlignment="1">
      <alignment wrapText="1"/>
    </xf>
    <xf numFmtId="3" fontId="20" fillId="0" borderId="44" xfId="1" applyNumberFormat="1" applyFont="1" applyBorder="1"/>
    <xf numFmtId="0" fontId="18" fillId="0" borderId="45" xfId="1" applyFont="1" applyBorder="1" applyAlignment="1">
      <alignment horizontal="center"/>
    </xf>
    <xf numFmtId="0" fontId="0" fillId="0" borderId="2" xfId="0" quotePrefix="1" applyBorder="1"/>
    <xf numFmtId="0" fontId="0" fillId="0" borderId="3" xfId="0" applyBorder="1" applyAlignment="1">
      <alignment wrapText="1"/>
    </xf>
    <xf numFmtId="3" fontId="22" fillId="0" borderId="3" xfId="1" applyNumberFormat="1" applyFont="1" applyBorder="1"/>
    <xf numFmtId="3" fontId="13" fillId="0" borderId="1" xfId="1" applyNumberFormat="1" applyFont="1" applyBorder="1"/>
    <xf numFmtId="0" fontId="0" fillId="0" borderId="28" xfId="0" quotePrefix="1" applyBorder="1"/>
    <xf numFmtId="0" fontId="0" fillId="0" borderId="27" xfId="0" applyBorder="1" applyAlignment="1">
      <alignment wrapText="1"/>
    </xf>
    <xf numFmtId="3" fontId="13" fillId="0" borderId="6" xfId="1" applyNumberFormat="1" applyFont="1" applyBorder="1"/>
    <xf numFmtId="3" fontId="22" fillId="0" borderId="28" xfId="1" applyNumberFormat="1" applyFont="1" applyBorder="1"/>
    <xf numFmtId="3" fontId="25" fillId="0" borderId="28" xfId="1" applyNumberFormat="1" applyFont="1" applyBorder="1"/>
    <xf numFmtId="0" fontId="0" fillId="0" borderId="44" xfId="0" quotePrefix="1" applyBorder="1"/>
    <xf numFmtId="0" fontId="0" fillId="0" borderId="34" xfId="0" applyBorder="1" applyAlignment="1">
      <alignment wrapText="1"/>
    </xf>
    <xf numFmtId="3" fontId="22" fillId="0" borderId="34" xfId="1" applyNumberFormat="1" applyFont="1" applyBorder="1"/>
    <xf numFmtId="3" fontId="21" fillId="0" borderId="34" xfId="1" applyNumberFormat="1" applyFont="1" applyBorder="1"/>
    <xf numFmtId="3" fontId="13" fillId="0" borderId="10" xfId="1" applyNumberFormat="1" applyFont="1" applyBorder="1"/>
    <xf numFmtId="3" fontId="22" fillId="0" borderId="44" xfId="1" applyNumberFormat="1" applyFont="1" applyBorder="1"/>
    <xf numFmtId="49" fontId="18" fillId="0" borderId="42" xfId="1" applyNumberFormat="1" applyFont="1" applyBorder="1" applyAlignment="1">
      <alignment horizontal="center"/>
    </xf>
    <xf numFmtId="49" fontId="18" fillId="0" borderId="0" xfId="1" applyNumberFormat="1" applyFont="1" applyBorder="1" applyAlignment="1">
      <alignment horizontal="center"/>
    </xf>
    <xf numFmtId="49" fontId="18" fillId="0" borderId="14" xfId="1" applyNumberFormat="1" applyFont="1" applyBorder="1" applyAlignment="1">
      <alignment horizontal="center"/>
    </xf>
    <xf numFmtId="49" fontId="18" fillId="0" borderId="46" xfId="1" applyNumberFormat="1" applyFont="1" applyBorder="1" applyAlignment="1">
      <alignment horizontal="center"/>
    </xf>
    <xf numFmtId="0" fontId="0" fillId="0" borderId="4" xfId="0" applyBorder="1" applyAlignment="1">
      <alignment wrapText="1"/>
    </xf>
    <xf numFmtId="3" fontId="21" fillId="0" borderId="2" xfId="1" applyNumberFormat="1" applyFont="1" applyBorder="1"/>
    <xf numFmtId="3" fontId="21" fillId="0" borderId="3" xfId="1" applyNumberFormat="1" applyFont="1" applyBorder="1"/>
    <xf numFmtId="0" fontId="0" fillId="0" borderId="29" xfId="0" applyBorder="1" applyAlignment="1">
      <alignment wrapText="1"/>
    </xf>
    <xf numFmtId="3" fontId="20" fillId="0" borderId="47" xfId="1" applyNumberFormat="1" applyFont="1" applyBorder="1"/>
    <xf numFmtId="3" fontId="17" fillId="0" borderId="28" xfId="1" applyNumberFormat="1" applyFont="1" applyBorder="1"/>
    <xf numFmtId="0" fontId="0" fillId="0" borderId="35" xfId="0" applyBorder="1" applyAlignment="1">
      <alignment wrapText="1"/>
    </xf>
    <xf numFmtId="3" fontId="13" fillId="0" borderId="48" xfId="1" applyNumberFormat="1" applyFont="1" applyBorder="1"/>
    <xf numFmtId="3" fontId="17" fillId="0" borderId="13" xfId="1" applyNumberFormat="1" applyFont="1" applyBorder="1"/>
    <xf numFmtId="0" fontId="26" fillId="0" borderId="42" xfId="1" applyFont="1" applyBorder="1" applyAlignment="1">
      <alignment horizontal="center"/>
    </xf>
    <xf numFmtId="0" fontId="26" fillId="0" borderId="0" xfId="1" applyFont="1" applyBorder="1" applyAlignment="1">
      <alignment horizontal="center"/>
    </xf>
    <xf numFmtId="0" fontId="26" fillId="0" borderId="45" xfId="1" applyFont="1" applyBorder="1" applyAlignment="1">
      <alignment horizontal="center"/>
    </xf>
    <xf numFmtId="0" fontId="0" fillId="0" borderId="18" xfId="0" quotePrefix="1" applyFont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3" fontId="21" fillId="0" borderId="20" xfId="1" applyNumberFormat="1" applyFont="1" applyBorder="1"/>
    <xf numFmtId="3" fontId="25" fillId="0" borderId="1" xfId="1" applyNumberFormat="1" applyFont="1" applyBorder="1"/>
    <xf numFmtId="3" fontId="20" fillId="0" borderId="18" xfId="1" applyNumberFormat="1" applyFont="1" applyBorder="1"/>
    <xf numFmtId="0" fontId="0" fillId="0" borderId="24" xfId="0" quotePrefix="1" applyFont="1" applyBorder="1" applyAlignment="1">
      <alignment vertical="center" wrapText="1"/>
    </xf>
    <xf numFmtId="0" fontId="0" fillId="0" borderId="25" xfId="0" applyFont="1" applyBorder="1" applyAlignment="1">
      <alignment vertical="center" wrapText="1"/>
    </xf>
    <xf numFmtId="3" fontId="13" fillId="0" borderId="49" xfId="1" applyNumberFormat="1" applyFont="1" applyBorder="1"/>
    <xf numFmtId="3" fontId="20" fillId="0" borderId="24" xfId="1" applyNumberFormat="1" applyFont="1" applyBorder="1"/>
    <xf numFmtId="3" fontId="16" fillId="0" borderId="6" xfId="1" applyNumberFormat="1" applyFont="1" applyBorder="1"/>
    <xf numFmtId="3" fontId="21" fillId="0" borderId="6" xfId="1" applyNumberFormat="1" applyFont="1" applyBorder="1"/>
    <xf numFmtId="0" fontId="0" fillId="0" borderId="31" xfId="0" quotePrefix="1" applyBorder="1" applyAlignment="1">
      <alignment vertical="center" wrapText="1"/>
    </xf>
    <xf numFmtId="0" fontId="0" fillId="0" borderId="18" xfId="0" quotePrefix="1" applyBorder="1" applyAlignment="1">
      <alignment vertical="center" wrapText="1"/>
    </xf>
    <xf numFmtId="0" fontId="0" fillId="0" borderId="24" xfId="0" quotePrefix="1" applyBorder="1" applyAlignment="1">
      <alignment vertical="center" wrapText="1"/>
    </xf>
    <xf numFmtId="3" fontId="20" fillId="0" borderId="50" xfId="1" applyNumberFormat="1" applyFont="1" applyBorder="1"/>
    <xf numFmtId="3" fontId="17" fillId="0" borderId="8" xfId="1" applyNumberFormat="1" applyFont="1" applyBorder="1"/>
    <xf numFmtId="3" fontId="27" fillId="0" borderId="6" xfId="1" applyNumberFormat="1" applyFont="1" applyBorder="1"/>
    <xf numFmtId="0" fontId="28" fillId="0" borderId="0" xfId="1" applyFont="1"/>
    <xf numFmtId="3" fontId="17" fillId="0" borderId="9" xfId="1" applyNumberFormat="1" applyFont="1" applyBorder="1"/>
    <xf numFmtId="3" fontId="21" fillId="0" borderId="38" xfId="1" applyNumberFormat="1" applyFont="1" applyBorder="1"/>
    <xf numFmtId="3" fontId="21" fillId="0" borderId="39" xfId="1" applyNumberFormat="1" applyFont="1" applyBorder="1"/>
    <xf numFmtId="3" fontId="21" fillId="0" borderId="41" xfId="1" applyNumberFormat="1" applyFont="1" applyBorder="1"/>
    <xf numFmtId="3" fontId="20" fillId="0" borderId="7" xfId="1" applyNumberFormat="1" applyFont="1" applyFill="1" applyBorder="1"/>
    <xf numFmtId="3" fontId="13" fillId="0" borderId="51" xfId="1" applyNumberFormat="1" applyFont="1" applyBorder="1"/>
    <xf numFmtId="3" fontId="20" fillId="0" borderId="38" xfId="1" applyNumberFormat="1" applyFont="1" applyFill="1" applyBorder="1"/>
    <xf numFmtId="3" fontId="20" fillId="0" borderId="39" xfId="1" applyNumberFormat="1" applyFont="1" applyFill="1" applyBorder="1"/>
    <xf numFmtId="3" fontId="20" fillId="0" borderId="50" xfId="1" applyNumberFormat="1" applyFont="1" applyFill="1" applyBorder="1"/>
    <xf numFmtId="0" fontId="16" fillId="0" borderId="37" xfId="1" applyFont="1" applyBorder="1" applyAlignment="1">
      <alignment horizontal="right"/>
    </xf>
    <xf numFmtId="0" fontId="16" fillId="0" borderId="17" xfId="1" applyFont="1" applyBorder="1" applyAlignment="1">
      <alignment horizontal="right"/>
    </xf>
    <xf numFmtId="3" fontId="16" fillId="0" borderId="52" xfId="1" applyNumberFormat="1" applyFont="1" applyBorder="1"/>
    <xf numFmtId="3" fontId="17" fillId="0" borderId="52" xfId="1" applyNumberFormat="1" applyFont="1" applyBorder="1"/>
    <xf numFmtId="3" fontId="16" fillId="0" borderId="2" xfId="1" applyNumberFormat="1" applyFont="1" applyBorder="1"/>
    <xf numFmtId="3" fontId="2" fillId="0" borderId="0" xfId="1" applyNumberFormat="1" applyFont="1"/>
    <xf numFmtId="0" fontId="23" fillId="0" borderId="37" xfId="1" quotePrefix="1" applyFont="1" applyBorder="1" applyAlignment="1">
      <alignment horizontal="right"/>
    </xf>
    <xf numFmtId="0" fontId="23" fillId="0" borderId="17" xfId="1" quotePrefix="1" applyFont="1" applyBorder="1" applyAlignment="1">
      <alignment horizontal="right"/>
    </xf>
    <xf numFmtId="3" fontId="23" fillId="0" borderId="26" xfId="1" applyNumberFormat="1" applyFont="1" applyBorder="1"/>
    <xf numFmtId="3" fontId="23" fillId="0" borderId="27" xfId="1" applyNumberFormat="1" applyFont="1" applyBorder="1"/>
    <xf numFmtId="3" fontId="16" fillId="0" borderId="0" xfId="1" applyNumberFormat="1" applyFont="1" applyBorder="1"/>
    <xf numFmtId="3" fontId="16" fillId="0" borderId="28" xfId="1" applyNumberFormat="1" applyFont="1" applyBorder="1"/>
    <xf numFmtId="3" fontId="16" fillId="0" borderId="29" xfId="1" applyNumberFormat="1" applyFont="1" applyBorder="1"/>
    <xf numFmtId="3" fontId="16" fillId="0" borderId="33" xfId="1" applyNumberFormat="1" applyFont="1" applyBorder="1"/>
    <xf numFmtId="3" fontId="16" fillId="0" borderId="34" xfId="1" applyNumberFormat="1" applyFont="1" applyBorder="1"/>
    <xf numFmtId="3" fontId="16" fillId="0" borderId="53" xfId="1" applyNumberFormat="1" applyFont="1" applyBorder="1"/>
    <xf numFmtId="3" fontId="16" fillId="0" borderId="35" xfId="1" applyNumberFormat="1" applyFont="1" applyBorder="1"/>
    <xf numFmtId="0" fontId="29" fillId="0" borderId="0" xfId="1" quotePrefix="1" applyFont="1" applyBorder="1"/>
    <xf numFmtId="3" fontId="13" fillId="0" borderId="0" xfId="1" applyNumberFormat="1" applyFont="1" applyBorder="1"/>
    <xf numFmtId="3" fontId="29" fillId="0" borderId="0" xfId="1" applyNumberFormat="1" applyFont="1" applyFill="1" applyBorder="1"/>
    <xf numFmtId="3" fontId="23" fillId="0" borderId="0" xfId="1" applyNumberFormat="1" applyFont="1" applyFill="1" applyBorder="1"/>
    <xf numFmtId="3" fontId="30" fillId="0" borderId="0" xfId="1" applyNumberFormat="1" applyFont="1" applyBorder="1"/>
    <xf numFmtId="3" fontId="29" fillId="0" borderId="0" xfId="1" applyNumberFormat="1" applyFont="1" applyBorder="1"/>
    <xf numFmtId="0" fontId="14" fillId="0" borderId="0" xfId="1" applyFont="1"/>
  </cellXfs>
  <cellStyles count="47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18"/>
    <cellStyle name="Ezres 5" xfId="19"/>
    <cellStyle name="Ezres 5 2" xfId="20"/>
    <cellStyle name="Ezres 5 3" xfId="21"/>
    <cellStyle name="Ezres 6" xfId="22"/>
    <cellStyle name="Ezres 6 2" xfId="23"/>
    <cellStyle name="Ezres 6 3" xfId="24"/>
    <cellStyle name="Ezres 7" xfId="25"/>
    <cellStyle name="Ezres 7 2" xfId="26"/>
    <cellStyle name="Ezres 7 3" xfId="27"/>
    <cellStyle name="hetmál kút" xfId="28"/>
    <cellStyle name="Hiperhivatkozás" xfId="29"/>
    <cellStyle name="Már látott hiperhivatkozás" xfId="30"/>
    <cellStyle name="Normál" xfId="0" builtinId="0"/>
    <cellStyle name="Normál 2" xfId="31"/>
    <cellStyle name="Normál 2 2" xfId="32"/>
    <cellStyle name="Normál 2 3" xfId="33"/>
    <cellStyle name="Normál 3" xfId="34"/>
    <cellStyle name="Normál 3 2" xfId="35"/>
    <cellStyle name="Normál 3 2 2" xfId="36"/>
    <cellStyle name="Normál 4" xfId="37"/>
    <cellStyle name="Normál 4 2" xfId="38"/>
    <cellStyle name="Normál 4 3" xfId="39"/>
    <cellStyle name="Normál 5" xfId="40"/>
    <cellStyle name="Normál 5 2" xfId="41"/>
    <cellStyle name="Normál 5 3" xfId="42"/>
    <cellStyle name="Normál 6" xfId="43"/>
    <cellStyle name="Normál 6 2" xfId="44"/>
    <cellStyle name="Normál 6 3" xfId="45"/>
    <cellStyle name="Normál_Göngyölített 12.13 2 2" xfId="1"/>
    <cellStyle name="Normál_KVRENMUNKA" xfId="2"/>
    <cellStyle name="Százalék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0%20h&#243;/6.%20m&#243;dos&#237;t&#225;s%20ut&#225;n-2020.%20okt&#243;ber%2029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24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X.30.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9">
          <cell r="C9">
            <v>1492762052</v>
          </cell>
        </row>
        <row r="18">
          <cell r="C18">
            <v>226388565</v>
          </cell>
        </row>
        <row r="25">
          <cell r="C25">
            <v>301244816</v>
          </cell>
        </row>
        <row r="32">
          <cell r="C32">
            <v>503000000</v>
          </cell>
        </row>
        <row r="40">
          <cell r="C40">
            <v>49402421</v>
          </cell>
        </row>
        <row r="52">
          <cell r="C52">
            <v>44304508</v>
          </cell>
        </row>
        <row r="58">
          <cell r="C58">
            <v>2209000</v>
          </cell>
        </row>
        <row r="63">
          <cell r="C63">
            <v>6000000</v>
          </cell>
        </row>
        <row r="69">
          <cell r="C69">
            <v>733570614</v>
          </cell>
        </row>
        <row r="78">
          <cell r="C78">
            <v>938305086</v>
          </cell>
        </row>
        <row r="81">
          <cell r="C81">
            <v>45672254</v>
          </cell>
        </row>
        <row r="96">
          <cell r="C96">
            <v>877172372</v>
          </cell>
        </row>
        <row r="114">
          <cell r="C114">
            <v>142139277</v>
          </cell>
        </row>
        <row r="117">
          <cell r="C117">
            <v>1180953767</v>
          </cell>
        </row>
        <row r="132">
          <cell r="C132">
            <v>726038434</v>
          </cell>
        </row>
        <row r="143">
          <cell r="C143">
            <v>45672254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16">
          <cell r="C16">
            <v>1513022489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2">
    <pageSetUpPr fitToPage="1"/>
  </sheetPr>
  <dimension ref="A1:GL69"/>
  <sheetViews>
    <sheetView tabSelected="1" topLeftCell="A4" zoomScaleNormal="100" zoomScaleSheetLayoutView="85" zoomScalePageLayoutView="85" workbookViewId="0">
      <selection activeCell="E32" sqref="E32"/>
    </sheetView>
  </sheetViews>
  <sheetFormatPr defaultColWidth="10.6640625" defaultRowHeight="12.75" x14ac:dyDescent="0.2"/>
  <cols>
    <col min="1" max="1" width="10.6640625" style="2"/>
    <col min="2" max="2" width="42.33203125" style="2" customWidth="1"/>
    <col min="3" max="3" width="13" style="4" bestFit="1" customWidth="1"/>
    <col min="4" max="5" width="11.1640625" style="4" bestFit="1" customWidth="1"/>
    <col min="6" max="7" width="11.83203125" style="4" bestFit="1" customWidth="1"/>
    <col min="8" max="8" width="13.6640625" style="6" bestFit="1" customWidth="1"/>
    <col min="9" max="9" width="1.1640625" style="7" customWidth="1"/>
    <col min="10" max="11" width="12.6640625" style="2" bestFit="1" customWidth="1"/>
    <col min="12" max="12" width="13.33203125" style="2" bestFit="1" customWidth="1"/>
    <col min="13" max="14" width="11.83203125" style="2" bestFit="1" customWidth="1"/>
    <col min="15" max="15" width="15.1640625" style="181" bestFit="1" customWidth="1"/>
    <col min="16" max="16" width="15.1640625" style="2" customWidth="1"/>
    <col min="17" max="16384" width="10.6640625" style="2"/>
  </cols>
  <sheetData>
    <row r="1" spans="1:194" x14ac:dyDescent="0.2">
      <c r="A1" s="1" t="str">
        <f>CONCATENATE("27. melléklet"," ",[1]ALAPADATOK!A7," ",[1]ALAPADATOK!B7," ",[1]ALAPADATOK!C7," ",[1]ALAPADATOK!D7," ",[1]ALAPADATOK!E7," ",[1]ALAPADATOK!F7," ",[1]ALAPADATOK!G7," ",[1]ALAPADATOK!H7)</f>
        <v>27. melléklet a 24 / 2020. ( X.30. ) önkormányzati rendelethez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4" ht="12.75" customHeight="1" x14ac:dyDescent="0.2">
      <c r="B2" s="3"/>
      <c r="F2" s="5"/>
      <c r="J2" s="3"/>
      <c r="K2" s="8" t="s">
        <v>0</v>
      </c>
      <c r="L2" s="8"/>
      <c r="M2" s="8"/>
      <c r="N2" s="8"/>
      <c r="O2" s="8"/>
    </row>
    <row r="3" spans="1:194" ht="17.25" customHeight="1" x14ac:dyDescent="0.3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0"/>
    </row>
    <row r="4" spans="1:194" ht="19.5" x14ac:dyDescent="0.3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0"/>
    </row>
    <row r="5" spans="1:194" ht="0.75" customHeight="1" thickBot="1" x14ac:dyDescent="0.35">
      <c r="B5" s="12"/>
      <c r="C5" s="13"/>
      <c r="D5" s="13"/>
      <c r="E5" s="13"/>
      <c r="F5" s="13"/>
      <c r="G5" s="13"/>
      <c r="H5" s="14"/>
      <c r="I5" s="15"/>
      <c r="J5" s="16"/>
      <c r="K5" s="16"/>
      <c r="L5" s="16"/>
      <c r="M5" s="16"/>
      <c r="N5" s="16"/>
      <c r="O5" s="17" t="s">
        <v>3</v>
      </c>
      <c r="P5" s="10"/>
    </row>
    <row r="6" spans="1:194" ht="15.75" x14ac:dyDescent="0.25">
      <c r="A6" s="18" t="s">
        <v>4</v>
      </c>
      <c r="B6" s="19" t="s">
        <v>5</v>
      </c>
      <c r="C6" s="20" t="s">
        <v>6</v>
      </c>
      <c r="D6" s="21"/>
      <c r="E6" s="21"/>
      <c r="F6" s="21"/>
      <c r="G6" s="21"/>
      <c r="H6" s="22"/>
      <c r="I6" s="23"/>
      <c r="J6" s="20" t="s">
        <v>7</v>
      </c>
      <c r="K6" s="21"/>
      <c r="L6" s="21"/>
      <c r="M6" s="21"/>
      <c r="N6" s="21"/>
      <c r="O6" s="22"/>
      <c r="P6" s="10"/>
    </row>
    <row r="7" spans="1:194" x14ac:dyDescent="0.2">
      <c r="A7" s="24"/>
      <c r="B7" s="25"/>
      <c r="C7" s="26" t="s">
        <v>8</v>
      </c>
      <c r="D7" s="27" t="s">
        <v>9</v>
      </c>
      <c r="E7" s="27" t="s">
        <v>10</v>
      </c>
      <c r="F7" s="27" t="s">
        <v>11</v>
      </c>
      <c r="G7" s="27" t="s">
        <v>12</v>
      </c>
      <c r="H7" s="28" t="s">
        <v>13</v>
      </c>
      <c r="I7" s="29"/>
      <c r="J7" s="26" t="s">
        <v>8</v>
      </c>
      <c r="K7" s="27" t="s">
        <v>9</v>
      </c>
      <c r="L7" s="27" t="s">
        <v>14</v>
      </c>
      <c r="M7" s="27" t="s">
        <v>15</v>
      </c>
      <c r="N7" s="27" t="s">
        <v>16</v>
      </c>
      <c r="O7" s="30" t="s">
        <v>17</v>
      </c>
      <c r="P7" s="10"/>
    </row>
    <row r="8" spans="1:194" ht="13.5" thickBot="1" x14ac:dyDescent="0.25">
      <c r="A8" s="31"/>
      <c r="B8" s="32"/>
      <c r="C8" s="33" t="s">
        <v>18</v>
      </c>
      <c r="D8" s="34" t="s">
        <v>18</v>
      </c>
      <c r="E8" s="34" t="s">
        <v>18</v>
      </c>
      <c r="F8" s="34" t="s">
        <v>19</v>
      </c>
      <c r="G8" s="34"/>
      <c r="H8" s="35" t="s">
        <v>20</v>
      </c>
      <c r="I8" s="36"/>
      <c r="J8" s="33" t="s">
        <v>21</v>
      </c>
      <c r="K8" s="34" t="s">
        <v>22</v>
      </c>
      <c r="L8" s="34" t="s">
        <v>23</v>
      </c>
      <c r="M8" s="34"/>
      <c r="N8" s="34"/>
      <c r="O8" s="37" t="s">
        <v>24</v>
      </c>
      <c r="P8" s="10"/>
    </row>
    <row r="9" spans="1:194" ht="14.25" thickBot="1" x14ac:dyDescent="0.3">
      <c r="A9" s="38" t="s">
        <v>25</v>
      </c>
      <c r="B9" s="39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1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</row>
    <row r="10" spans="1:194" ht="38.25" x14ac:dyDescent="0.2">
      <c r="A10" s="43" t="s">
        <v>26</v>
      </c>
      <c r="B10" s="44" t="s">
        <v>27</v>
      </c>
      <c r="C10" s="45">
        <f>127000</f>
        <v>127000</v>
      </c>
      <c r="D10" s="46"/>
      <c r="E10" s="46"/>
      <c r="F10" s="46"/>
      <c r="G10" s="46"/>
      <c r="H10" s="47">
        <f t="shared" ref="H10:H15" si="0">SUM(C10:G10)</f>
        <v>127000</v>
      </c>
      <c r="I10" s="48"/>
      <c r="J10" s="49">
        <f>31040542-347250-638940</f>
        <v>30054352</v>
      </c>
      <c r="K10" s="50">
        <v>2072640</v>
      </c>
      <c r="L10" s="50"/>
      <c r="M10" s="50"/>
      <c r="N10" s="50"/>
      <c r="O10" s="51">
        <f t="shared" ref="O10:O15" si="1">SUM(J10:N10)</f>
        <v>32126992</v>
      </c>
      <c r="P10" s="10"/>
    </row>
    <row r="11" spans="1:194" x14ac:dyDescent="0.2">
      <c r="A11" s="52" t="s">
        <v>28</v>
      </c>
      <c r="B11" s="53" t="s">
        <v>29</v>
      </c>
      <c r="C11" s="54"/>
      <c r="D11" s="55"/>
      <c r="E11" s="55"/>
      <c r="F11" s="55"/>
      <c r="G11" s="55"/>
      <c r="H11" s="51">
        <f t="shared" si="0"/>
        <v>0</v>
      </c>
      <c r="I11" s="48"/>
      <c r="J11" s="56">
        <v>1000000</v>
      </c>
      <c r="K11" s="55"/>
      <c r="L11" s="55"/>
      <c r="M11" s="55"/>
      <c r="N11" s="55"/>
      <c r="O11" s="51">
        <f t="shared" si="1"/>
        <v>1000000</v>
      </c>
      <c r="P11" s="10"/>
    </row>
    <row r="12" spans="1:194" ht="25.5" x14ac:dyDescent="0.2">
      <c r="A12" s="52" t="s">
        <v>30</v>
      </c>
      <c r="B12" s="53" t="s">
        <v>31</v>
      </c>
      <c r="C12" s="54">
        <f>36271956+565200+152604+956791</f>
        <v>37946551</v>
      </c>
      <c r="D12" s="55">
        <f>44304508</f>
        <v>44304508</v>
      </c>
      <c r="E12" s="55"/>
      <c r="F12" s="55"/>
      <c r="G12" s="55"/>
      <c r="H12" s="57">
        <f t="shared" si="0"/>
        <v>82251059</v>
      </c>
      <c r="I12" s="58"/>
      <c r="J12" s="59">
        <f>30612954+565200+152604+956791+17328417+318946+388095+300000</f>
        <v>50623007</v>
      </c>
      <c r="K12" s="55">
        <f>199637534+594360</f>
        <v>200231894</v>
      </c>
      <c r="L12" s="55"/>
      <c r="M12" s="55"/>
      <c r="N12" s="55"/>
      <c r="O12" s="51">
        <f t="shared" si="1"/>
        <v>250854901</v>
      </c>
      <c r="P12" s="10"/>
    </row>
    <row r="13" spans="1:194" ht="25.5" x14ac:dyDescent="0.2">
      <c r="A13" s="52" t="s">
        <v>32</v>
      </c>
      <c r="B13" s="53" t="s">
        <v>33</v>
      </c>
      <c r="C13" s="54">
        <f>1560000+675000-47244-12756+34000</f>
        <v>2209000</v>
      </c>
      <c r="D13" s="60"/>
      <c r="E13" s="55"/>
      <c r="F13" s="55"/>
      <c r="G13" s="55"/>
      <c r="H13" s="57">
        <f t="shared" si="0"/>
        <v>2209000</v>
      </c>
      <c r="I13" s="61" t="e">
        <f>SUM(#REF!)</f>
        <v>#REF!</v>
      </c>
      <c r="J13" s="56">
        <f>7396164+87795+23705-36461-415012</f>
        <v>7056191</v>
      </c>
      <c r="K13" s="55">
        <v>300000</v>
      </c>
      <c r="L13" s="55"/>
      <c r="M13" s="55"/>
      <c r="N13" s="55"/>
      <c r="O13" s="51">
        <f t="shared" si="1"/>
        <v>7356191</v>
      </c>
      <c r="P13" s="10"/>
    </row>
    <row r="14" spans="1:194" ht="25.5" x14ac:dyDescent="0.2">
      <c r="A14" s="52" t="s">
        <v>34</v>
      </c>
      <c r="B14" s="53" t="s">
        <v>35</v>
      </c>
      <c r="C14" s="54">
        <f>1503038688+33216359+12622000+27629700+45672254-62000-27567700+477000+50111619+4495800</f>
        <v>1649633720</v>
      </c>
      <c r="D14" s="62">
        <f>34511116</f>
        <v>34511116</v>
      </c>
      <c r="E14" s="55"/>
      <c r="F14" s="63"/>
      <c r="G14" s="63"/>
      <c r="H14" s="57">
        <f t="shared" si="0"/>
        <v>1684144836</v>
      </c>
      <c r="I14" s="48"/>
      <c r="J14" s="56">
        <f>45672254+792176+18509+3737</f>
        <v>46486676</v>
      </c>
      <c r="K14" s="62"/>
      <c r="L14" s="63"/>
      <c r="M14" s="63"/>
      <c r="N14" s="63"/>
      <c r="O14" s="51">
        <f t="shared" si="1"/>
        <v>46486676</v>
      </c>
      <c r="P14" s="10"/>
    </row>
    <row r="15" spans="1:194" ht="13.5" thickBot="1" x14ac:dyDescent="0.25">
      <c r="A15" s="64" t="s">
        <v>36</v>
      </c>
      <c r="B15" s="65" t="s">
        <v>37</v>
      </c>
      <c r="C15" s="66"/>
      <c r="D15" s="67"/>
      <c r="E15" s="68"/>
      <c r="F15" s="68"/>
      <c r="G15" s="68">
        <f>933393998+8179828-3268740</f>
        <v>938305086</v>
      </c>
      <c r="H15" s="69">
        <f t="shared" si="0"/>
        <v>938305086</v>
      </c>
      <c r="I15" s="48"/>
      <c r="J15" s="70">
        <v>526000</v>
      </c>
      <c r="K15" s="71"/>
      <c r="L15" s="72">
        <v>1513022489</v>
      </c>
      <c r="M15" s="71"/>
      <c r="N15" s="71"/>
      <c r="O15" s="51">
        <f t="shared" si="1"/>
        <v>1513548489</v>
      </c>
      <c r="P15" s="10"/>
    </row>
    <row r="16" spans="1:194" ht="14.25" thickBot="1" x14ac:dyDescent="0.3">
      <c r="A16" s="73" t="s">
        <v>38</v>
      </c>
      <c r="B16" s="74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1"/>
      <c r="P16" s="10"/>
    </row>
    <row r="17" spans="1:16" s="10" customFormat="1" ht="26.25" thickBot="1" x14ac:dyDescent="0.25">
      <c r="A17" s="75" t="s">
        <v>39</v>
      </c>
      <c r="B17" s="76" t="s">
        <v>40</v>
      </c>
      <c r="C17" s="77"/>
      <c r="D17" s="78"/>
      <c r="E17" s="78"/>
      <c r="F17" s="78"/>
      <c r="G17" s="78"/>
      <c r="H17" s="79">
        <f>SUM(C17:G17)</f>
        <v>0</v>
      </c>
      <c r="I17" s="80"/>
      <c r="J17" s="81">
        <f>2000</f>
        <v>2000</v>
      </c>
      <c r="K17" s="78"/>
      <c r="L17" s="78"/>
      <c r="M17" s="78"/>
      <c r="N17" s="78"/>
      <c r="O17" s="51">
        <f>SUM(J17:N17)</f>
        <v>2000</v>
      </c>
    </row>
    <row r="18" spans="1:16" s="10" customFormat="1" ht="14.25" thickBot="1" x14ac:dyDescent="0.3">
      <c r="A18" s="82" t="s">
        <v>41</v>
      </c>
      <c r="B18" s="83" t="s">
        <v>41</v>
      </c>
      <c r="C18" s="39" t="s">
        <v>41</v>
      </c>
      <c r="D18" s="39" t="s">
        <v>41</v>
      </c>
      <c r="E18" s="39" t="s">
        <v>41</v>
      </c>
      <c r="F18" s="39" t="s">
        <v>41</v>
      </c>
      <c r="G18" s="39" t="s">
        <v>41</v>
      </c>
      <c r="H18" s="39" t="s">
        <v>41</v>
      </c>
      <c r="I18" s="40" t="s">
        <v>41</v>
      </c>
      <c r="J18" s="39" t="s">
        <v>41</v>
      </c>
      <c r="K18" s="39" t="s">
        <v>41</v>
      </c>
      <c r="L18" s="39" t="s">
        <v>41</v>
      </c>
      <c r="M18" s="39" t="s">
        <v>41</v>
      </c>
      <c r="N18" s="39" t="s">
        <v>41</v>
      </c>
      <c r="O18" s="84" t="s">
        <v>41</v>
      </c>
    </row>
    <row r="19" spans="1:16" s="10" customFormat="1" x14ac:dyDescent="0.2">
      <c r="A19" s="85" t="s">
        <v>42</v>
      </c>
      <c r="B19" s="86" t="s">
        <v>43</v>
      </c>
      <c r="C19" s="45"/>
      <c r="D19" s="46"/>
      <c r="E19" s="46"/>
      <c r="F19" s="46"/>
      <c r="G19" s="46"/>
      <c r="H19" s="47">
        <f t="shared" ref="H19:H25" si="2">SUM(C19:G19)</f>
        <v>0</v>
      </c>
      <c r="I19" s="87"/>
      <c r="J19" s="88">
        <v>46431577</v>
      </c>
      <c r="K19" s="46">
        <v>10000000</v>
      </c>
      <c r="L19" s="46"/>
      <c r="M19" s="46"/>
      <c r="N19" s="46"/>
      <c r="O19" s="47">
        <f t="shared" ref="O19:O25" si="3">SUM(J19:N19)</f>
        <v>56431577</v>
      </c>
    </row>
    <row r="20" spans="1:16" s="10" customFormat="1" ht="25.5" x14ac:dyDescent="0.2">
      <c r="A20" s="89" t="s">
        <v>44</v>
      </c>
      <c r="B20" s="90" t="s">
        <v>45</v>
      </c>
      <c r="C20" s="54">
        <v>3150000</v>
      </c>
      <c r="D20" s="55"/>
      <c r="E20" s="55"/>
      <c r="F20" s="55"/>
      <c r="G20" s="55"/>
      <c r="H20" s="57">
        <f t="shared" si="2"/>
        <v>3150000</v>
      </c>
      <c r="I20" s="87"/>
      <c r="J20" s="56">
        <f>2528061</f>
        <v>2528061</v>
      </c>
      <c r="K20" s="55"/>
      <c r="L20" s="55"/>
      <c r="M20" s="55"/>
      <c r="N20" s="55"/>
      <c r="O20" s="57">
        <f t="shared" si="3"/>
        <v>2528061</v>
      </c>
    </row>
    <row r="21" spans="1:16" s="10" customFormat="1" x14ac:dyDescent="0.2">
      <c r="A21" s="89" t="s">
        <v>46</v>
      </c>
      <c r="B21" s="90" t="s">
        <v>47</v>
      </c>
      <c r="C21" s="54"/>
      <c r="D21" s="55"/>
      <c r="E21" s="55"/>
      <c r="F21" s="55"/>
      <c r="G21" s="55"/>
      <c r="H21" s="57">
        <f t="shared" si="2"/>
        <v>0</v>
      </c>
      <c r="I21" s="87"/>
      <c r="J21" s="56">
        <f>6840212-649147-3071183</f>
        <v>3119882</v>
      </c>
      <c r="K21" s="55">
        <f>30209788-2000000+109147-13000000-438817</f>
        <v>14880118</v>
      </c>
      <c r="L21" s="55"/>
      <c r="M21" s="55"/>
      <c r="N21" s="55"/>
      <c r="O21" s="57">
        <f t="shared" si="3"/>
        <v>18000000</v>
      </c>
    </row>
    <row r="22" spans="1:16" s="10" customFormat="1" ht="25.5" x14ac:dyDescent="0.2">
      <c r="A22" s="89" t="s">
        <v>48</v>
      </c>
      <c r="B22" s="90" t="s">
        <v>49</v>
      </c>
      <c r="C22" s="54"/>
      <c r="D22" s="55"/>
      <c r="E22" s="55"/>
      <c r="F22" s="55"/>
      <c r="G22" s="55"/>
      <c r="H22" s="57">
        <f t="shared" si="2"/>
        <v>0</v>
      </c>
      <c r="I22" s="87"/>
      <c r="J22" s="56">
        <f>402897+6604733</f>
        <v>7007630</v>
      </c>
      <c r="K22" s="62">
        <f>92092353+2000000+36403922+9610899</f>
        <v>140107174</v>
      </c>
      <c r="L22" s="55"/>
      <c r="M22" s="55"/>
      <c r="N22" s="55"/>
      <c r="O22" s="57">
        <f t="shared" si="3"/>
        <v>147114804</v>
      </c>
    </row>
    <row r="23" spans="1:16" s="10" customFormat="1" ht="25.5" x14ac:dyDescent="0.2">
      <c r="A23" s="91" t="s">
        <v>50</v>
      </c>
      <c r="B23" s="92" t="s">
        <v>51</v>
      </c>
      <c r="C23" s="93"/>
      <c r="D23" s="55">
        <v>6000000</v>
      </c>
      <c r="E23" s="94"/>
      <c r="F23" s="94"/>
      <c r="G23" s="62"/>
      <c r="H23" s="57">
        <f>SUM(C23:G23)</f>
        <v>6000000</v>
      </c>
      <c r="I23" s="95"/>
      <c r="J23" s="59"/>
      <c r="K23" s="55">
        <v>6000000</v>
      </c>
      <c r="L23" s="62"/>
      <c r="M23" s="62"/>
      <c r="N23" s="62"/>
      <c r="O23" s="57">
        <f t="shared" si="3"/>
        <v>6000000</v>
      </c>
    </row>
    <row r="24" spans="1:16" s="10" customFormat="1" ht="25.5" x14ac:dyDescent="0.2">
      <c r="A24" s="89" t="s">
        <v>52</v>
      </c>
      <c r="B24" s="90" t="s">
        <v>53</v>
      </c>
      <c r="C24" s="54"/>
      <c r="D24" s="55"/>
      <c r="E24" s="55"/>
      <c r="F24" s="55"/>
      <c r="G24" s="55"/>
      <c r="H24" s="57">
        <f t="shared" si="2"/>
        <v>0</v>
      </c>
      <c r="I24" s="87"/>
      <c r="J24" s="56">
        <f>3163512+488</f>
        <v>3164000</v>
      </c>
      <c r="K24" s="55">
        <f>5016896+233091-59267</f>
        <v>5190720</v>
      </c>
      <c r="L24" s="55"/>
      <c r="M24" s="55"/>
      <c r="N24" s="55"/>
      <c r="O24" s="57">
        <f t="shared" si="3"/>
        <v>8354720</v>
      </c>
    </row>
    <row r="25" spans="1:16" s="10" customFormat="1" ht="26.25" thickBot="1" x14ac:dyDescent="0.25">
      <c r="A25" s="96" t="s">
        <v>54</v>
      </c>
      <c r="B25" s="97" t="s">
        <v>55</v>
      </c>
      <c r="C25" s="66"/>
      <c r="D25" s="68"/>
      <c r="E25" s="68"/>
      <c r="F25" s="68"/>
      <c r="G25" s="68"/>
      <c r="H25" s="69">
        <f t="shared" si="2"/>
        <v>0</v>
      </c>
      <c r="I25" s="87"/>
      <c r="J25" s="98">
        <v>723900</v>
      </c>
      <c r="K25" s="68">
        <v>1016000</v>
      </c>
      <c r="L25" s="68"/>
      <c r="M25" s="68"/>
      <c r="N25" s="68"/>
      <c r="O25" s="69">
        <f t="shared" si="3"/>
        <v>1739900</v>
      </c>
    </row>
    <row r="26" spans="1:16" ht="14.25" thickBot="1" x14ac:dyDescent="0.3">
      <c r="A26" s="82" t="s">
        <v>56</v>
      </c>
      <c r="B26" s="83"/>
      <c r="C26" s="83"/>
      <c r="D26" s="83"/>
      <c r="E26" s="83"/>
      <c r="F26" s="83"/>
      <c r="G26" s="83"/>
      <c r="H26" s="83"/>
      <c r="I26" s="40"/>
      <c r="J26" s="83"/>
      <c r="K26" s="83"/>
      <c r="L26" s="83"/>
      <c r="M26" s="83"/>
      <c r="N26" s="83"/>
      <c r="O26" s="99"/>
      <c r="P26" s="10"/>
    </row>
    <row r="27" spans="1:16" ht="25.5" x14ac:dyDescent="0.2">
      <c r="A27" s="100" t="s">
        <v>57</v>
      </c>
      <c r="B27" s="101" t="s">
        <v>58</v>
      </c>
      <c r="C27" s="46">
        <v>507601</v>
      </c>
      <c r="D27" s="102"/>
      <c r="E27" s="102"/>
      <c r="F27" s="102"/>
      <c r="G27" s="102"/>
      <c r="H27" s="47">
        <f>SUM(C27:G27)</f>
        <v>507601</v>
      </c>
      <c r="I27" s="103"/>
      <c r="J27" s="88">
        <v>15896113</v>
      </c>
      <c r="K27" s="102"/>
      <c r="L27" s="102"/>
      <c r="M27" s="102"/>
      <c r="N27" s="102"/>
      <c r="O27" s="47">
        <f>SUM(J27:N27)</f>
        <v>15896113</v>
      </c>
      <c r="P27" s="10"/>
    </row>
    <row r="28" spans="1:16" ht="25.5" x14ac:dyDescent="0.2">
      <c r="A28" s="104" t="s">
        <v>59</v>
      </c>
      <c r="B28" s="105" t="s">
        <v>60</v>
      </c>
      <c r="C28" s="55"/>
      <c r="D28" s="55"/>
      <c r="E28" s="55"/>
      <c r="F28" s="55"/>
      <c r="G28" s="55"/>
      <c r="H28" s="57">
        <f>SUM(C28:G28)</f>
        <v>0</v>
      </c>
      <c r="I28" s="106"/>
      <c r="J28" s="107">
        <v>835000</v>
      </c>
      <c r="K28" s="63"/>
      <c r="L28" s="63"/>
      <c r="M28" s="63"/>
      <c r="N28" s="63"/>
      <c r="O28" s="57">
        <f>SUM(J28:N28)</f>
        <v>835000</v>
      </c>
      <c r="P28" s="10"/>
    </row>
    <row r="29" spans="1:16" ht="25.5" x14ac:dyDescent="0.2">
      <c r="A29" s="104" t="s">
        <v>61</v>
      </c>
      <c r="B29" s="105" t="s">
        <v>62</v>
      </c>
      <c r="C29" s="55">
        <f>900000</f>
        <v>900000</v>
      </c>
      <c r="D29" s="63"/>
      <c r="E29" s="62"/>
      <c r="F29" s="63"/>
      <c r="G29" s="63"/>
      <c r="H29" s="57">
        <f>SUM(C29:G29)</f>
        <v>900000</v>
      </c>
      <c r="I29" s="106"/>
      <c r="J29" s="108"/>
      <c r="K29" s="55">
        <v>359410</v>
      </c>
      <c r="L29" s="63"/>
      <c r="M29" s="63"/>
      <c r="N29" s="63"/>
      <c r="O29" s="57">
        <f>SUM(J29:N29)</f>
        <v>359410</v>
      </c>
      <c r="P29" s="10"/>
    </row>
    <row r="30" spans="1:16" ht="26.25" thickBot="1" x14ac:dyDescent="0.25">
      <c r="A30" s="109" t="s">
        <v>63</v>
      </c>
      <c r="B30" s="110" t="s">
        <v>64</v>
      </c>
      <c r="C30" s="68">
        <v>16392698</v>
      </c>
      <c r="D30" s="111">
        <v>2634996</v>
      </c>
      <c r="E30" s="112"/>
      <c r="F30" s="111"/>
      <c r="G30" s="111"/>
      <c r="H30" s="57">
        <f>SUM(C30:G30)</f>
        <v>19027694</v>
      </c>
      <c r="I30" s="113"/>
      <c r="J30" s="114">
        <v>16392698</v>
      </c>
      <c r="K30" s="68">
        <v>2634996</v>
      </c>
      <c r="L30" s="111"/>
      <c r="M30" s="111"/>
      <c r="N30" s="111"/>
      <c r="O30" s="57">
        <f>SUM(J30:N30)</f>
        <v>19027694</v>
      </c>
      <c r="P30" s="10"/>
    </row>
    <row r="31" spans="1:16" ht="14.25" thickBot="1" x14ac:dyDescent="0.3">
      <c r="A31" s="115" t="s">
        <v>65</v>
      </c>
      <c r="B31" s="116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8"/>
      <c r="P31" s="10"/>
    </row>
    <row r="32" spans="1:16" ht="25.5" x14ac:dyDescent="0.2">
      <c r="A32" s="100" t="s">
        <v>66</v>
      </c>
      <c r="B32" s="119" t="s">
        <v>67</v>
      </c>
      <c r="C32" s="88">
        <f>36497760+243600-13262610</f>
        <v>23478750</v>
      </c>
      <c r="D32" s="46">
        <f>24124550-2533650</f>
        <v>21590900</v>
      </c>
      <c r="E32" s="45"/>
      <c r="F32" s="46"/>
      <c r="G32" s="46"/>
      <c r="H32" s="47">
        <f>SUM(C32:G32)</f>
        <v>45069650</v>
      </c>
      <c r="I32" s="106"/>
      <c r="J32" s="120">
        <f>64017704+780000+243600-780000-4704803-1270297-2465446-4957064+135000+287250+125850-413100+11255853</f>
        <v>62254547</v>
      </c>
      <c r="K32" s="121">
        <f>505446492+780000-780000-1995000-538650+771575-11646428</f>
        <v>492037989</v>
      </c>
      <c r="L32" s="46"/>
      <c r="M32" s="46"/>
      <c r="N32" s="46"/>
      <c r="O32" s="47">
        <f>SUM(J32:N32)</f>
        <v>554292536</v>
      </c>
      <c r="P32" s="10"/>
    </row>
    <row r="33" spans="1:16" x14ac:dyDescent="0.2">
      <c r="A33" s="104" t="s">
        <v>68</v>
      </c>
      <c r="B33" s="122" t="s">
        <v>69</v>
      </c>
      <c r="C33" s="49"/>
      <c r="D33" s="50"/>
      <c r="E33" s="123"/>
      <c r="F33" s="50"/>
      <c r="G33" s="50"/>
      <c r="H33" s="51">
        <f>SUM(C33:G33)</f>
        <v>0</v>
      </c>
      <c r="I33" s="106"/>
      <c r="J33" s="49">
        <f>27408638+101600</f>
        <v>27510238</v>
      </c>
      <c r="K33" s="50">
        <v>381000</v>
      </c>
      <c r="L33" s="50"/>
      <c r="M33" s="50"/>
      <c r="N33" s="50"/>
      <c r="O33" s="51">
        <f>SUM(J33:N33)</f>
        <v>27891238</v>
      </c>
      <c r="P33" s="10"/>
    </row>
    <row r="34" spans="1:16" x14ac:dyDescent="0.2">
      <c r="A34" s="104" t="s">
        <v>70</v>
      </c>
      <c r="B34" s="122" t="s">
        <v>71</v>
      </c>
      <c r="C34" s="124"/>
      <c r="D34" s="55"/>
      <c r="E34" s="55"/>
      <c r="F34" s="55"/>
      <c r="G34" s="55"/>
      <c r="H34" s="57">
        <f>SUM(C34:G34)</f>
        <v>0</v>
      </c>
      <c r="I34" s="106"/>
      <c r="J34" s="56">
        <f>190500+15489215</f>
        <v>15679715</v>
      </c>
      <c r="K34" s="55">
        <v>1000000</v>
      </c>
      <c r="L34" s="55"/>
      <c r="M34" s="55"/>
      <c r="N34" s="55"/>
      <c r="O34" s="51">
        <f>SUM(J34:N34)</f>
        <v>16679715</v>
      </c>
      <c r="P34" s="10"/>
    </row>
    <row r="35" spans="1:16" ht="26.25" thickBot="1" x14ac:dyDescent="0.25">
      <c r="A35" s="109" t="s">
        <v>72</v>
      </c>
      <c r="B35" s="125" t="s">
        <v>73</v>
      </c>
      <c r="C35" s="98">
        <f>6393254+1350000+200000+3626117</f>
        <v>11569371</v>
      </c>
      <c r="D35" s="68"/>
      <c r="E35" s="68">
        <v>8000000</v>
      </c>
      <c r="F35" s="68"/>
      <c r="G35" s="68"/>
      <c r="H35" s="69">
        <f>SUM(C35:G35)</f>
        <v>19569371</v>
      </c>
      <c r="I35" s="126"/>
      <c r="J35" s="98">
        <f>49736618+22713471+386400+67620+3626117+208000+36088-520000-236220-63780-360000-97200+5376+216</f>
        <v>75502706</v>
      </c>
      <c r="K35" s="68">
        <f>40233999+400000</f>
        <v>40633999</v>
      </c>
      <c r="L35" s="68"/>
      <c r="M35" s="68"/>
      <c r="N35" s="68"/>
      <c r="O35" s="127">
        <f>SUM(J35:N35)</f>
        <v>116136705</v>
      </c>
      <c r="P35" s="10"/>
    </row>
    <row r="36" spans="1:16" ht="15.75" thickBot="1" x14ac:dyDescent="0.3">
      <c r="A36" s="128" t="s">
        <v>74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30"/>
      <c r="P36" s="10"/>
    </row>
    <row r="37" spans="1:16" x14ac:dyDescent="0.2">
      <c r="A37" s="131" t="s">
        <v>75</v>
      </c>
      <c r="B37" s="132" t="s">
        <v>76</v>
      </c>
      <c r="C37" s="45">
        <v>2768669</v>
      </c>
      <c r="D37" s="133"/>
      <c r="E37" s="133"/>
      <c r="F37" s="133"/>
      <c r="G37" s="133"/>
      <c r="H37" s="47">
        <f t="shared" ref="H37:H43" si="4">SUM(C37:G37)</f>
        <v>2768669</v>
      </c>
      <c r="I37" s="134"/>
      <c r="J37" s="135">
        <f>2768669+36420206+520000+236220+63780+80000</f>
        <v>40088875</v>
      </c>
      <c r="K37" s="46">
        <f>3149606+850394-2400000</f>
        <v>1600000</v>
      </c>
      <c r="L37" s="121"/>
      <c r="M37" s="121"/>
      <c r="N37" s="121"/>
      <c r="O37" s="47">
        <f t="shared" ref="O37:O43" si="5">SUM(J37:N37)</f>
        <v>41688875</v>
      </c>
      <c r="P37" s="10"/>
    </row>
    <row r="38" spans="1:16" x14ac:dyDescent="0.2">
      <c r="A38" s="136" t="s">
        <v>77</v>
      </c>
      <c r="B38" s="137" t="s">
        <v>78</v>
      </c>
      <c r="C38" s="54"/>
      <c r="D38" s="54">
        <v>5200000</v>
      </c>
      <c r="E38" s="54"/>
      <c r="F38" s="54"/>
      <c r="G38" s="54"/>
      <c r="H38" s="57">
        <f>SUM(C38:G38)</f>
        <v>5200000</v>
      </c>
      <c r="I38" s="138"/>
      <c r="J38" s="139">
        <v>45600000</v>
      </c>
      <c r="K38" s="55">
        <v>5200000</v>
      </c>
      <c r="L38" s="55"/>
      <c r="M38" s="55"/>
      <c r="N38" s="55"/>
      <c r="O38" s="51">
        <f>SUM(J38:N38)</f>
        <v>50800000</v>
      </c>
      <c r="P38" s="10"/>
    </row>
    <row r="39" spans="1:16" x14ac:dyDescent="0.2">
      <c r="A39" s="136" t="s">
        <v>79</v>
      </c>
      <c r="B39" s="137" t="s">
        <v>80</v>
      </c>
      <c r="C39" s="54"/>
      <c r="D39" s="55"/>
      <c r="E39" s="55"/>
      <c r="F39" s="55"/>
      <c r="G39" s="55"/>
      <c r="H39" s="57">
        <f t="shared" si="4"/>
        <v>0</v>
      </c>
      <c r="I39" s="106"/>
      <c r="J39" s="56">
        <v>3600000</v>
      </c>
      <c r="K39" s="55"/>
      <c r="L39" s="55"/>
      <c r="M39" s="55"/>
      <c r="N39" s="55"/>
      <c r="O39" s="51">
        <f t="shared" si="5"/>
        <v>3600000</v>
      </c>
      <c r="P39" s="10"/>
    </row>
    <row r="40" spans="1:16" x14ac:dyDescent="0.2">
      <c r="A40" s="136" t="s">
        <v>81</v>
      </c>
      <c r="B40" s="137" t="s">
        <v>82</v>
      </c>
      <c r="C40" s="54"/>
      <c r="D40" s="55"/>
      <c r="E40" s="55"/>
      <c r="F40" s="55"/>
      <c r="G40" s="55"/>
      <c r="H40" s="57">
        <f>SUM(C40:G40)</f>
        <v>0</v>
      </c>
      <c r="I40" s="140"/>
      <c r="J40" s="56">
        <v>18000000</v>
      </c>
      <c r="K40" s="55"/>
      <c r="L40" s="55"/>
      <c r="M40" s="55"/>
      <c r="N40" s="55"/>
      <c r="O40" s="51">
        <f>SUM(J40:N40)</f>
        <v>18000000</v>
      </c>
      <c r="P40" s="10"/>
    </row>
    <row r="41" spans="1:16" ht="25.5" x14ac:dyDescent="0.2">
      <c r="A41" s="136" t="s">
        <v>83</v>
      </c>
      <c r="B41" s="137" t="s">
        <v>84</v>
      </c>
      <c r="C41" s="54"/>
      <c r="D41" s="55"/>
      <c r="E41" s="55"/>
      <c r="F41" s="55"/>
      <c r="G41" s="55"/>
      <c r="H41" s="57">
        <f t="shared" si="4"/>
        <v>0</v>
      </c>
      <c r="I41" s="140"/>
      <c r="J41" s="56"/>
      <c r="K41" s="55"/>
      <c r="L41" s="55"/>
      <c r="M41" s="55"/>
      <c r="N41" s="55"/>
      <c r="O41" s="51">
        <f t="shared" si="5"/>
        <v>0</v>
      </c>
      <c r="P41" s="10"/>
    </row>
    <row r="42" spans="1:16" x14ac:dyDescent="0.2">
      <c r="A42" s="136" t="s">
        <v>85</v>
      </c>
      <c r="B42" s="137" t="s">
        <v>86</v>
      </c>
      <c r="C42" s="54"/>
      <c r="D42" s="62"/>
      <c r="E42" s="62"/>
      <c r="F42" s="62"/>
      <c r="G42" s="62"/>
      <c r="H42" s="57">
        <f>SUM(C42:G42)</f>
        <v>0</v>
      </c>
      <c r="I42" s="141"/>
      <c r="J42" s="56">
        <f>4700000+1269000</f>
        <v>5969000</v>
      </c>
      <c r="K42" s="55">
        <f>100000+27000</f>
        <v>127000</v>
      </c>
      <c r="L42" s="62"/>
      <c r="M42" s="62"/>
      <c r="N42" s="62"/>
      <c r="O42" s="51">
        <f>SUM(J42:N42)</f>
        <v>6096000</v>
      </c>
      <c r="P42" s="10"/>
    </row>
    <row r="43" spans="1:16" ht="26.25" thickBot="1" x14ac:dyDescent="0.25">
      <c r="A43" s="142" t="s">
        <v>87</v>
      </c>
      <c r="B43" s="65" t="s">
        <v>88</v>
      </c>
      <c r="C43" s="66">
        <f>94488+25512</f>
        <v>120000</v>
      </c>
      <c r="D43" s="68"/>
      <c r="E43" s="68"/>
      <c r="F43" s="68"/>
      <c r="G43" s="68"/>
      <c r="H43" s="69">
        <f t="shared" si="4"/>
        <v>120000</v>
      </c>
      <c r="I43" s="113"/>
      <c r="J43" s="98">
        <v>325512</v>
      </c>
      <c r="K43" s="68">
        <v>94488</v>
      </c>
      <c r="L43" s="68"/>
      <c r="M43" s="68"/>
      <c r="N43" s="68"/>
      <c r="O43" s="127">
        <f t="shared" si="5"/>
        <v>420000</v>
      </c>
      <c r="P43" s="10"/>
    </row>
    <row r="44" spans="1:16" ht="14.25" thickBot="1" x14ac:dyDescent="0.3">
      <c r="A44" s="82" t="s">
        <v>89</v>
      </c>
      <c r="B44" s="83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1"/>
      <c r="P44" s="10"/>
    </row>
    <row r="45" spans="1:16" x14ac:dyDescent="0.2">
      <c r="A45" s="143" t="s">
        <v>90</v>
      </c>
      <c r="B45" s="44" t="s">
        <v>91</v>
      </c>
      <c r="C45" s="77">
        <f>635000</f>
        <v>635000</v>
      </c>
      <c r="D45" s="78"/>
      <c r="E45" s="78"/>
      <c r="F45" s="78"/>
      <c r="G45" s="78"/>
      <c r="H45" s="51">
        <f>SUM(C45:G45)</f>
        <v>635000</v>
      </c>
      <c r="I45" s="106"/>
      <c r="J45" s="81">
        <f>6601335+60674</f>
        <v>6662009</v>
      </c>
      <c r="K45" s="78"/>
      <c r="L45" s="78"/>
      <c r="M45" s="78"/>
      <c r="N45" s="78"/>
      <c r="O45" s="51">
        <f>SUM(J45:N45)</f>
        <v>6662009</v>
      </c>
      <c r="P45" s="10"/>
    </row>
    <row r="46" spans="1:16" s="148" customFormat="1" x14ac:dyDescent="0.2">
      <c r="A46" s="144" t="s">
        <v>92</v>
      </c>
      <c r="B46" s="53" t="s">
        <v>93</v>
      </c>
      <c r="C46" s="145">
        <f>400000</f>
        <v>400000</v>
      </c>
      <c r="D46" s="146"/>
      <c r="E46" s="146"/>
      <c r="F46" s="146"/>
      <c r="G46" s="146"/>
      <c r="H46" s="57">
        <f>SUM(C46:G46)</f>
        <v>400000</v>
      </c>
      <c r="I46" s="147"/>
      <c r="J46" s="70">
        <f>407200+34558462+1620969+347250+638940</f>
        <v>37572821</v>
      </c>
      <c r="K46" s="71">
        <f>7901899-1023179</f>
        <v>6878720</v>
      </c>
      <c r="L46" s="71"/>
      <c r="M46" s="71"/>
      <c r="N46" s="71"/>
      <c r="O46" s="51">
        <f>SUM(J46:N46)</f>
        <v>44451541</v>
      </c>
    </row>
    <row r="47" spans="1:16" s="148" customFormat="1" ht="39" thickBot="1" x14ac:dyDescent="0.25">
      <c r="A47" s="142" t="s">
        <v>94</v>
      </c>
      <c r="B47" s="65" t="s">
        <v>95</v>
      </c>
      <c r="C47" s="145">
        <v>62436432</v>
      </c>
      <c r="D47" s="71">
        <v>10218088</v>
      </c>
      <c r="E47" s="146"/>
      <c r="F47" s="146"/>
      <c r="G47" s="146"/>
      <c r="H47" s="149">
        <f>SUM(C47:G47)</f>
        <v>72654520</v>
      </c>
      <c r="I47" s="147"/>
      <c r="J47" s="70">
        <f>9234401+65012000</f>
        <v>74246401</v>
      </c>
      <c r="K47" s="71">
        <f>17650043+1000000+1524000</f>
        <v>20174043</v>
      </c>
      <c r="L47" s="71"/>
      <c r="M47" s="71"/>
      <c r="N47" s="71"/>
      <c r="O47" s="51">
        <f>SUM(J47:N47)</f>
        <v>94420444</v>
      </c>
    </row>
    <row r="48" spans="1:16" s="148" customFormat="1" ht="14.25" thickBot="1" x14ac:dyDescent="0.3">
      <c r="A48" s="82" t="s">
        <v>96</v>
      </c>
      <c r="B48" s="83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1"/>
    </row>
    <row r="49" spans="1:16" s="148" customFormat="1" ht="13.5" thickBot="1" x14ac:dyDescent="0.25">
      <c r="A49" s="143" t="s">
        <v>97</v>
      </c>
      <c r="B49" s="44" t="s">
        <v>98</v>
      </c>
      <c r="C49" s="150">
        <v>3105500</v>
      </c>
      <c r="D49" s="151">
        <v>227089716</v>
      </c>
      <c r="E49" s="78"/>
      <c r="F49" s="78"/>
      <c r="G49" s="78"/>
      <c r="H49" s="51">
        <f>SUM(C49:G49)</f>
        <v>230195216</v>
      </c>
      <c r="I49" s="106"/>
      <c r="J49" s="152">
        <f>457200+2286000+375000</f>
        <v>3118200</v>
      </c>
      <c r="K49" s="151">
        <f>7990000+2157300+170901800+46040616</f>
        <v>227089716</v>
      </c>
      <c r="L49" s="78"/>
      <c r="M49" s="78"/>
      <c r="N49" s="78"/>
      <c r="O49" s="51">
        <f>SUM(J49:N49)</f>
        <v>230207916</v>
      </c>
    </row>
    <row r="50" spans="1:16" ht="14.25" thickBot="1" x14ac:dyDescent="0.3">
      <c r="A50" s="82" t="s">
        <v>99</v>
      </c>
      <c r="B50" s="83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1"/>
      <c r="P50" s="10"/>
    </row>
    <row r="51" spans="1:16" x14ac:dyDescent="0.2">
      <c r="A51" s="143" t="s">
        <v>100</v>
      </c>
      <c r="B51" s="44" t="s">
        <v>101</v>
      </c>
      <c r="C51" s="77"/>
      <c r="D51" s="78"/>
      <c r="E51" s="78"/>
      <c r="F51" s="78"/>
      <c r="G51" s="78"/>
      <c r="H51" s="51">
        <f t="shared" ref="H51:H56" si="6">SUM(C51:G51)</f>
        <v>0</v>
      </c>
      <c r="I51" s="106"/>
      <c r="J51" s="81">
        <v>300000</v>
      </c>
      <c r="K51" s="78"/>
      <c r="L51" s="78"/>
      <c r="M51" s="78"/>
      <c r="N51" s="78"/>
      <c r="O51" s="51">
        <f t="shared" ref="O51:O56" si="7">SUM(J51:N51)</f>
        <v>300000</v>
      </c>
      <c r="P51" s="10"/>
    </row>
    <row r="52" spans="1:16" x14ac:dyDescent="0.2">
      <c r="A52" s="144" t="s">
        <v>102</v>
      </c>
      <c r="B52" s="53" t="s">
        <v>103</v>
      </c>
      <c r="C52" s="145"/>
      <c r="D52" s="71"/>
      <c r="E52" s="71"/>
      <c r="F52" s="71"/>
      <c r="G52" s="71"/>
      <c r="H52" s="57">
        <f t="shared" si="6"/>
        <v>0</v>
      </c>
      <c r="I52" s="106"/>
      <c r="J52" s="70">
        <v>54468561</v>
      </c>
      <c r="K52" s="71"/>
      <c r="L52" s="71"/>
      <c r="M52" s="71"/>
      <c r="N52" s="71"/>
      <c r="O52" s="51">
        <f t="shared" si="7"/>
        <v>54468561</v>
      </c>
      <c r="P52" s="10"/>
    </row>
    <row r="53" spans="1:16" x14ac:dyDescent="0.2">
      <c r="A53" s="144" t="s">
        <v>104</v>
      </c>
      <c r="B53" s="53" t="s">
        <v>105</v>
      </c>
      <c r="C53" s="145"/>
      <c r="D53" s="71"/>
      <c r="E53" s="71"/>
      <c r="F53" s="71"/>
      <c r="G53" s="71"/>
      <c r="H53" s="57">
        <f t="shared" si="6"/>
        <v>0</v>
      </c>
      <c r="I53" s="106"/>
      <c r="J53" s="153">
        <v>270951</v>
      </c>
      <c r="K53" s="71">
        <v>403860</v>
      </c>
      <c r="L53" s="71"/>
      <c r="M53" s="71"/>
      <c r="N53" s="71"/>
      <c r="O53" s="51">
        <f t="shared" si="7"/>
        <v>674811</v>
      </c>
      <c r="P53" s="10"/>
    </row>
    <row r="54" spans="1:16" ht="25.5" x14ac:dyDescent="0.2">
      <c r="A54" s="144" t="s">
        <v>106</v>
      </c>
      <c r="B54" s="53" t="s">
        <v>107</v>
      </c>
      <c r="C54" s="145">
        <f>300000+254000</f>
        <v>554000</v>
      </c>
      <c r="D54" s="71"/>
      <c r="E54" s="71"/>
      <c r="F54" s="71"/>
      <c r="G54" s="71"/>
      <c r="H54" s="57">
        <f t="shared" si="6"/>
        <v>554000</v>
      </c>
      <c r="I54" s="106"/>
      <c r="J54" s="70">
        <f>2417600+254000</f>
        <v>2671600</v>
      </c>
      <c r="K54" s="71">
        <v>2540000</v>
      </c>
      <c r="L54" s="71"/>
      <c r="M54" s="71"/>
      <c r="N54" s="71"/>
      <c r="O54" s="51">
        <f t="shared" si="7"/>
        <v>5211600</v>
      </c>
      <c r="P54" s="10"/>
    </row>
    <row r="55" spans="1:16" ht="26.25" thickBot="1" x14ac:dyDescent="0.25">
      <c r="A55" s="142" t="s">
        <v>108</v>
      </c>
      <c r="B55" s="65" t="s">
        <v>109</v>
      </c>
      <c r="C55" s="145">
        <v>500000</v>
      </c>
      <c r="D55" s="71"/>
      <c r="E55" s="71"/>
      <c r="F55" s="71"/>
      <c r="G55" s="71"/>
      <c r="H55" s="149">
        <f t="shared" si="6"/>
        <v>500000</v>
      </c>
      <c r="I55" s="106"/>
      <c r="J55" s="70">
        <f>61300000+526000-526000</f>
        <v>61300000</v>
      </c>
      <c r="K55" s="71"/>
      <c r="L55" s="71"/>
      <c r="M55" s="71"/>
      <c r="N55" s="71"/>
      <c r="O55" s="51">
        <f t="shared" si="7"/>
        <v>61300000</v>
      </c>
      <c r="P55" s="10"/>
    </row>
    <row r="56" spans="1:16" ht="26.25" thickBot="1" x14ac:dyDescent="0.25">
      <c r="A56" s="142" t="s">
        <v>110</v>
      </c>
      <c r="B56" s="65" t="s">
        <v>111</v>
      </c>
      <c r="C56" s="145"/>
      <c r="D56" s="71"/>
      <c r="E56" s="71"/>
      <c r="F56" s="71"/>
      <c r="G56" s="71"/>
      <c r="H56" s="149">
        <f t="shared" si="6"/>
        <v>0</v>
      </c>
      <c r="I56" s="154"/>
      <c r="J56" s="70">
        <f>243100+691900</f>
        <v>935000</v>
      </c>
      <c r="K56" s="71">
        <f>691900-691900</f>
        <v>0</v>
      </c>
      <c r="L56" s="71"/>
      <c r="M56" s="71"/>
      <c r="N56" s="71"/>
      <c r="O56" s="51">
        <f t="shared" si="7"/>
        <v>935000</v>
      </c>
      <c r="P56" s="10"/>
    </row>
    <row r="57" spans="1:16" ht="14.25" thickBot="1" x14ac:dyDescent="0.3">
      <c r="A57" s="82" t="s">
        <v>112</v>
      </c>
      <c r="B57" s="83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1"/>
      <c r="P57" s="10"/>
    </row>
    <row r="58" spans="1:16" ht="25.5" x14ac:dyDescent="0.2">
      <c r="A58" s="143" t="s">
        <v>113</v>
      </c>
      <c r="B58" s="44" t="s">
        <v>114</v>
      </c>
      <c r="C58" s="155"/>
      <c r="D58" s="78"/>
      <c r="E58" s="78">
        <f>530000000-35000000</f>
        <v>495000000</v>
      </c>
      <c r="F58" s="78"/>
      <c r="G58" s="78"/>
      <c r="H58" s="51">
        <f>SUM(C58:G58)</f>
        <v>495000000</v>
      </c>
      <c r="I58" s="106"/>
      <c r="J58" s="81"/>
      <c r="K58" s="78"/>
      <c r="L58" s="156"/>
      <c r="M58" s="78"/>
      <c r="N58" s="78"/>
      <c r="O58" s="51">
        <f>SUM(J58:N58)</f>
        <v>0</v>
      </c>
      <c r="P58" s="10"/>
    </row>
    <row r="59" spans="1:16" ht="26.25" thickBot="1" x14ac:dyDescent="0.25">
      <c r="A59" s="142" t="s">
        <v>115</v>
      </c>
      <c r="B59" s="65" t="s">
        <v>116</v>
      </c>
      <c r="C59" s="157"/>
      <c r="D59" s="71"/>
      <c r="E59" s="71"/>
      <c r="F59" s="71">
        <f>700000000+44951899-2540000+11503705-3834990-16510000</f>
        <v>733570614</v>
      </c>
      <c r="G59" s="71"/>
      <c r="H59" s="57">
        <f>SUM(C59:G59)</f>
        <v>733570614</v>
      </c>
      <c r="I59" s="106"/>
      <c r="J59" s="70">
        <f>12952927+115837-33711-38350-24077-190500</f>
        <v>12782126</v>
      </c>
      <c r="K59" s="72"/>
      <c r="L59" s="71"/>
      <c r="M59" s="71">
        <v>726038434</v>
      </c>
      <c r="N59" s="72">
        <v>142139277</v>
      </c>
      <c r="O59" s="57">
        <f>SUM(J59:N59)</f>
        <v>880959837</v>
      </c>
      <c r="P59" s="10"/>
    </row>
    <row r="60" spans="1:16" ht="13.5" thickBot="1" x14ac:dyDescent="0.25">
      <c r="A60" s="158" t="s">
        <v>117</v>
      </c>
      <c r="B60" s="159"/>
      <c r="C60" s="160">
        <f t="shared" ref="C60:H60" si="8">SUM(C10:C59)</f>
        <v>1816434292</v>
      </c>
      <c r="D60" s="160">
        <f t="shared" si="8"/>
        <v>351549324</v>
      </c>
      <c r="E60" s="160">
        <f t="shared" si="8"/>
        <v>503000000</v>
      </c>
      <c r="F60" s="160">
        <f t="shared" si="8"/>
        <v>733570614</v>
      </c>
      <c r="G60" s="160">
        <f t="shared" si="8"/>
        <v>938305086</v>
      </c>
      <c r="H60" s="161">
        <f t="shared" si="8"/>
        <v>4342859316</v>
      </c>
      <c r="I60" s="162" t="e">
        <f>SUM(I9:I13,I15:I28,I35:I37,I41:I52,I53:I59)</f>
        <v>#REF!</v>
      </c>
      <c r="J60" s="160">
        <f t="shared" ref="J60:O60" si="9">SUM(J10:J59)</f>
        <v>780705349</v>
      </c>
      <c r="K60" s="160">
        <f t="shared" si="9"/>
        <v>1180953767</v>
      </c>
      <c r="L60" s="160">
        <f t="shared" si="9"/>
        <v>1513022489</v>
      </c>
      <c r="M60" s="160">
        <f t="shared" si="9"/>
        <v>726038434</v>
      </c>
      <c r="N60" s="160">
        <f t="shared" si="9"/>
        <v>142139277</v>
      </c>
      <c r="O60" s="160">
        <f t="shared" si="9"/>
        <v>4342859316</v>
      </c>
      <c r="P60" s="163">
        <f>O60-H60</f>
        <v>0</v>
      </c>
    </row>
    <row r="61" spans="1:16" ht="13.5" thickBot="1" x14ac:dyDescent="0.25">
      <c r="A61" s="164" t="s">
        <v>118</v>
      </c>
      <c r="B61" s="165"/>
      <c r="C61" s="166"/>
      <c r="D61" s="167"/>
      <c r="E61" s="167"/>
      <c r="F61" s="167"/>
      <c r="G61" s="167"/>
      <c r="H61" s="57"/>
      <c r="I61" s="168"/>
      <c r="J61" s="169"/>
      <c r="K61" s="55"/>
      <c r="L61" s="55">
        <f>SUM(L58:L59,L51:L55,L45:L47,L37:L43,L33:L35,L27:L29,L17,L10:L15)</f>
        <v>1513022489</v>
      </c>
      <c r="M61" s="167"/>
      <c r="N61" s="167"/>
      <c r="O61" s="170">
        <f>SUM(J61:N61)</f>
        <v>1513022489</v>
      </c>
      <c r="P61" s="163"/>
    </row>
    <row r="62" spans="1:16" ht="13.5" thickBot="1" x14ac:dyDescent="0.25">
      <c r="A62" s="158" t="s">
        <v>119</v>
      </c>
      <c r="B62" s="159"/>
      <c r="C62" s="171">
        <f>C60-C61</f>
        <v>1816434292</v>
      </c>
      <c r="D62" s="172">
        <f t="shared" ref="D62:N62" si="10">D60-D61</f>
        <v>351549324</v>
      </c>
      <c r="E62" s="172">
        <f t="shared" si="10"/>
        <v>503000000</v>
      </c>
      <c r="F62" s="172">
        <f t="shared" si="10"/>
        <v>733570614</v>
      </c>
      <c r="G62" s="172">
        <f t="shared" si="10"/>
        <v>938305086</v>
      </c>
      <c r="H62" s="67">
        <f t="shared" si="10"/>
        <v>4342859316</v>
      </c>
      <c r="I62" s="173" t="e">
        <f t="shared" si="10"/>
        <v>#REF!</v>
      </c>
      <c r="J62" s="171">
        <f t="shared" si="10"/>
        <v>780705349</v>
      </c>
      <c r="K62" s="172">
        <f t="shared" si="10"/>
        <v>1180953767</v>
      </c>
      <c r="L62" s="172">
        <f t="shared" si="10"/>
        <v>0</v>
      </c>
      <c r="M62" s="172">
        <f t="shared" si="10"/>
        <v>726038434</v>
      </c>
      <c r="N62" s="172">
        <f t="shared" si="10"/>
        <v>142139277</v>
      </c>
      <c r="O62" s="174">
        <f>O60-O61</f>
        <v>2829836827</v>
      </c>
      <c r="P62" s="163"/>
    </row>
    <row r="63" spans="1:16" x14ac:dyDescent="0.2">
      <c r="B63" s="175"/>
      <c r="C63" s="87">
        <f>C62-C64</f>
        <v>0</v>
      </c>
      <c r="D63" s="87">
        <f t="shared" ref="D63:N63" si="11">D62-D64</f>
        <v>0</v>
      </c>
      <c r="E63" s="87">
        <f t="shared" si="11"/>
        <v>0</v>
      </c>
      <c r="F63" s="87">
        <f t="shared" si="11"/>
        <v>0</v>
      </c>
      <c r="G63" s="87">
        <f t="shared" si="11"/>
        <v>0</v>
      </c>
      <c r="H63" s="87">
        <f t="shared" si="11"/>
        <v>0</v>
      </c>
      <c r="I63" s="87" t="e">
        <f t="shared" si="11"/>
        <v>#REF!</v>
      </c>
      <c r="J63" s="87">
        <f t="shared" si="11"/>
        <v>0</v>
      </c>
      <c r="K63" s="87">
        <f t="shared" si="11"/>
        <v>0</v>
      </c>
      <c r="L63" s="87">
        <f>L61-L64</f>
        <v>0</v>
      </c>
      <c r="M63" s="87">
        <f t="shared" si="11"/>
        <v>0</v>
      </c>
      <c r="N63" s="87">
        <f t="shared" si="11"/>
        <v>0</v>
      </c>
      <c r="O63" s="87">
        <f>O60-O64</f>
        <v>0</v>
      </c>
    </row>
    <row r="64" spans="1:16" x14ac:dyDescent="0.2">
      <c r="B64" s="175"/>
      <c r="C64" s="87">
        <f>'[1]9.1. sz. mell.'!C9+'[1]9.1. sz. mell.'!C18+'[1]9.1. sz. mell.'!C40+'[1]9.1. sz. mell.'!C58+'[1]9.1. sz. mell.'!C81</f>
        <v>1816434292</v>
      </c>
      <c r="D64" s="87">
        <f>'[1]9.1. sz. mell.'!C25+'[1]9.1. sz. mell.'!C52+'[1]9.1. sz. mell.'!C63</f>
        <v>351549324</v>
      </c>
      <c r="E64" s="87">
        <f>'[1]9.1. sz. mell.'!C32</f>
        <v>503000000</v>
      </c>
      <c r="F64" s="87">
        <f>'[1]9.1. sz. mell.'!C69</f>
        <v>733570614</v>
      </c>
      <c r="G64" s="87">
        <f>'[1]9.1. sz. mell.'!C78</f>
        <v>938305086</v>
      </c>
      <c r="H64" s="58">
        <f>SUM(C64:G64)</f>
        <v>4342859316</v>
      </c>
      <c r="I64" s="176"/>
      <c r="J64" s="87">
        <f>'[1]9.1. sz. mell.'!C96-'[1]9.1. sz. mell.'!C114+'[1]9.1. sz. mell.'!C143</f>
        <v>780705349</v>
      </c>
      <c r="K64" s="87">
        <f>'[1]9.1. sz. mell.'!C117</f>
        <v>1180953767</v>
      </c>
      <c r="L64" s="177">
        <f>'[1]10.sz.m. int.összesítő'!C16</f>
        <v>1513022489</v>
      </c>
      <c r="M64" s="178">
        <f>'[1]9.1. sz. mell.'!C132</f>
        <v>726038434</v>
      </c>
      <c r="N64" s="178">
        <f>'[1]9.1. sz. mell.'!C114</f>
        <v>142139277</v>
      </c>
      <c r="O64" s="176">
        <f>SUM(J64:N64)</f>
        <v>4342859316</v>
      </c>
    </row>
    <row r="65" spans="2:15" x14ac:dyDescent="0.2">
      <c r="B65" s="175"/>
      <c r="C65" s="87"/>
      <c r="D65" s="87"/>
      <c r="E65" s="87"/>
      <c r="F65" s="87"/>
      <c r="G65" s="87"/>
      <c r="H65" s="58"/>
      <c r="I65" s="176"/>
      <c r="J65" s="179"/>
      <c r="K65" s="87"/>
      <c r="L65" s="180"/>
      <c r="M65" s="87"/>
      <c r="N65" s="87"/>
      <c r="O65" s="176"/>
    </row>
    <row r="66" spans="2:15" x14ac:dyDescent="0.2">
      <c r="B66" s="175"/>
      <c r="C66" s="87"/>
      <c r="D66" s="87"/>
      <c r="E66" s="87"/>
      <c r="F66" s="87"/>
      <c r="G66" s="87"/>
      <c r="H66" s="58"/>
      <c r="I66" s="176"/>
      <c r="J66" s="87"/>
      <c r="K66" s="87"/>
      <c r="L66" s="180"/>
      <c r="M66" s="87"/>
      <c r="N66" s="87"/>
      <c r="O66" s="176"/>
    </row>
    <row r="67" spans="2:15" x14ac:dyDescent="0.2">
      <c r="B67" s="175"/>
      <c r="C67" s="87"/>
      <c r="D67" s="87"/>
      <c r="E67" s="87"/>
      <c r="F67" s="87"/>
      <c r="G67" s="87"/>
      <c r="H67" s="58"/>
      <c r="I67" s="176"/>
      <c r="J67" s="87"/>
      <c r="K67" s="87"/>
      <c r="L67" s="180"/>
      <c r="M67" s="87"/>
      <c r="N67" s="87"/>
      <c r="O67" s="176"/>
    </row>
    <row r="68" spans="2:15" x14ac:dyDescent="0.2">
      <c r="B68" s="175"/>
      <c r="C68" s="87"/>
      <c r="D68" s="87"/>
      <c r="E68" s="87"/>
      <c r="F68" s="87"/>
      <c r="G68" s="87"/>
      <c r="H68" s="58"/>
      <c r="I68" s="176"/>
      <c r="J68" s="87"/>
      <c r="K68" s="87"/>
      <c r="L68" s="180"/>
      <c r="M68" s="87"/>
      <c r="N68" s="87"/>
      <c r="O68" s="176"/>
    </row>
    <row r="69" spans="2:15" x14ac:dyDescent="0.2">
      <c r="B69" s="175"/>
      <c r="C69" s="87"/>
      <c r="D69" s="87"/>
      <c r="E69" s="87"/>
      <c r="F69" s="87"/>
      <c r="G69" s="87"/>
      <c r="H69" s="58"/>
      <c r="I69" s="176"/>
      <c r="J69" s="87"/>
      <c r="K69" s="87"/>
      <c r="L69" s="180"/>
      <c r="M69" s="87"/>
      <c r="N69" s="87"/>
      <c r="O69" s="176"/>
    </row>
  </sheetData>
  <mergeCells count="21">
    <mergeCell ref="A62:B62"/>
    <mergeCell ref="A44:O44"/>
    <mergeCell ref="A48:O48"/>
    <mergeCell ref="A50:O50"/>
    <mergeCell ref="A57:O57"/>
    <mergeCell ref="A60:B60"/>
    <mergeCell ref="A61:B61"/>
    <mergeCell ref="A9:O9"/>
    <mergeCell ref="A16:O16"/>
    <mergeCell ref="A18:O18"/>
    <mergeCell ref="A26:O26"/>
    <mergeCell ref="A31:O31"/>
    <mergeCell ref="A36:O36"/>
    <mergeCell ref="A1:O1"/>
    <mergeCell ref="K2:O2"/>
    <mergeCell ref="A3:O3"/>
    <mergeCell ref="A4:O4"/>
    <mergeCell ref="A6:A8"/>
    <mergeCell ref="B6:B8"/>
    <mergeCell ref="C6:H6"/>
    <mergeCell ref="J6:O6"/>
  </mergeCells>
  <printOptions horizontalCentered="1"/>
  <pageMargins left="0.7" right="0.7" top="0.75" bottom="0.75" header="0.3" footer="0.3"/>
  <pageSetup paperSize="9" scale="42" orientation="landscape" r:id="rId1"/>
  <headerFooter alignWithMargins="0"/>
  <rowBreaks count="1" manualBreakCount="1">
    <brk id="3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7.sz táj. feladatos Önk. </vt:lpstr>
      <vt:lpstr>'7.sz táj. feladatos Önk.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2020-11-03T08:18:36Z</dcterms:created>
  <dcterms:modified xsi:type="dcterms:W3CDTF">2020-11-03T08:18:36Z</dcterms:modified>
</cp:coreProperties>
</file>