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120" windowWidth="23040" windowHeight="8940" tabRatio="803" activeTab="2"/>
  </bookViews>
  <sheets>
    <sheet name="önként2019." sheetId="1" r:id="rId1"/>
    <sheet name="kötelező2019." sheetId="2" r:id="rId2"/>
    <sheet name="önként2019.felh." sheetId="3" r:id="rId3"/>
    <sheet name="kötelező2019.felh." sheetId="4" r:id="rId4"/>
    <sheet name="önkét2019.finansz." sheetId="5" r:id="rId5"/>
    <sheet name="kötelező2019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'kötelező2019.'!$A$1:$M$45</definedName>
    <definedName name="_xlnm.Print_Area" localSheetId="3">'kötelező2019.felh.'!$A$1:$M$33</definedName>
    <definedName name="_xlnm.Print_Area" localSheetId="5">'kötelező2019.finansz.'!$A$1:$M$17</definedName>
    <definedName name="_xlnm.Print_Area" localSheetId="0">'önként2019.'!$A$1:$L$35</definedName>
    <definedName name="_xlnm.Print_Area" localSheetId="2">'önként2019.felh.'!$A$1:$L$50</definedName>
    <definedName name="_xlnm.Print_Area" localSheetId="4">'önkét2019.finansz.'!$A$1:$L$10</definedName>
  </definedNames>
  <calcPr fullCalcOnLoad="1"/>
</workbook>
</file>

<file path=xl/sharedStrings.xml><?xml version="1.0" encoding="utf-8"?>
<sst xmlns="http://schemas.openxmlformats.org/spreadsheetml/2006/main" count="240" uniqueCount="117">
  <si>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</si>
  <si>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</si>
  <si>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</si>
  <si>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</si>
  <si>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</si>
  <si>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</si>
  <si>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</si>
  <si>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</si>
  <si>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</si>
  <si>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</si>
  <si>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</si>
  <si>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</si>
  <si>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</si>
  <si>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</si>
  <si>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</si>
  <si>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</si>
  <si>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</si>
  <si>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</si>
  <si>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</si>
  <si>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</si>
  <si>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</si>
  <si>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</si>
  <si>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</si>
  <si>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</si>
  <si>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</si>
  <si>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</si>
  <si>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</si>
  <si>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</si>
  <si>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</si>
  <si>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</si>
  <si>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</si>
  <si>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</si>
  <si>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</si>
  <si>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</si>
  <si>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</si>
  <si>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</si>
  <si>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</si>
  <si>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</si>
  <si>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</si>
  <si>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</si>
  <si>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</si>
  <si>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</si>
  <si>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</si>
  <si>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</si>
  <si>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</si>
  <si>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</si>
  <si>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</si>
  <si>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</si>
  <si>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</si>
  <si>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</si>
  <si>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</si>
  <si>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</si>
  <si>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</si>
  <si>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</si>
  <si>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</si>
  <si>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</si>
  <si>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</si>
  <si>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</si>
  <si>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</si>
  <si>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</si>
  <si>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</si>
  <si>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</si>
  <si>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</si>
  <si>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</si>
  <si>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</si>
  <si>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</si>
  <si>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</si>
  <si>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</si>
  <si>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</si>
  <si>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</si>
  <si>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</si>
  <si>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</si>
  <si>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</si>
  <si>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</si>
  <si>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</si>
  <si>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</si>
  <si>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</si>
  <si>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</si>
  <si>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</si>
  <si>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</si>
  <si>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</si>
  <si>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</si>
  <si>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</si>
  <si>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</si>
  <si>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</si>
  <si>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</si>
  <si>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</si>
  <si>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</si>
  <si>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</si>
  <si>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</si>
  <si>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</si>
  <si>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</si>
  <si>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</si>
  <si>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</si>
  <si>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</si>
  <si>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</si>
  <si>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</si>
  <si>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</si>
  <si>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</si>
  <si>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</si>
  <si>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</si>
  <si>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</si>
  <si>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</si>
  <si>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</si>
  <si>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2019. Működési költségvetés  -  Kötelezően előírt feladatkörök</t>
  </si>
  <si>
    <t>2019. Működési költségvetés -  Önként vállalt feladatkörök</t>
  </si>
  <si>
    <t>2019. Felhalmozási költségvetés -  Önként vállalt feladatkörök</t>
  </si>
  <si>
    <t>2019. Felhalmozási költségvetés  -  Kötelezően előírt feladatkörök</t>
  </si>
  <si>
    <t>2019. Finanszírozási kiadások -  Önként vállalt feladatkörök</t>
  </si>
  <si>
    <t>2019. Finanszírozási kiadások  -  Kötelezően előírt feladatkörök</t>
  </si>
  <si>
    <t>Közbiztonság kiadásai</t>
  </si>
  <si>
    <t>Eü.és Szociális Biz.kiadásai</t>
  </si>
  <si>
    <t>Kulturális tanácsnoki keret kiad.</t>
  </si>
  <si>
    <t>Oktatási Bizottság kiadásai</t>
  </si>
  <si>
    <t>Emberi jogi,Nemz.és Egyházügyi Biz.kiad.</t>
  </si>
  <si>
    <t>belföldi értékpapírok kiadásai</t>
  </si>
  <si>
    <t xml:space="preserve">    Kv.maradvány fedezete %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</si>
</sst>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3" fontId="10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shrinkToFit="1"/>
    </xf>
    <xf numFmtId="2" fontId="3" fillId="0" borderId="18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23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7" xfId="0" applyFont="1" applyFill="1" applyBorder="1" applyAlignment="1">
      <alignment shrinkToFit="1"/>
    </xf>
    <xf numFmtId="174" fontId="10" fillId="0" borderId="11" xfId="0" applyNumberFormat="1" applyFont="1" applyFill="1" applyBorder="1" applyAlignment="1">
      <alignment/>
    </xf>
    <xf numFmtId="174" fontId="10" fillId="0" borderId="14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12" fillId="0" borderId="28" xfId="0" applyFont="1" applyFill="1" applyBorder="1" applyAlignment="1">
      <alignment shrinkToFit="1"/>
    </xf>
    <xf numFmtId="174" fontId="9" fillId="0" borderId="1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shrinkToFit="1"/>
    </xf>
    <xf numFmtId="3" fontId="0" fillId="32" borderId="0" xfId="0" applyNumberFormat="1" applyFill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2" fontId="10" fillId="0" borderId="30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shrinkToFit="1"/>
    </xf>
    <xf numFmtId="3" fontId="9" fillId="0" borderId="2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right"/>
    </xf>
    <xf numFmtId="2" fontId="9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4" fontId="10" fillId="0" borderId="30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0" fontId="3" fillId="0" borderId="27" xfId="0" applyFont="1" applyFill="1" applyBorder="1" applyAlignment="1">
      <alignment shrinkToFit="1"/>
    </xf>
    <xf numFmtId="3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2" fillId="0" borderId="33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shrinkToFit="1"/>
    </xf>
    <xf numFmtId="4" fontId="9" fillId="0" borderId="18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shrinkToFit="1"/>
    </xf>
    <xf numFmtId="3" fontId="10" fillId="0" borderId="25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shrinkToFit="1"/>
    </xf>
    <xf numFmtId="3" fontId="3" fillId="0" borderId="30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28" xfId="0" applyFont="1" applyFill="1" applyBorder="1" applyAlignment="1">
      <alignment shrinkToFit="1"/>
    </xf>
    <xf numFmtId="4" fontId="3" fillId="0" borderId="14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2" fontId="12" fillId="0" borderId="36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 horizontal="right"/>
    </xf>
    <xf numFmtId="174" fontId="10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shrinkToFit="1"/>
    </xf>
    <xf numFmtId="4" fontId="9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4" fontId="10" fillId="0" borderId="30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shrinkToFit="1"/>
    </xf>
    <xf numFmtId="174" fontId="10" fillId="0" borderId="19" xfId="0" applyNumberFormat="1" applyFont="1" applyFill="1" applyBorder="1" applyAlignment="1">
      <alignment horizontal="right"/>
    </xf>
    <xf numFmtId="174" fontId="10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6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N32" sqref="N32:O32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4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7"/>
      <c r="B1" s="37"/>
      <c r="C1" s="37"/>
      <c r="D1" s="71"/>
      <c r="E1" s="37"/>
      <c r="F1" s="37"/>
      <c r="G1" s="37"/>
      <c r="H1" s="37"/>
      <c r="I1" s="37"/>
      <c r="J1" s="37"/>
      <c r="K1" s="210" t="s">
        <v>31</v>
      </c>
      <c r="L1" s="210"/>
    </row>
    <row r="2" spans="1:12" ht="12.75">
      <c r="A2" s="211" t="s">
        <v>105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3.5" thickBot="1">
      <c r="A4" s="58"/>
      <c r="B4" s="58"/>
      <c r="C4" s="58"/>
      <c r="D4" s="72"/>
      <c r="E4" s="43"/>
      <c r="F4" s="44"/>
      <c r="G4" s="43"/>
      <c r="H4" s="44"/>
      <c r="I4" s="44"/>
      <c r="J4" s="44"/>
      <c r="K4" s="45"/>
      <c r="L4" s="54" t="s">
        <v>0</v>
      </c>
    </row>
    <row r="5" spans="1:12" ht="92.25" customHeight="1" thickBot="1">
      <c r="A5" s="38" t="s">
        <v>3</v>
      </c>
      <c r="B5" s="46" t="s">
        <v>69</v>
      </c>
      <c r="C5" s="46" t="s">
        <v>64</v>
      </c>
      <c r="D5" s="47" t="s">
        <v>70</v>
      </c>
      <c r="E5" s="46" t="s">
        <v>60</v>
      </c>
      <c r="F5" s="47" t="s">
        <v>71</v>
      </c>
      <c r="G5" s="46" t="s">
        <v>72</v>
      </c>
      <c r="H5" s="47" t="s">
        <v>73</v>
      </c>
      <c r="I5" s="47" t="s">
        <v>76</v>
      </c>
      <c r="J5" s="47" t="s">
        <v>48</v>
      </c>
      <c r="K5" s="48" t="s">
        <v>74</v>
      </c>
      <c r="L5" s="55" t="s">
        <v>75</v>
      </c>
    </row>
    <row r="6" spans="1:12" ht="12.75">
      <c r="A6" s="14" t="s">
        <v>18</v>
      </c>
      <c r="B6" s="15">
        <f>86113+14820+3400+28270+4000+257911+6500+47370+3597+1400+1676+3530</f>
        <v>458587</v>
      </c>
      <c r="C6" s="15"/>
      <c r="D6" s="201">
        <f aca="true" t="shared" si="0" ref="D6:D21">SUM(C6/B6)*100</f>
        <v>0</v>
      </c>
      <c r="E6" s="16"/>
      <c r="F6" s="17">
        <f aca="true" t="shared" si="1" ref="F6:F20">SUM(E6/B6)*100</f>
        <v>0</v>
      </c>
      <c r="G6" s="16"/>
      <c r="H6" s="17">
        <f aca="true" t="shared" si="2" ref="H6:H21">SUM(G6/B6*100)</f>
        <v>0</v>
      </c>
      <c r="I6" s="16">
        <f>100+3297+666-453</f>
        <v>3610</v>
      </c>
      <c r="J6" s="17">
        <f>SUM(I6/B6*100)</f>
        <v>0.7872006838397076</v>
      </c>
      <c r="K6" s="21">
        <f>SUM(B6-C6-E6-G6-I6)</f>
        <v>454977</v>
      </c>
      <c r="L6" s="18">
        <f aca="true" t="shared" si="3" ref="L6:L20">SUM(K6/B6)*100</f>
        <v>99.2127993161603</v>
      </c>
    </row>
    <row r="7" spans="1:12" ht="12.75">
      <c r="A7" s="14" t="s">
        <v>19</v>
      </c>
      <c r="B7" s="20">
        <f>4995442-'kötelező2019.'!C11</f>
        <v>1506277</v>
      </c>
      <c r="C7" s="20">
        <v>81409</v>
      </c>
      <c r="D7" s="202">
        <f t="shared" si="0"/>
        <v>5.404650007933467</v>
      </c>
      <c r="E7" s="21"/>
      <c r="F7" s="22">
        <f t="shared" si="1"/>
        <v>0</v>
      </c>
      <c r="G7" s="21">
        <v>603404</v>
      </c>
      <c r="H7" s="22">
        <f t="shared" si="2"/>
        <v>40.05929852211778</v>
      </c>
      <c r="I7" s="21">
        <v>97554</v>
      </c>
      <c r="J7" s="17">
        <f aca="true" t="shared" si="4" ref="J7:J32">SUM(I7/B7*100)</f>
        <v>6.476498014641398</v>
      </c>
      <c r="K7" s="21">
        <f aca="true" t="shared" si="5" ref="K7:K20">SUM(B7-C7-E7-G7-I7)</f>
        <v>723910</v>
      </c>
      <c r="L7" s="23">
        <f t="shared" si="3"/>
        <v>48.05955345530736</v>
      </c>
    </row>
    <row r="8" spans="1:12" ht="12.75">
      <c r="A8" s="14" t="s">
        <v>1</v>
      </c>
      <c r="B8" s="20">
        <v>41536</v>
      </c>
      <c r="C8" s="20"/>
      <c r="D8" s="202">
        <f t="shared" si="0"/>
        <v>0</v>
      </c>
      <c r="E8" s="21"/>
      <c r="F8" s="22">
        <f t="shared" si="1"/>
        <v>0</v>
      </c>
      <c r="G8" s="21"/>
      <c r="H8" s="22">
        <f t="shared" si="2"/>
        <v>0</v>
      </c>
      <c r="I8" s="21"/>
      <c r="J8" s="17">
        <f t="shared" si="4"/>
        <v>0</v>
      </c>
      <c r="K8" s="21">
        <f t="shared" si="5"/>
        <v>41536</v>
      </c>
      <c r="L8" s="23">
        <f t="shared" si="3"/>
        <v>100</v>
      </c>
    </row>
    <row r="9" spans="1:13" ht="12.75">
      <c r="A9" s="19" t="s">
        <v>23</v>
      </c>
      <c r="B9" s="20">
        <f>649456-41536-120000</f>
        <v>487920</v>
      </c>
      <c r="C9" s="20"/>
      <c r="D9" s="202">
        <f t="shared" si="0"/>
        <v>0</v>
      </c>
      <c r="E9" s="21"/>
      <c r="F9" s="22">
        <f t="shared" si="1"/>
        <v>0</v>
      </c>
      <c r="G9" s="21"/>
      <c r="H9" s="22">
        <f t="shared" si="2"/>
        <v>0</v>
      </c>
      <c r="I9" s="21">
        <f>200000+1500+2770+150000</f>
        <v>354270</v>
      </c>
      <c r="J9" s="17">
        <f t="shared" si="4"/>
        <v>72.6082144613871</v>
      </c>
      <c r="K9" s="21">
        <f t="shared" si="5"/>
        <v>133650</v>
      </c>
      <c r="L9" s="23">
        <f t="shared" si="3"/>
        <v>27.39178553861289</v>
      </c>
      <c r="M9" s="3"/>
    </row>
    <row r="10" spans="1:12" ht="12.75">
      <c r="A10" s="19" t="s">
        <v>58</v>
      </c>
      <c r="B10" s="134">
        <f>1306260-'kötelező2019.'!C12-B35</f>
        <v>1080084</v>
      </c>
      <c r="C10" s="20">
        <v>641350</v>
      </c>
      <c r="D10" s="202">
        <f t="shared" si="0"/>
        <v>59.37964084274927</v>
      </c>
      <c r="E10" s="21"/>
      <c r="F10" s="22">
        <f t="shared" si="1"/>
        <v>0</v>
      </c>
      <c r="G10" s="21"/>
      <c r="H10" s="22">
        <f t="shared" si="2"/>
        <v>0</v>
      </c>
      <c r="I10" s="21">
        <v>7562</v>
      </c>
      <c r="J10" s="17">
        <f t="shared" si="4"/>
        <v>0.7001307305728073</v>
      </c>
      <c r="K10" s="21">
        <f t="shared" si="5"/>
        <v>431172</v>
      </c>
      <c r="L10" s="23">
        <f t="shared" si="3"/>
        <v>39.92022842667792</v>
      </c>
    </row>
    <row r="11" spans="1:15" ht="12.75">
      <c r="A11" s="19" t="s">
        <v>14</v>
      </c>
      <c r="B11" s="20">
        <v>85000</v>
      </c>
      <c r="C11" s="20"/>
      <c r="D11" s="202">
        <f t="shared" si="0"/>
        <v>0</v>
      </c>
      <c r="E11" s="21"/>
      <c r="F11" s="22">
        <f>SUM(E11/B11)*100</f>
        <v>0</v>
      </c>
      <c r="G11" s="21"/>
      <c r="H11" s="22">
        <f t="shared" si="2"/>
        <v>0</v>
      </c>
      <c r="I11" s="21"/>
      <c r="J11" s="17">
        <f>SUM(I11/B11*100)</f>
        <v>0</v>
      </c>
      <c r="K11" s="21">
        <f>SUM(B11-C11-E11-G11-I11)</f>
        <v>85000</v>
      </c>
      <c r="L11" s="23">
        <f t="shared" si="3"/>
        <v>100</v>
      </c>
      <c r="N11" s="3"/>
      <c r="O11" s="3"/>
    </row>
    <row r="12" spans="1:15" ht="12.75">
      <c r="A12" s="19" t="s">
        <v>15</v>
      </c>
      <c r="B12" s="20">
        <f>643875-'kötelező2019.'!C10</f>
        <v>96316</v>
      </c>
      <c r="C12" s="20"/>
      <c r="D12" s="202">
        <f t="shared" si="0"/>
        <v>0</v>
      </c>
      <c r="E12" s="21"/>
      <c r="F12" s="22">
        <f>SUM(E12/B12)*100</f>
        <v>0</v>
      </c>
      <c r="G12" s="21"/>
      <c r="H12" s="22">
        <f t="shared" si="2"/>
        <v>0</v>
      </c>
      <c r="I12" s="21"/>
      <c r="J12" s="17">
        <f>SUM(I12/B12*100)</f>
        <v>0</v>
      </c>
      <c r="K12" s="21">
        <f>SUM(B12-C12-E12-G12-I12)</f>
        <v>96316</v>
      </c>
      <c r="L12" s="23">
        <f t="shared" si="3"/>
        <v>100</v>
      </c>
      <c r="O12" s="3"/>
    </row>
    <row r="13" spans="1:15" ht="12.75">
      <c r="A13" s="19" t="s">
        <v>2</v>
      </c>
      <c r="B13" s="20">
        <v>15000</v>
      </c>
      <c r="C13" s="20"/>
      <c r="D13" s="202">
        <f t="shared" si="0"/>
        <v>0</v>
      </c>
      <c r="E13" s="21"/>
      <c r="F13" s="22">
        <f t="shared" si="1"/>
        <v>0</v>
      </c>
      <c r="G13" s="21"/>
      <c r="H13" s="22">
        <f t="shared" si="2"/>
        <v>0</v>
      </c>
      <c r="I13" s="21"/>
      <c r="J13" s="17">
        <f t="shared" si="4"/>
        <v>0</v>
      </c>
      <c r="K13" s="21">
        <f t="shared" si="5"/>
        <v>15000</v>
      </c>
      <c r="L13" s="23">
        <f t="shared" si="3"/>
        <v>100</v>
      </c>
      <c r="O13" s="3"/>
    </row>
    <row r="14" spans="1:15" ht="12.75">
      <c r="A14" s="19" t="s">
        <v>24</v>
      </c>
      <c r="B14" s="20">
        <v>66180</v>
      </c>
      <c r="C14" s="20"/>
      <c r="D14" s="202">
        <f t="shared" si="0"/>
        <v>0</v>
      </c>
      <c r="E14" s="21"/>
      <c r="F14" s="22">
        <f t="shared" si="1"/>
        <v>0</v>
      </c>
      <c r="G14" s="21"/>
      <c r="H14" s="22">
        <f t="shared" si="2"/>
        <v>0</v>
      </c>
      <c r="I14" s="21"/>
      <c r="J14" s="17">
        <f t="shared" si="4"/>
        <v>0</v>
      </c>
      <c r="K14" s="21">
        <f t="shared" si="5"/>
        <v>66180</v>
      </c>
      <c r="L14" s="23">
        <f t="shared" si="3"/>
        <v>100</v>
      </c>
      <c r="O14" s="3"/>
    </row>
    <row r="15" spans="1:15" ht="12.75">
      <c r="A15" s="19" t="s">
        <v>25</v>
      </c>
      <c r="B15" s="20">
        <f>701676-'kötelező2019.'!C6</f>
        <v>644656</v>
      </c>
      <c r="C15" s="20"/>
      <c r="D15" s="202">
        <f t="shared" si="0"/>
        <v>0</v>
      </c>
      <c r="E15" s="21"/>
      <c r="F15" s="22">
        <f t="shared" si="1"/>
        <v>0</v>
      </c>
      <c r="G15" s="21"/>
      <c r="H15" s="22">
        <f t="shared" si="2"/>
        <v>0</v>
      </c>
      <c r="I15" s="21">
        <v>332</v>
      </c>
      <c r="J15" s="17">
        <f t="shared" si="4"/>
        <v>0.05150033506242089</v>
      </c>
      <c r="K15" s="21">
        <f t="shared" si="5"/>
        <v>644324</v>
      </c>
      <c r="L15" s="23">
        <f t="shared" si="3"/>
        <v>99.94849966493759</v>
      </c>
      <c r="O15" s="3"/>
    </row>
    <row r="16" spans="1:15" ht="12.75">
      <c r="A16" s="203" t="s">
        <v>110</v>
      </c>
      <c r="B16" s="20">
        <f>326+30000+54052+35500</f>
        <v>119878</v>
      </c>
      <c r="C16" s="20"/>
      <c r="D16" s="202">
        <f t="shared" si="0"/>
        <v>0</v>
      </c>
      <c r="E16" s="21"/>
      <c r="F16" s="22">
        <f t="shared" si="1"/>
        <v>0</v>
      </c>
      <c r="G16" s="21"/>
      <c r="H16" s="22">
        <f t="shared" si="2"/>
        <v>0</v>
      </c>
      <c r="I16" s="21">
        <v>326</v>
      </c>
      <c r="J16" s="17">
        <f t="shared" si="4"/>
        <v>0.27194314219456445</v>
      </c>
      <c r="K16" s="21">
        <f t="shared" si="5"/>
        <v>119552</v>
      </c>
      <c r="L16" s="23">
        <f t="shared" si="3"/>
        <v>99.72805685780544</v>
      </c>
      <c r="O16" s="3"/>
    </row>
    <row r="17" spans="1:15" ht="12.75">
      <c r="A17" s="203" t="s">
        <v>111</v>
      </c>
      <c r="B17" s="20">
        <f>3103+687+1600</f>
        <v>5390</v>
      </c>
      <c r="C17" s="20"/>
      <c r="D17" s="202">
        <f t="shared" si="0"/>
        <v>0</v>
      </c>
      <c r="E17" s="21"/>
      <c r="F17" s="22">
        <f t="shared" si="1"/>
        <v>0</v>
      </c>
      <c r="G17" s="21"/>
      <c r="H17" s="22">
        <f t="shared" si="2"/>
        <v>0</v>
      </c>
      <c r="I17" s="21">
        <v>563</v>
      </c>
      <c r="J17" s="17">
        <f t="shared" si="4"/>
        <v>10.445269016697587</v>
      </c>
      <c r="K17" s="21">
        <f t="shared" si="5"/>
        <v>4827</v>
      </c>
      <c r="L17" s="23">
        <f t="shared" si="3"/>
        <v>89.5547309833024</v>
      </c>
      <c r="N17" s="3"/>
      <c r="O17" s="3"/>
    </row>
    <row r="18" spans="1:15" ht="12.75">
      <c r="A18" s="203" t="s">
        <v>112</v>
      </c>
      <c r="B18" s="20">
        <f>5320+14250</f>
        <v>19570</v>
      </c>
      <c r="C18" s="20"/>
      <c r="D18" s="202">
        <f t="shared" si="0"/>
        <v>0</v>
      </c>
      <c r="E18" s="21"/>
      <c r="F18" s="22">
        <f t="shared" si="1"/>
        <v>0</v>
      </c>
      <c r="G18" s="21"/>
      <c r="H18" s="22">
        <f t="shared" si="2"/>
        <v>0</v>
      </c>
      <c r="I18" s="21">
        <f>3400+1650</f>
        <v>5050</v>
      </c>
      <c r="J18" s="17">
        <f t="shared" si="4"/>
        <v>25.804803270311698</v>
      </c>
      <c r="K18" s="21">
        <f t="shared" si="5"/>
        <v>14520</v>
      </c>
      <c r="L18" s="23">
        <f t="shared" si="3"/>
        <v>74.19519672968829</v>
      </c>
      <c r="O18" s="3"/>
    </row>
    <row r="19" spans="1:15" ht="12.75">
      <c r="A19" s="203" t="s">
        <v>113</v>
      </c>
      <c r="B19" s="20">
        <f>10265+2020+1168</f>
        <v>13453</v>
      </c>
      <c r="C19" s="20"/>
      <c r="D19" s="202">
        <f t="shared" si="0"/>
        <v>0</v>
      </c>
      <c r="E19" s="21"/>
      <c r="F19" s="22">
        <f t="shared" si="1"/>
        <v>0</v>
      </c>
      <c r="G19" s="21"/>
      <c r="H19" s="22">
        <f t="shared" si="2"/>
        <v>0</v>
      </c>
      <c r="I19" s="21">
        <v>373</v>
      </c>
      <c r="J19" s="17">
        <f t="shared" si="4"/>
        <v>2.7726157734334347</v>
      </c>
      <c r="K19" s="21">
        <f t="shared" si="5"/>
        <v>13080</v>
      </c>
      <c r="L19" s="23">
        <f t="shared" si="3"/>
        <v>97.22738422656656</v>
      </c>
      <c r="N19" s="3"/>
      <c r="O19" s="3"/>
    </row>
    <row r="20" spans="1:12" ht="13.5" thickBot="1">
      <c r="A20" s="203" t="s">
        <v>114</v>
      </c>
      <c r="B20" s="20">
        <v>3165</v>
      </c>
      <c r="C20" s="20"/>
      <c r="D20" s="202">
        <f t="shared" si="0"/>
        <v>0</v>
      </c>
      <c r="E20" s="21"/>
      <c r="F20" s="22">
        <f t="shared" si="1"/>
        <v>0</v>
      </c>
      <c r="G20" s="21"/>
      <c r="H20" s="22">
        <f t="shared" si="2"/>
        <v>0</v>
      </c>
      <c r="I20" s="21">
        <v>770</v>
      </c>
      <c r="J20" s="17">
        <f t="shared" si="4"/>
        <v>24.328593996840443</v>
      </c>
      <c r="K20" s="21">
        <f t="shared" si="5"/>
        <v>2395</v>
      </c>
      <c r="L20" s="23">
        <f t="shared" si="3"/>
        <v>75.67140600315956</v>
      </c>
    </row>
    <row r="21" spans="1:15" s="31" customFormat="1" ht="13.5" thickBot="1">
      <c r="A21" s="28" t="s">
        <v>39</v>
      </c>
      <c r="B21" s="25">
        <f>SUM(B6:B20)</f>
        <v>4643012</v>
      </c>
      <c r="C21" s="25">
        <f>SUM(C6:C20)</f>
        <v>722759</v>
      </c>
      <c r="D21" s="204">
        <f t="shared" si="0"/>
        <v>15.566597717171526</v>
      </c>
      <c r="E21" s="25">
        <f>SUM(E6:E15)</f>
        <v>0</v>
      </c>
      <c r="F21" s="57">
        <f>SUM(E21/B21*100)</f>
        <v>0</v>
      </c>
      <c r="G21" s="25">
        <f>SUM(G6:G20)</f>
        <v>603404</v>
      </c>
      <c r="H21" s="29">
        <f t="shared" si="2"/>
        <v>12.995960380890681</v>
      </c>
      <c r="I21" s="25">
        <f>SUM(I6:I20)</f>
        <v>470410</v>
      </c>
      <c r="J21" s="29">
        <f t="shared" si="4"/>
        <v>10.131569765488438</v>
      </c>
      <c r="K21" s="25">
        <f>SUM(K6:K20)</f>
        <v>2846439</v>
      </c>
      <c r="L21" s="42">
        <f>SUM(K21/B21)*100</f>
        <v>61.30587213644936</v>
      </c>
      <c r="N21" s="36"/>
      <c r="O21" s="36"/>
    </row>
    <row r="22" spans="1:15" ht="12.75">
      <c r="A22" s="205" t="s">
        <v>20</v>
      </c>
      <c r="B22" s="15">
        <v>70260</v>
      </c>
      <c r="C22" s="15">
        <v>567</v>
      </c>
      <c r="D22" s="201">
        <f aca="true" t="shared" si="6" ref="D22:D32">SUM(C22/B22)*100</f>
        <v>0.8070025619128949</v>
      </c>
      <c r="E22" s="131">
        <v>65</v>
      </c>
      <c r="F22" s="17">
        <f aca="true" t="shared" si="7" ref="F22:F32">SUM(E22/B22)*100</f>
        <v>0.09251352120694563</v>
      </c>
      <c r="G22" s="131">
        <v>101023</v>
      </c>
      <c r="H22" s="17">
        <f aca="true" t="shared" si="8" ref="H22:H28">SUM(G22/B22*100)</f>
        <v>143.7845146598349</v>
      </c>
      <c r="I22" s="16">
        <v>54</v>
      </c>
      <c r="J22" s="17">
        <f t="shared" si="4"/>
        <v>0.07685738684884715</v>
      </c>
      <c r="K22" s="16">
        <f aca="true" t="shared" si="9" ref="K22:K27">SUM(B22-C22-E22-G22-I22)</f>
        <v>-31449</v>
      </c>
      <c r="L22" s="18">
        <f aca="true" t="shared" si="10" ref="L22:L31">SUM(K22/B22)*100</f>
        <v>-44.76088812980359</v>
      </c>
      <c r="O22" s="3"/>
    </row>
    <row r="23" spans="1:15" ht="12.75">
      <c r="A23" s="187" t="s">
        <v>33</v>
      </c>
      <c r="B23" s="20">
        <v>1201413</v>
      </c>
      <c r="C23" s="20">
        <v>65614</v>
      </c>
      <c r="D23" s="202">
        <f t="shared" si="6"/>
        <v>5.461402531852078</v>
      </c>
      <c r="E23" s="128">
        <f>3235-287</f>
        <v>2948</v>
      </c>
      <c r="F23" s="22">
        <f t="shared" si="7"/>
        <v>0.245377734384429</v>
      </c>
      <c r="G23" s="128">
        <v>594726</v>
      </c>
      <c r="H23" s="22">
        <f t="shared" si="8"/>
        <v>49.50221114637514</v>
      </c>
      <c r="I23" s="16">
        <f>49738+1397</f>
        <v>51135</v>
      </c>
      <c r="J23" s="17">
        <f t="shared" si="4"/>
        <v>4.256238279425975</v>
      </c>
      <c r="K23" s="16">
        <f t="shared" si="9"/>
        <v>486990</v>
      </c>
      <c r="L23" s="23">
        <f t="shared" si="10"/>
        <v>40.534770307962376</v>
      </c>
      <c r="O23" s="3"/>
    </row>
    <row r="24" spans="1:15" ht="12.75">
      <c r="A24" s="187" t="s">
        <v>21</v>
      </c>
      <c r="B24" s="20">
        <v>120350</v>
      </c>
      <c r="C24" s="20">
        <v>11458</v>
      </c>
      <c r="D24" s="202">
        <f t="shared" si="6"/>
        <v>9.520565018695471</v>
      </c>
      <c r="E24" s="128">
        <v>604</v>
      </c>
      <c r="F24" s="22">
        <f t="shared" si="7"/>
        <v>0.5018695471541338</v>
      </c>
      <c r="G24" s="128">
        <v>82328</v>
      </c>
      <c r="H24" s="22">
        <f t="shared" si="8"/>
        <v>68.40714582467801</v>
      </c>
      <c r="I24" s="16">
        <v>7000</v>
      </c>
      <c r="J24" s="17">
        <f t="shared" si="4"/>
        <v>5.8163689239717495</v>
      </c>
      <c r="K24" s="16">
        <f t="shared" si="9"/>
        <v>18960</v>
      </c>
      <c r="L24" s="23">
        <f t="shared" si="10"/>
        <v>15.754050685500623</v>
      </c>
      <c r="O24" s="3"/>
    </row>
    <row r="25" spans="1:15" ht="12.75">
      <c r="A25" s="187" t="s">
        <v>22</v>
      </c>
      <c r="B25" s="20">
        <v>64275</v>
      </c>
      <c r="C25" s="20">
        <v>11191</v>
      </c>
      <c r="D25" s="202">
        <f t="shared" si="6"/>
        <v>17.411124076234927</v>
      </c>
      <c r="E25" s="128"/>
      <c r="F25" s="22">
        <f t="shared" si="7"/>
        <v>0</v>
      </c>
      <c r="G25" s="128">
        <v>71437</v>
      </c>
      <c r="H25" s="22">
        <f t="shared" si="8"/>
        <v>111.14274601322442</v>
      </c>
      <c r="I25" s="16"/>
      <c r="J25" s="17">
        <f t="shared" si="4"/>
        <v>0</v>
      </c>
      <c r="K25" s="16">
        <f t="shared" si="9"/>
        <v>-18353</v>
      </c>
      <c r="L25" s="23">
        <f t="shared" si="10"/>
        <v>-28.553870089459355</v>
      </c>
      <c r="O25" s="3"/>
    </row>
    <row r="26" spans="1:15" ht="12.75">
      <c r="A26" s="187" t="s">
        <v>34</v>
      </c>
      <c r="B26" s="20">
        <v>22267</v>
      </c>
      <c r="C26" s="20">
        <v>26516</v>
      </c>
      <c r="D26" s="202">
        <f t="shared" si="6"/>
        <v>119.08204966991511</v>
      </c>
      <c r="E26" s="128">
        <v>198</v>
      </c>
      <c r="F26" s="22">
        <f t="shared" si="7"/>
        <v>0.8892082453855482</v>
      </c>
      <c r="G26" s="128">
        <v>3194</v>
      </c>
      <c r="H26" s="22">
        <f t="shared" si="8"/>
        <v>14.344096645259802</v>
      </c>
      <c r="I26" s="16"/>
      <c r="J26" s="17">
        <f t="shared" si="4"/>
        <v>0</v>
      </c>
      <c r="K26" s="16">
        <f t="shared" si="9"/>
        <v>-7641</v>
      </c>
      <c r="L26" s="23">
        <f t="shared" si="10"/>
        <v>-34.315354560560465</v>
      </c>
      <c r="O26" s="3"/>
    </row>
    <row r="27" spans="1:15" ht="13.5" thickBot="1">
      <c r="A27" s="188" t="s">
        <v>35</v>
      </c>
      <c r="B27" s="134">
        <v>99434</v>
      </c>
      <c r="C27" s="134">
        <v>646</v>
      </c>
      <c r="D27" s="206">
        <f t="shared" si="6"/>
        <v>0.6496771727980368</v>
      </c>
      <c r="E27" s="135">
        <v>571</v>
      </c>
      <c r="F27" s="136">
        <f t="shared" si="7"/>
        <v>0.5742502564515156</v>
      </c>
      <c r="G27" s="135">
        <v>14745</v>
      </c>
      <c r="H27" s="136">
        <f t="shared" si="8"/>
        <v>14.82893175372609</v>
      </c>
      <c r="I27" s="33"/>
      <c r="J27" s="17">
        <f t="shared" si="4"/>
        <v>0</v>
      </c>
      <c r="K27" s="16">
        <f t="shared" si="9"/>
        <v>83472</v>
      </c>
      <c r="L27" s="139">
        <f t="shared" si="10"/>
        <v>83.94714081702436</v>
      </c>
      <c r="O27" s="3"/>
    </row>
    <row r="28" spans="1:24" s="31" customFormat="1" ht="13.5" thickBot="1">
      <c r="A28" s="24" t="s">
        <v>43</v>
      </c>
      <c r="B28" s="25">
        <f>SUM(B22:B27)</f>
        <v>1577999</v>
      </c>
      <c r="C28" s="25">
        <f aca="true" t="shared" si="11" ref="C28:K28">SUM(C22:C27)</f>
        <v>115992</v>
      </c>
      <c r="D28" s="90">
        <f t="shared" si="6"/>
        <v>7.350575000364386</v>
      </c>
      <c r="E28" s="25">
        <f t="shared" si="11"/>
        <v>4386</v>
      </c>
      <c r="F28" s="29">
        <f t="shared" si="7"/>
        <v>0.27794694419958443</v>
      </c>
      <c r="G28" s="25">
        <f t="shared" si="11"/>
        <v>867453</v>
      </c>
      <c r="H28" s="29">
        <f t="shared" si="8"/>
        <v>54.97170784011903</v>
      </c>
      <c r="I28" s="25">
        <f>SUM(I22:I27)</f>
        <v>58189</v>
      </c>
      <c r="J28" s="29">
        <f t="shared" si="4"/>
        <v>3.6875181796693157</v>
      </c>
      <c r="K28" s="25">
        <f t="shared" si="11"/>
        <v>531979</v>
      </c>
      <c r="L28" s="42">
        <f t="shared" si="10"/>
        <v>33.71225203564768</v>
      </c>
      <c r="N28" s="36"/>
      <c r="O28" s="3"/>
      <c r="Q28" s="36"/>
      <c r="X28" s="36"/>
    </row>
    <row r="29" spans="1:12" s="82" customFormat="1" ht="12.75">
      <c r="A29" s="207" t="s">
        <v>55</v>
      </c>
      <c r="B29" s="32">
        <f>2941790-'kötelező2019.'!C25-'kötelező2019.'!C26-B30</f>
        <v>925120</v>
      </c>
      <c r="C29" s="32"/>
      <c r="D29" s="208">
        <f t="shared" si="6"/>
        <v>0</v>
      </c>
      <c r="E29" s="32"/>
      <c r="F29" s="34">
        <f t="shared" si="7"/>
        <v>0</v>
      </c>
      <c r="G29" s="32"/>
      <c r="H29" s="34">
        <f>SUM(G29/B29*100)</f>
        <v>0</v>
      </c>
      <c r="I29" s="32">
        <v>78064</v>
      </c>
      <c r="J29" s="34">
        <f t="shared" si="4"/>
        <v>8.438256658595641</v>
      </c>
      <c r="K29" s="33">
        <f>SUM(B29-C29-E29-G29-I29)</f>
        <v>847056</v>
      </c>
      <c r="L29" s="35">
        <f t="shared" si="10"/>
        <v>91.56174334140435</v>
      </c>
    </row>
    <row r="30" spans="1:24" ht="13.5" thickBot="1">
      <c r="A30" s="39" t="s">
        <v>36</v>
      </c>
      <c r="B30" s="26">
        <v>2550</v>
      </c>
      <c r="C30" s="26"/>
      <c r="D30" s="209">
        <f t="shared" si="6"/>
        <v>0</v>
      </c>
      <c r="E30" s="27"/>
      <c r="F30" s="40">
        <f t="shared" si="7"/>
        <v>0</v>
      </c>
      <c r="G30" s="27"/>
      <c r="H30" s="40">
        <f>SUM(G30/B30*100)</f>
        <v>0</v>
      </c>
      <c r="I30" s="27"/>
      <c r="J30" s="40">
        <f t="shared" si="4"/>
        <v>0</v>
      </c>
      <c r="K30" s="27">
        <f>SUM(B30-C30-E30-G30-I30)</f>
        <v>2550</v>
      </c>
      <c r="L30" s="41">
        <f t="shared" si="10"/>
        <v>100</v>
      </c>
      <c r="M30" s="3"/>
      <c r="X30" s="3"/>
    </row>
    <row r="31" spans="1:15" s="31" customFormat="1" ht="13.5" thickBot="1">
      <c r="A31" s="28" t="s">
        <v>40</v>
      </c>
      <c r="B31" s="25">
        <f>SUM(B29:B30)</f>
        <v>927670</v>
      </c>
      <c r="C31" s="25">
        <f>SUM(C29:C30)</f>
        <v>0</v>
      </c>
      <c r="D31" s="90">
        <f t="shared" si="6"/>
        <v>0</v>
      </c>
      <c r="E31" s="25">
        <f>SUM(E30)</f>
        <v>0</v>
      </c>
      <c r="F31" s="29">
        <f t="shared" si="7"/>
        <v>0</v>
      </c>
      <c r="G31" s="25">
        <f>SUM(G29:G30)</f>
        <v>0</v>
      </c>
      <c r="H31" s="29">
        <f>SUM(H30)</f>
        <v>0</v>
      </c>
      <c r="I31" s="25">
        <f>SUM(I29:I30)</f>
        <v>78064</v>
      </c>
      <c r="J31" s="29">
        <f t="shared" si="4"/>
        <v>8.415061390365109</v>
      </c>
      <c r="K31" s="25">
        <f>SUM(K29:K30)</f>
        <v>849606</v>
      </c>
      <c r="L31" s="42">
        <f t="shared" si="10"/>
        <v>91.58493860963489</v>
      </c>
      <c r="M31" s="36"/>
      <c r="N31" s="36"/>
      <c r="O31" s="36"/>
    </row>
    <row r="32" spans="1:24" s="31" customFormat="1" ht="13.5" thickBot="1">
      <c r="A32" s="24" t="s">
        <v>17</v>
      </c>
      <c r="B32" s="25">
        <f>SUM(B31,B28,B21)</f>
        <v>7148681</v>
      </c>
      <c r="C32" s="25">
        <f>SUM(C31,C28,C21)</f>
        <v>838751</v>
      </c>
      <c r="D32" s="90">
        <f t="shared" si="6"/>
        <v>11.732947658456155</v>
      </c>
      <c r="E32" s="25">
        <f>SUM(E31,E28,E21)</f>
        <v>4386</v>
      </c>
      <c r="F32" s="29">
        <f t="shared" si="7"/>
        <v>0.06135397564949395</v>
      </c>
      <c r="G32" s="25">
        <f>SUM(G31,G28,G21)</f>
        <v>1470857</v>
      </c>
      <c r="H32" s="29">
        <f>SUM(G32/B32*100)</f>
        <v>20.575222198332813</v>
      </c>
      <c r="I32" s="25">
        <f>SUM(I31,I28,I21)</f>
        <v>606663</v>
      </c>
      <c r="J32" s="29">
        <f t="shared" si="4"/>
        <v>8.486362729012527</v>
      </c>
      <c r="K32" s="25">
        <f>SUM(K31,K28,K21)</f>
        <v>4228024</v>
      </c>
      <c r="L32" s="42">
        <f>SUM(K32/B32)*100</f>
        <v>59.14411343854902</v>
      </c>
      <c r="N32" s="36"/>
      <c r="O32" s="36"/>
      <c r="X32" s="36"/>
    </row>
    <row r="33" spans="3:14" ht="12.75">
      <c r="C33" s="6"/>
      <c r="D33" s="73"/>
      <c r="E33" s="3"/>
      <c r="F33" s="2"/>
      <c r="G33" s="3"/>
      <c r="H33" s="2"/>
      <c r="I33" s="2"/>
      <c r="J33" s="2"/>
      <c r="K33" s="6"/>
      <c r="M33" s="3"/>
      <c r="N33" s="3"/>
    </row>
    <row r="34" spans="1:7" s="3" customFormat="1" ht="13.5" thickBot="1">
      <c r="A34" s="62" t="s">
        <v>56</v>
      </c>
      <c r="D34" s="91"/>
      <c r="G34" s="49"/>
    </row>
    <row r="35" spans="1:12" s="3" customFormat="1" ht="13.5" thickBot="1">
      <c r="A35" s="92" t="s">
        <v>57</v>
      </c>
      <c r="B35" s="93">
        <v>36000</v>
      </c>
      <c r="C35" s="93">
        <v>60000</v>
      </c>
      <c r="D35" s="94">
        <f>SUM(C35/B35)*100</f>
        <v>166.66666666666669</v>
      </c>
      <c r="E35" s="93"/>
      <c r="F35" s="93">
        <f>SUM(E35/B35)*100</f>
        <v>0</v>
      </c>
      <c r="G35" s="95"/>
      <c r="H35" s="93">
        <f>SUM(G35/B35*100)</f>
        <v>0</v>
      </c>
      <c r="I35" s="93"/>
      <c r="J35" s="93">
        <f>SUM(I35/B35*100)</f>
        <v>0</v>
      </c>
      <c r="K35" s="93">
        <f>SUM(B35-C35-E35-G35-I35)</f>
        <v>-24000</v>
      </c>
      <c r="L35" s="96">
        <f>SUM(K35/B35)*100</f>
        <v>-66.66666666666666</v>
      </c>
    </row>
    <row r="36" spans="4:7" s="3" customFormat="1" ht="12.75">
      <c r="D36" s="91"/>
      <c r="G36" s="49"/>
    </row>
    <row r="37" s="3" customFormat="1" ht="12.75">
      <c r="D37" s="91"/>
    </row>
    <row r="38" s="3" customFormat="1" ht="12.75">
      <c r="D38" s="91"/>
    </row>
    <row r="39" s="3" customFormat="1" ht="12.75">
      <c r="D39" s="91"/>
    </row>
    <row r="40" spans="2:4" s="3" customFormat="1" ht="12.75">
      <c r="B40" s="3">
        <f>SUM(B35+B32+'kötelező2019.'!C45)</f>
        <v>20710641</v>
      </c>
      <c r="D40" s="91"/>
    </row>
    <row r="41" s="3" customFormat="1" ht="12.75">
      <c r="D41" s="91"/>
    </row>
    <row r="42" s="3" customFormat="1" ht="12.75">
      <c r="D42" s="91"/>
    </row>
    <row r="43" s="3" customFormat="1" ht="12.75">
      <c r="D43" s="91"/>
    </row>
    <row r="44" s="3" customFormat="1" ht="12.75">
      <c r="D44" s="91"/>
    </row>
    <row r="45" s="3" customFormat="1" ht="12.75">
      <c r="D45" s="91"/>
    </row>
    <row r="46" s="3" customFormat="1" ht="12.75">
      <c r="D46" s="91"/>
    </row>
    <row r="47" s="3" customFormat="1" ht="12.75">
      <c r="D47" s="91"/>
    </row>
    <row r="48" s="3" customFormat="1" ht="12.75">
      <c r="D48" s="91"/>
    </row>
    <row r="49" s="3" customFormat="1" ht="12.75">
      <c r="D49" s="91"/>
    </row>
    <row r="50" s="3" customFormat="1" ht="12.75">
      <c r="D50" s="91"/>
    </row>
    <row r="51" s="3" customFormat="1" ht="12.75">
      <c r="D51" s="91"/>
    </row>
    <row r="52" s="3" customFormat="1" ht="12.75">
      <c r="D52" s="91"/>
    </row>
    <row r="53" s="3" customFormat="1" ht="12.75">
      <c r="D53" s="91"/>
    </row>
    <row r="54" s="3" customFormat="1" ht="12.75">
      <c r="D54" s="91"/>
    </row>
    <row r="55" s="3" customFormat="1" ht="12.75">
      <c r="D55" s="91"/>
    </row>
    <row r="56" s="3" customFormat="1" ht="12.75">
      <c r="D56" s="91"/>
    </row>
    <row r="57" s="3" customFormat="1" ht="12.75">
      <c r="D57" s="91"/>
    </row>
    <row r="58" s="3" customFormat="1" ht="12.75">
      <c r="D58" s="91"/>
    </row>
    <row r="59" s="3" customFormat="1" ht="12.75">
      <c r="D59" s="91"/>
    </row>
    <row r="60" s="3" customFormat="1" ht="12.75">
      <c r="D60" s="91"/>
    </row>
    <row r="61" s="3" customFormat="1" ht="12.75">
      <c r="D61" s="91"/>
    </row>
    <row r="62" s="3" customFormat="1" ht="12.75">
      <c r="D62" s="91"/>
    </row>
    <row r="63" s="3" customFormat="1" ht="12.75">
      <c r="D63" s="91"/>
    </row>
    <row r="64" s="3" customFormat="1" ht="12.75">
      <c r="D64" s="91"/>
    </row>
    <row r="65" s="3" customFormat="1" ht="12.75">
      <c r="D65" s="91"/>
    </row>
    <row r="66" s="3" customFormat="1" ht="12.75">
      <c r="D66" s="91"/>
    </row>
    <row r="67" s="3" customFormat="1" ht="12.75">
      <c r="D67" s="91"/>
    </row>
    <row r="68" s="3" customFormat="1" ht="12.75">
      <c r="D68" s="91"/>
    </row>
    <row r="69" s="3" customFormat="1" ht="12.75">
      <c r="D69" s="91"/>
    </row>
    <row r="70" s="3" customFormat="1" ht="12.75">
      <c r="D70" s="91"/>
    </row>
    <row r="71" s="3" customFormat="1" ht="12.75">
      <c r="D71" s="91"/>
    </row>
    <row r="72" s="3" customFormat="1" ht="12.75">
      <c r="D72" s="91"/>
    </row>
    <row r="73" s="3" customFormat="1" ht="12.75">
      <c r="D73" s="91"/>
    </row>
    <row r="74" s="3" customFormat="1" ht="12.75">
      <c r="D74" s="91"/>
    </row>
    <row r="75" s="3" customFormat="1" ht="12.75">
      <c r="D75" s="91"/>
    </row>
    <row r="76" s="3" customFormat="1" ht="12.75">
      <c r="D76" s="91"/>
    </row>
    <row r="77" s="3" customFormat="1" ht="12.75">
      <c r="D77" s="91"/>
    </row>
    <row r="78" s="3" customFormat="1" ht="12.75">
      <c r="D78" s="91"/>
    </row>
    <row r="79" s="3" customFormat="1" ht="12.75">
      <c r="D79" s="91"/>
    </row>
    <row r="80" s="3" customFormat="1" ht="12.75">
      <c r="D80" s="91"/>
    </row>
    <row r="81" s="3" customFormat="1" ht="12.75">
      <c r="D81" s="91"/>
    </row>
    <row r="82" s="3" customFormat="1" ht="12.75">
      <c r="D82" s="91"/>
    </row>
    <row r="83" s="3" customFormat="1" ht="12.75">
      <c r="D83" s="91"/>
    </row>
    <row r="84" s="3" customFormat="1" ht="12.75">
      <c r="D84" s="91"/>
    </row>
    <row r="85" s="3" customFormat="1" ht="12.75">
      <c r="D85" s="91"/>
    </row>
    <row r="86" s="3" customFormat="1" ht="12.75">
      <c r="D86" s="91"/>
    </row>
    <row r="87" s="3" customFormat="1" ht="12.75">
      <c r="D87" s="91"/>
    </row>
    <row r="88" s="3" customFormat="1" ht="12.75">
      <c r="D88" s="91"/>
    </row>
    <row r="89" s="3" customFormat="1" ht="12.75">
      <c r="D89" s="91"/>
    </row>
    <row r="90" s="3" customFormat="1" ht="12.75">
      <c r="D90" s="91"/>
    </row>
    <row r="91" s="3" customFormat="1" ht="12.75">
      <c r="D91" s="91"/>
    </row>
    <row r="92" s="3" customFormat="1" ht="12.75">
      <c r="D92" s="91"/>
    </row>
    <row r="93" s="3" customFormat="1" ht="12.75">
      <c r="D93" s="91"/>
    </row>
    <row r="94" s="3" customFormat="1" ht="12.75">
      <c r="D94" s="91"/>
    </row>
    <row r="95" s="3" customFormat="1" ht="12.75">
      <c r="D95" s="91"/>
    </row>
    <row r="96" s="3" customFormat="1" ht="12.75">
      <c r="D96" s="91"/>
    </row>
    <row r="97" s="3" customFormat="1" ht="12.75">
      <c r="D97" s="91"/>
    </row>
    <row r="98" s="3" customFormat="1" ht="12.75">
      <c r="D98" s="91"/>
    </row>
    <row r="99" s="3" customFormat="1" ht="12.75">
      <c r="D99" s="91"/>
    </row>
    <row r="100" s="3" customFormat="1" ht="12.75">
      <c r="D100" s="91"/>
    </row>
    <row r="101" s="3" customFormat="1" ht="12.75">
      <c r="D101" s="91"/>
    </row>
    <row r="102" s="3" customFormat="1" ht="12.75">
      <c r="D102" s="91"/>
    </row>
    <row r="103" s="3" customFormat="1" ht="12.75">
      <c r="D103" s="91"/>
    </row>
    <row r="104" s="3" customFormat="1" ht="12.75">
      <c r="D104" s="91"/>
    </row>
    <row r="105" s="3" customFormat="1" ht="12.75">
      <c r="D105" s="91"/>
    </row>
    <row r="106" s="3" customFormat="1" ht="12.75">
      <c r="D106" s="91"/>
    </row>
    <row r="107" s="3" customFormat="1" ht="12.75">
      <c r="D107" s="91"/>
    </row>
    <row r="108" s="3" customFormat="1" ht="12.75">
      <c r="D108" s="91"/>
    </row>
    <row r="109" s="3" customFormat="1" ht="12.75">
      <c r="D109" s="91"/>
    </row>
    <row r="110" s="3" customFormat="1" ht="12.75">
      <c r="D110" s="91"/>
    </row>
    <row r="111" s="3" customFormat="1" ht="12.75">
      <c r="D111" s="91"/>
    </row>
    <row r="112" s="3" customFormat="1" ht="12.75">
      <c r="D112" s="91"/>
    </row>
    <row r="113" s="3" customFormat="1" ht="12.75">
      <c r="D113" s="91"/>
    </row>
    <row r="114" s="3" customFormat="1" ht="12.75">
      <c r="D114" s="91"/>
    </row>
    <row r="115" s="3" customFormat="1" ht="12.75">
      <c r="D115" s="91"/>
    </row>
    <row r="116" s="3" customFormat="1" ht="12.75">
      <c r="D116" s="91"/>
    </row>
    <row r="117" s="3" customFormat="1" ht="12.75">
      <c r="D117" s="91"/>
    </row>
    <row r="118" s="3" customFormat="1" ht="12.75">
      <c r="D118" s="91"/>
    </row>
    <row r="119" s="3" customFormat="1" ht="12.75">
      <c r="D119" s="91"/>
    </row>
    <row r="120" s="3" customFormat="1" ht="12.75">
      <c r="D120" s="91"/>
    </row>
    <row r="121" s="3" customFormat="1" ht="12.75">
      <c r="D121" s="91"/>
    </row>
    <row r="122" s="3" customFormat="1" ht="12.75">
      <c r="D122" s="91"/>
    </row>
    <row r="123" s="3" customFormat="1" ht="12.75">
      <c r="D123" s="91"/>
    </row>
    <row r="124" s="3" customFormat="1" ht="12.75">
      <c r="D124" s="91"/>
    </row>
    <row r="125" s="3" customFormat="1" ht="12.75">
      <c r="D125" s="91"/>
    </row>
    <row r="126" s="3" customFormat="1" ht="12.75">
      <c r="D126" s="91"/>
    </row>
    <row r="127" s="3" customFormat="1" ht="12.75">
      <c r="D127" s="91"/>
    </row>
    <row r="128" s="3" customFormat="1" ht="12.75">
      <c r="D128" s="91"/>
    </row>
    <row r="129" s="3" customFormat="1" ht="12.75">
      <c r="D129" s="91"/>
    </row>
    <row r="130" s="3" customFormat="1" ht="12.75">
      <c r="D130" s="91"/>
    </row>
    <row r="131" s="3" customFormat="1" ht="12.75">
      <c r="D131" s="91"/>
    </row>
    <row r="132" s="3" customFormat="1" ht="12.75">
      <c r="D132" s="91"/>
    </row>
    <row r="133" s="3" customFormat="1" ht="12.75">
      <c r="D133" s="91"/>
    </row>
    <row r="134" s="3" customFormat="1" ht="12.75">
      <c r="D134" s="91"/>
    </row>
    <row r="135" s="3" customFormat="1" ht="12.75">
      <c r="D135" s="91"/>
    </row>
    <row r="136" s="3" customFormat="1" ht="12.75">
      <c r="D136" s="91"/>
    </row>
    <row r="137" s="3" customFormat="1" ht="12.75">
      <c r="D137" s="91"/>
    </row>
    <row r="138" s="3" customFormat="1" ht="12.75">
      <c r="D138" s="91"/>
    </row>
    <row r="139" s="3" customFormat="1" ht="12.75">
      <c r="D139" s="91"/>
    </row>
    <row r="140" s="3" customFormat="1" ht="12.75">
      <c r="D140" s="91"/>
    </row>
    <row r="141" s="3" customFormat="1" ht="12.75">
      <c r="D141" s="91"/>
    </row>
    <row r="142" s="3" customFormat="1" ht="12.75">
      <c r="D142" s="91"/>
    </row>
    <row r="143" s="3" customFormat="1" ht="12.75">
      <c r="D143" s="91"/>
    </row>
    <row r="144" s="3" customFormat="1" ht="12.75">
      <c r="D144" s="91"/>
    </row>
    <row r="145" s="3" customFormat="1" ht="12.75">
      <c r="D145" s="91"/>
    </row>
    <row r="146" s="3" customFormat="1" ht="12.75">
      <c r="D146" s="91"/>
    </row>
    <row r="147" s="3" customFormat="1" ht="12.75">
      <c r="D147" s="91"/>
    </row>
    <row r="148" s="3" customFormat="1" ht="12.75">
      <c r="D148" s="91"/>
    </row>
    <row r="149" s="3" customFormat="1" ht="12.75">
      <c r="D149" s="91"/>
    </row>
    <row r="150" s="3" customFormat="1" ht="12.75">
      <c r="D150" s="91"/>
    </row>
    <row r="151" s="3" customFormat="1" ht="12.75">
      <c r="D151" s="91"/>
    </row>
    <row r="152" s="3" customFormat="1" ht="12.75">
      <c r="D152" s="91"/>
    </row>
    <row r="153" s="3" customFormat="1" ht="12.75">
      <c r="D153" s="91"/>
    </row>
    <row r="154" s="3" customFormat="1" ht="12.75">
      <c r="D154" s="91"/>
    </row>
    <row r="155" s="3" customFormat="1" ht="12.75">
      <c r="D155" s="91"/>
    </row>
    <row r="156" s="3" customFormat="1" ht="12.75">
      <c r="D156" s="91"/>
    </row>
    <row r="157" s="3" customFormat="1" ht="12.75">
      <c r="D157" s="91"/>
    </row>
    <row r="158" s="3" customFormat="1" ht="12.75">
      <c r="D158" s="91"/>
    </row>
    <row r="159" s="3" customFormat="1" ht="12.75">
      <c r="D159" s="91"/>
    </row>
    <row r="160" s="3" customFormat="1" ht="12.75">
      <c r="D160" s="91"/>
    </row>
    <row r="161" s="3" customFormat="1" ht="12.75">
      <c r="D161" s="91"/>
    </row>
    <row r="162" s="3" customFormat="1" ht="12.75">
      <c r="D162" s="91"/>
    </row>
    <row r="163" s="3" customFormat="1" ht="12.75">
      <c r="D163" s="91"/>
    </row>
    <row r="164" s="3" customFormat="1" ht="12.75">
      <c r="D164" s="91"/>
    </row>
    <row r="165" s="3" customFormat="1" ht="12.75">
      <c r="D165" s="91"/>
    </row>
    <row r="166" s="3" customFormat="1" ht="12.75">
      <c r="D166" s="91"/>
    </row>
    <row r="167" s="3" customFormat="1" ht="12.75">
      <c r="D167" s="91"/>
    </row>
    <row r="168" s="3" customFormat="1" ht="12.75">
      <c r="D168" s="91"/>
    </row>
    <row r="169" s="3" customFormat="1" ht="12.75">
      <c r="D169" s="91"/>
    </row>
    <row r="170" s="3" customFormat="1" ht="12.75">
      <c r="D170" s="91"/>
    </row>
    <row r="171" s="3" customFormat="1" ht="12.75">
      <c r="D171" s="91"/>
    </row>
    <row r="172" s="3" customFormat="1" ht="12.75">
      <c r="D172" s="91"/>
    </row>
    <row r="173" s="3" customFormat="1" ht="12.75">
      <c r="D173" s="91"/>
    </row>
    <row r="174" s="3" customFormat="1" ht="12.75">
      <c r="D174" s="91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zoomScalePageLayoutView="0" workbookViewId="0" topLeftCell="B1">
      <selection activeCell="B16" sqref="A1:IV1638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9" customWidth="1"/>
    <col min="9" max="9" width="8.375" style="63" customWidth="1"/>
    <col min="10" max="10" width="9.75390625" style="5" customWidth="1"/>
    <col min="11" max="11" width="10.00390625" style="68" customWidth="1"/>
    <col min="12" max="12" width="11.125" style="6" customWidth="1"/>
    <col min="13" max="13" width="13.00390625" style="1" customWidth="1"/>
    <col min="14" max="14" width="10.125" style="1" bestFit="1" customWidth="1"/>
    <col min="15" max="16384" width="9.125" style="1" customWidth="1"/>
  </cols>
  <sheetData>
    <row r="1" spans="12:13" ht="12" customHeight="1">
      <c r="L1" s="213" t="s">
        <v>30</v>
      </c>
      <c r="M1" s="213"/>
    </row>
    <row r="2" spans="2:13" ht="14.25" customHeight="1">
      <c r="B2" s="212" t="s">
        <v>104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3" ht="12" customHeight="1" thickBot="1">
      <c r="B3" s="37"/>
      <c r="C3" s="49"/>
      <c r="D3" s="49"/>
      <c r="E3" s="50"/>
      <c r="F3" s="49"/>
      <c r="G3" s="51"/>
      <c r="H3" s="60"/>
      <c r="I3" s="64"/>
      <c r="J3" s="52"/>
      <c r="K3" s="69"/>
      <c r="L3" s="53"/>
      <c r="M3" s="54" t="s">
        <v>0</v>
      </c>
    </row>
    <row r="4" spans="2:13" s="56" customFormat="1" ht="41.25" customHeight="1" thickBot="1">
      <c r="B4" s="38" t="s">
        <v>3</v>
      </c>
      <c r="C4" s="46" t="s">
        <v>65</v>
      </c>
      <c r="D4" s="46" t="s">
        <v>64</v>
      </c>
      <c r="E4" s="47" t="s">
        <v>63</v>
      </c>
      <c r="F4" s="46" t="s">
        <v>62</v>
      </c>
      <c r="G4" s="125" t="s">
        <v>61</v>
      </c>
      <c r="H4" s="46" t="s">
        <v>101</v>
      </c>
      <c r="I4" s="125" t="s">
        <v>66</v>
      </c>
      <c r="J4" s="47" t="s">
        <v>59</v>
      </c>
      <c r="K4" s="47" t="s">
        <v>48</v>
      </c>
      <c r="L4" s="48" t="s">
        <v>67</v>
      </c>
      <c r="M4" s="55" t="s">
        <v>68</v>
      </c>
    </row>
    <row r="5" spans="2:13" ht="12" customHeight="1">
      <c r="B5" s="19" t="s">
        <v>37</v>
      </c>
      <c r="C5" s="20">
        <f>46114+300</f>
        <v>46414</v>
      </c>
      <c r="D5" s="21"/>
      <c r="E5" s="22">
        <f>SUM(D5/C5)*100</f>
        <v>0</v>
      </c>
      <c r="F5" s="21"/>
      <c r="G5" s="17">
        <f>SUM(F5/C5)*100</f>
        <v>0</v>
      </c>
      <c r="H5" s="21"/>
      <c r="I5" s="65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46414</v>
      </c>
      <c r="M5" s="23">
        <f>SUM(L5/C5)*100</f>
        <v>100</v>
      </c>
    </row>
    <row r="6" spans="2:13" ht="12" customHeight="1">
      <c r="B6" s="19" t="s">
        <v>5</v>
      </c>
      <c r="C6" s="20">
        <f>56943+77</f>
        <v>57020</v>
      </c>
      <c r="D6" s="21"/>
      <c r="E6" s="22">
        <f>SUM(D6/C6)*100</f>
        <v>0</v>
      </c>
      <c r="F6" s="21"/>
      <c r="G6" s="17">
        <f>SUM(F6/C6)*100</f>
        <v>0</v>
      </c>
      <c r="H6" s="21">
        <v>77</v>
      </c>
      <c r="I6" s="65">
        <f t="shared" si="0"/>
        <v>0.13504033672395652</v>
      </c>
      <c r="J6" s="16"/>
      <c r="K6" s="17">
        <f t="shared" si="1"/>
        <v>0</v>
      </c>
      <c r="L6" s="16">
        <f t="shared" si="2"/>
        <v>56943</v>
      </c>
      <c r="M6" s="23">
        <f>SUM(L6/C6)*100</f>
        <v>99.86495966327604</v>
      </c>
    </row>
    <row r="7" spans="2:13" ht="12" customHeight="1">
      <c r="B7" s="19" t="s">
        <v>6</v>
      </c>
      <c r="C7" s="20">
        <v>259900</v>
      </c>
      <c r="D7" s="21"/>
      <c r="E7" s="22">
        <f>SUM(D7/C7)*100</f>
        <v>0</v>
      </c>
      <c r="F7" s="21">
        <v>10532</v>
      </c>
      <c r="G7" s="17">
        <f>SUM(F7/C7)*100</f>
        <v>4.0523278183916895</v>
      </c>
      <c r="H7" s="21"/>
      <c r="I7" s="65">
        <f t="shared" si="0"/>
        <v>0</v>
      </c>
      <c r="J7" s="16"/>
      <c r="K7" s="17">
        <f t="shared" si="1"/>
        <v>0</v>
      </c>
      <c r="L7" s="16">
        <f t="shared" si="2"/>
        <v>249368</v>
      </c>
      <c r="M7" s="23">
        <f>SUM(L7/C7)*100</f>
        <v>95.94767218160831</v>
      </c>
    </row>
    <row r="8" spans="2:13" ht="12" customHeight="1">
      <c r="B8" s="19" t="s">
        <v>13</v>
      </c>
      <c r="C8" s="20">
        <v>283771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65">
        <f t="shared" si="0"/>
        <v>0</v>
      </c>
      <c r="J8" s="16">
        <v>162323</v>
      </c>
      <c r="K8" s="17">
        <f t="shared" si="1"/>
        <v>57.20211015220019</v>
      </c>
      <c r="L8" s="16">
        <f t="shared" si="2"/>
        <v>121448</v>
      </c>
      <c r="M8" s="23">
        <f aca="true" t="shared" si="5" ref="M8:M15">SUM(L8/C8)*100</f>
        <v>42.79788984779981</v>
      </c>
    </row>
    <row r="9" spans="2:13" ht="12" customHeight="1">
      <c r="B9" s="19" t="s">
        <v>14</v>
      </c>
      <c r="C9" s="20">
        <f>796630-'önként2019.'!B11</f>
        <v>711630</v>
      </c>
      <c r="D9" s="21"/>
      <c r="E9" s="22">
        <f t="shared" si="3"/>
        <v>0</v>
      </c>
      <c r="F9" s="21"/>
      <c r="G9" s="22">
        <f t="shared" si="4"/>
        <v>0</v>
      </c>
      <c r="H9" s="21"/>
      <c r="I9" s="65">
        <f t="shared" si="0"/>
        <v>0</v>
      </c>
      <c r="J9" s="16"/>
      <c r="K9" s="17">
        <f t="shared" si="1"/>
        <v>0</v>
      </c>
      <c r="L9" s="16">
        <f t="shared" si="2"/>
        <v>711630</v>
      </c>
      <c r="M9" s="23">
        <f t="shared" si="5"/>
        <v>100</v>
      </c>
    </row>
    <row r="10" spans="2:13" ht="12" customHeight="1">
      <c r="B10" s="19" t="s">
        <v>15</v>
      </c>
      <c r="C10" s="20">
        <v>547559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65">
        <f t="shared" si="0"/>
        <v>0</v>
      </c>
      <c r="J10" s="16"/>
      <c r="K10" s="17">
        <f t="shared" si="1"/>
        <v>0</v>
      </c>
      <c r="L10" s="16">
        <f t="shared" si="2"/>
        <v>547559</v>
      </c>
      <c r="M10" s="23">
        <f t="shared" si="5"/>
        <v>100</v>
      </c>
    </row>
    <row r="11" spans="2:13" ht="12" customHeight="1">
      <c r="B11" s="19" t="s">
        <v>16</v>
      </c>
      <c r="C11" s="20">
        <f>3486729+2436</f>
        <v>3489165</v>
      </c>
      <c r="D11" s="21">
        <f>3485546-60000-18800-1200</f>
        <v>3405546</v>
      </c>
      <c r="E11" s="22">
        <f t="shared" si="3"/>
        <v>97.60346673201181</v>
      </c>
      <c r="F11" s="21"/>
      <c r="G11" s="22">
        <f t="shared" si="4"/>
        <v>0</v>
      </c>
      <c r="H11" s="21"/>
      <c r="I11" s="65">
        <f t="shared" si="0"/>
        <v>0</v>
      </c>
      <c r="J11" s="16">
        <v>6464</v>
      </c>
      <c r="K11" s="17">
        <f t="shared" si="1"/>
        <v>0.1852592239117382</v>
      </c>
      <c r="L11" s="16">
        <f>SUM(C11-D11-F11-H11-J11)</f>
        <v>77155</v>
      </c>
      <c r="M11" s="23">
        <f t="shared" si="5"/>
        <v>2.211274044076448</v>
      </c>
    </row>
    <row r="12" spans="2:13" ht="12" customHeight="1">
      <c r="B12" s="19" t="s">
        <v>58</v>
      </c>
      <c r="C12" s="134">
        <f>190121+55</f>
        <v>190176</v>
      </c>
      <c r="D12" s="185">
        <v>20000</v>
      </c>
      <c r="E12" s="22">
        <f t="shared" si="3"/>
        <v>10.516574120814404</v>
      </c>
      <c r="F12" s="185"/>
      <c r="G12" s="22">
        <f t="shared" si="4"/>
        <v>0</v>
      </c>
      <c r="H12" s="185"/>
      <c r="I12" s="65">
        <f t="shared" si="0"/>
        <v>0</v>
      </c>
      <c r="J12" s="21"/>
      <c r="K12" s="17">
        <f t="shared" si="1"/>
        <v>0</v>
      </c>
      <c r="L12" s="16">
        <f>SUM(C12-D12-F12-H12-J12)</f>
        <v>170176</v>
      </c>
      <c r="M12" s="23">
        <f t="shared" si="5"/>
        <v>89.4834258791856</v>
      </c>
    </row>
    <row r="13" spans="2:13" ht="12" customHeight="1">
      <c r="B13" s="186" t="s">
        <v>53</v>
      </c>
      <c r="C13" s="134">
        <f>1431900+389000</f>
        <v>1820900</v>
      </c>
      <c r="D13" s="185">
        <v>3500000</v>
      </c>
      <c r="E13" s="136">
        <f t="shared" si="3"/>
        <v>192.2126421000604</v>
      </c>
      <c r="F13" s="185"/>
      <c r="G13" s="136">
        <f t="shared" si="4"/>
        <v>0</v>
      </c>
      <c r="H13" s="185"/>
      <c r="I13" s="65">
        <f t="shared" si="0"/>
        <v>0</v>
      </c>
      <c r="J13" s="33"/>
      <c r="K13" s="17">
        <f t="shared" si="1"/>
        <v>0</v>
      </c>
      <c r="L13" s="16">
        <f t="shared" si="2"/>
        <v>-1679100</v>
      </c>
      <c r="M13" s="139">
        <f t="shared" si="5"/>
        <v>-92.2126421000604</v>
      </c>
    </row>
    <row r="14" spans="2:13" ht="12" customHeight="1" thickBot="1">
      <c r="B14" s="186" t="s">
        <v>29</v>
      </c>
      <c r="C14" s="134">
        <v>237968</v>
      </c>
      <c r="D14" s="185">
        <v>61712</v>
      </c>
      <c r="E14" s="136">
        <f t="shared" si="3"/>
        <v>25.932898540980297</v>
      </c>
      <c r="F14" s="185"/>
      <c r="G14" s="136">
        <f t="shared" si="4"/>
        <v>0</v>
      </c>
      <c r="H14" s="185"/>
      <c r="I14" s="117">
        <f t="shared" si="0"/>
        <v>0</v>
      </c>
      <c r="J14" s="185">
        <v>4106</v>
      </c>
      <c r="K14" s="34">
        <f t="shared" si="1"/>
        <v>1.7254420762455456</v>
      </c>
      <c r="L14" s="33">
        <f t="shared" si="2"/>
        <v>172150</v>
      </c>
      <c r="M14" s="139">
        <f t="shared" si="5"/>
        <v>72.34165938277415</v>
      </c>
    </row>
    <row r="15" spans="2:13" s="31" customFormat="1" ht="12" customHeight="1" thickBot="1">
      <c r="B15" s="28" t="s">
        <v>39</v>
      </c>
      <c r="C15" s="25">
        <f>SUM(C5:C14)</f>
        <v>7644503</v>
      </c>
      <c r="D15" s="25">
        <f>SUM(D5:D14)</f>
        <v>6987258</v>
      </c>
      <c r="E15" s="57">
        <f t="shared" si="3"/>
        <v>91.40238417069102</v>
      </c>
      <c r="F15" s="25">
        <f>SUM(F5:F14)</f>
        <v>10532</v>
      </c>
      <c r="G15" s="57">
        <f t="shared" si="4"/>
        <v>0.13777220049491773</v>
      </c>
      <c r="H15" s="25">
        <f>SUM(H5:H14)</f>
        <v>77</v>
      </c>
      <c r="I15" s="57">
        <f t="shared" si="0"/>
        <v>0.0010072597263680843</v>
      </c>
      <c r="J15" s="25">
        <f>SUM(J5:J14)</f>
        <v>172893</v>
      </c>
      <c r="K15" s="29">
        <f t="shared" si="1"/>
        <v>2.261664361960483</v>
      </c>
      <c r="L15" s="25">
        <f>SUM(L5:L14)</f>
        <v>473743</v>
      </c>
      <c r="M15" s="75">
        <f t="shared" si="5"/>
        <v>6.197172007127213</v>
      </c>
    </row>
    <row r="16" spans="2:13" s="133" customFormat="1" ht="12" customHeight="1">
      <c r="B16" s="187" t="s">
        <v>12</v>
      </c>
      <c r="C16" s="20">
        <v>46704</v>
      </c>
      <c r="D16" s="128">
        <v>2969</v>
      </c>
      <c r="E16" s="22">
        <f aca="true" t="shared" si="6" ref="E16:E24">SUM(D16/C16)*100</f>
        <v>6.357057211373758</v>
      </c>
      <c r="F16" s="128"/>
      <c r="G16" s="129">
        <f aca="true" t="shared" si="7" ref="G16:G23">SUM(F16/C16)*100</f>
        <v>0</v>
      </c>
      <c r="H16" s="128"/>
      <c r="I16" s="130">
        <f t="shared" si="0"/>
        <v>0</v>
      </c>
      <c r="J16" s="131">
        <v>300</v>
      </c>
      <c r="K16" s="132">
        <f t="shared" si="1"/>
        <v>0.6423432682425488</v>
      </c>
      <c r="L16" s="16">
        <f>SUM(C16-D16-F16-H16-J16)</f>
        <v>43435</v>
      </c>
      <c r="M16" s="23">
        <f aca="true" t="shared" si="8" ref="M16:M24">SUM(L16/C16)*100</f>
        <v>93.0005995203837</v>
      </c>
    </row>
    <row r="17" spans="2:13" s="133" customFormat="1" ht="12" customHeight="1">
      <c r="B17" s="187" t="s">
        <v>26</v>
      </c>
      <c r="C17" s="20">
        <v>54534</v>
      </c>
      <c r="D17" s="128">
        <v>19551</v>
      </c>
      <c r="E17" s="22">
        <f t="shared" si="6"/>
        <v>35.85102871603036</v>
      </c>
      <c r="F17" s="128">
        <v>7</v>
      </c>
      <c r="G17" s="129">
        <f t="shared" si="7"/>
        <v>0.012836028899402207</v>
      </c>
      <c r="H17" s="128">
        <v>39645</v>
      </c>
      <c r="I17" s="130">
        <f t="shared" si="0"/>
        <v>72.6977665309715</v>
      </c>
      <c r="J17" s="131"/>
      <c r="K17" s="132">
        <f t="shared" si="1"/>
        <v>0</v>
      </c>
      <c r="L17" s="16">
        <f>SUM(C17-D17-F17-H17-J17)</f>
        <v>-4669</v>
      </c>
      <c r="M17" s="23">
        <f t="shared" si="8"/>
        <v>-8.561631275901274</v>
      </c>
    </row>
    <row r="18" spans="2:13" s="133" customFormat="1" ht="12" customHeight="1">
      <c r="B18" s="187" t="s">
        <v>32</v>
      </c>
      <c r="C18" s="20">
        <v>58415</v>
      </c>
      <c r="D18" s="128">
        <v>8</v>
      </c>
      <c r="E18" s="22">
        <f t="shared" si="6"/>
        <v>0.013695112556706324</v>
      </c>
      <c r="F18" s="128">
        <v>743</v>
      </c>
      <c r="G18" s="129">
        <f t="shared" si="7"/>
        <v>1.2719335787041</v>
      </c>
      <c r="H18" s="128">
        <v>47840</v>
      </c>
      <c r="I18" s="130">
        <f t="shared" si="0"/>
        <v>81.89677308910383</v>
      </c>
      <c r="J18" s="131"/>
      <c r="K18" s="132">
        <f t="shared" si="1"/>
        <v>0</v>
      </c>
      <c r="L18" s="16">
        <f>SUM(C18-D18-F18-H18-J18)</f>
        <v>9824</v>
      </c>
      <c r="M18" s="23">
        <f t="shared" si="8"/>
        <v>16.817598219635368</v>
      </c>
    </row>
    <row r="19" spans="2:13" s="133" customFormat="1" ht="12" customHeight="1">
      <c r="B19" s="187" t="s">
        <v>28</v>
      </c>
      <c r="C19" s="20">
        <v>19443</v>
      </c>
      <c r="D19" s="128">
        <v>3</v>
      </c>
      <c r="E19" s="22">
        <f t="shared" si="6"/>
        <v>0.015429717636167257</v>
      </c>
      <c r="F19" s="128"/>
      <c r="G19" s="129">
        <f t="shared" si="7"/>
        <v>0</v>
      </c>
      <c r="H19" s="128">
        <v>18314</v>
      </c>
      <c r="I19" s="130">
        <f t="shared" si="0"/>
        <v>94.19328292958905</v>
      </c>
      <c r="J19" s="131"/>
      <c r="K19" s="132">
        <f t="shared" si="1"/>
        <v>0</v>
      </c>
      <c r="L19" s="16">
        <f>SUM(C19-D19-F19-H19-J19)</f>
        <v>1126</v>
      </c>
      <c r="M19" s="23">
        <f t="shared" si="8"/>
        <v>5.791287352774777</v>
      </c>
    </row>
    <row r="20" spans="2:13" s="133" customFormat="1" ht="12" customHeight="1" thickBot="1">
      <c r="B20" s="188" t="s">
        <v>27</v>
      </c>
      <c r="C20" s="134">
        <v>3113</v>
      </c>
      <c r="D20" s="135">
        <v>1672</v>
      </c>
      <c r="E20" s="136">
        <f t="shared" si="6"/>
        <v>53.71024734982333</v>
      </c>
      <c r="F20" s="135"/>
      <c r="G20" s="137">
        <f t="shared" si="7"/>
        <v>0</v>
      </c>
      <c r="H20" s="135">
        <v>2193</v>
      </c>
      <c r="I20" s="130">
        <f t="shared" si="0"/>
        <v>70.44651461612592</v>
      </c>
      <c r="J20" s="138"/>
      <c r="K20" s="132">
        <f t="shared" si="1"/>
        <v>0</v>
      </c>
      <c r="L20" s="16">
        <f>SUM(C20-D20-F20-H20-J20)</f>
        <v>-752</v>
      </c>
      <c r="M20" s="139">
        <f t="shared" si="8"/>
        <v>-24.156761965949244</v>
      </c>
    </row>
    <row r="21" spans="2:13" s="31" customFormat="1" ht="12" customHeight="1" thickBot="1">
      <c r="B21" s="28" t="s">
        <v>38</v>
      </c>
      <c r="C21" s="25">
        <f>SUM(C16:C20)</f>
        <v>182209</v>
      </c>
      <c r="D21" s="25">
        <f>SUM(D16:D20)</f>
        <v>24203</v>
      </c>
      <c r="E21" s="29">
        <f t="shared" si="6"/>
        <v>13.283097980890076</v>
      </c>
      <c r="F21" s="25">
        <f>SUM(F16:F20)</f>
        <v>750</v>
      </c>
      <c r="G21" s="29">
        <f t="shared" si="7"/>
        <v>0.41161523305654496</v>
      </c>
      <c r="H21" s="25">
        <f>SUM(H16:H20)</f>
        <v>107992</v>
      </c>
      <c r="I21" s="57">
        <f aca="true" t="shared" si="9" ref="I21:I39">SUM(H21/C21)*100</f>
        <v>59.26820299765654</v>
      </c>
      <c r="J21" s="25">
        <f>SUM(J16:J20)</f>
        <v>300</v>
      </c>
      <c r="K21" s="29">
        <f aca="true" t="shared" si="10" ref="K21:K39">SUM(J21/C21)*100</f>
        <v>0.164646093222618</v>
      </c>
      <c r="L21" s="25">
        <f>SUM(L16:L20)</f>
        <v>48964</v>
      </c>
      <c r="M21" s="42">
        <f t="shared" si="8"/>
        <v>26.872437695174224</v>
      </c>
    </row>
    <row r="22" spans="2:13" ht="12" customHeight="1">
      <c r="B22" s="126" t="s">
        <v>50</v>
      </c>
      <c r="C22" s="76">
        <f>722999+37967</f>
        <v>760966</v>
      </c>
      <c r="D22" s="77">
        <v>100000</v>
      </c>
      <c r="E22" s="78">
        <f t="shared" si="6"/>
        <v>13.141191590688678</v>
      </c>
      <c r="F22" s="77"/>
      <c r="G22" s="78">
        <f t="shared" si="7"/>
        <v>0</v>
      </c>
      <c r="H22" s="77"/>
      <c r="I22" s="79">
        <f>SUM(H22/C22)*100</f>
        <v>0</v>
      </c>
      <c r="J22" s="77">
        <f>4156+37967</f>
        <v>42123</v>
      </c>
      <c r="K22" s="78">
        <f>SUM(J22/C22)*100</f>
        <v>5.5354641337457915</v>
      </c>
      <c r="L22" s="77">
        <f>SUM(C22-D22-F22-H22-J22)</f>
        <v>618843</v>
      </c>
      <c r="M22" s="80">
        <f t="shared" si="8"/>
        <v>81.32334427556553</v>
      </c>
    </row>
    <row r="23" spans="2:13" ht="12" customHeight="1" thickBot="1">
      <c r="B23" s="39" t="s">
        <v>51</v>
      </c>
      <c r="C23" s="26">
        <f>1057786+8975+1660+32000</f>
        <v>1100421</v>
      </c>
      <c r="D23" s="27">
        <v>655000</v>
      </c>
      <c r="E23" s="40">
        <f t="shared" si="6"/>
        <v>59.52267359492412</v>
      </c>
      <c r="F23" s="27"/>
      <c r="G23" s="40">
        <f t="shared" si="7"/>
        <v>0</v>
      </c>
      <c r="H23" s="27"/>
      <c r="I23" s="66">
        <f>SUM(H23/C23)*100</f>
        <v>0</v>
      </c>
      <c r="J23" s="27">
        <v>6080</v>
      </c>
      <c r="K23" s="40">
        <f>SUM(J23/C23)*100</f>
        <v>0.552515809858227</v>
      </c>
      <c r="L23" s="27">
        <f>SUM(C23-D23-F23-H23-J23)</f>
        <v>439341</v>
      </c>
      <c r="M23" s="41">
        <f t="shared" si="8"/>
        <v>39.92481059521765</v>
      </c>
    </row>
    <row r="24" spans="2:13" ht="12" customHeight="1" thickBot="1">
      <c r="B24" s="28" t="s">
        <v>52</v>
      </c>
      <c r="C24" s="25">
        <f>SUM(C22:C23)</f>
        <v>1861387</v>
      </c>
      <c r="D24" s="25">
        <f>SUM(D22:D23)</f>
        <v>755000</v>
      </c>
      <c r="E24" s="57">
        <f t="shared" si="6"/>
        <v>40.561151442445876</v>
      </c>
      <c r="F24" s="25">
        <f aca="true" t="shared" si="11" ref="F24:L24">SUM(F22:F23)</f>
        <v>0</v>
      </c>
      <c r="G24" s="57">
        <f t="shared" si="11"/>
        <v>0</v>
      </c>
      <c r="H24" s="25">
        <f t="shared" si="11"/>
        <v>0</v>
      </c>
      <c r="I24" s="57">
        <f t="shared" si="11"/>
        <v>0</v>
      </c>
      <c r="J24" s="25">
        <f t="shared" si="11"/>
        <v>48203</v>
      </c>
      <c r="K24" s="29">
        <f t="shared" si="11"/>
        <v>6.087979943604019</v>
      </c>
      <c r="L24" s="25">
        <f t="shared" si="11"/>
        <v>1058184</v>
      </c>
      <c r="M24" s="75">
        <f t="shared" si="8"/>
        <v>56.849220500626686</v>
      </c>
    </row>
    <row r="25" spans="2:13" ht="12" customHeight="1">
      <c r="B25" s="166" t="s">
        <v>4</v>
      </c>
      <c r="C25" s="32">
        <f>877708+169185+899734+5639+54217+271+6366</f>
        <v>2013120</v>
      </c>
      <c r="D25" s="33">
        <v>81000</v>
      </c>
      <c r="E25" s="34">
        <f aca="true" t="shared" si="12" ref="E25:E45">SUM(D25/C25)*100</f>
        <v>4.023605150214593</v>
      </c>
      <c r="F25" s="33">
        <v>322798</v>
      </c>
      <c r="G25" s="34">
        <f aca="true" t="shared" si="13" ref="G25:G45">SUM(F25/C25)*100</f>
        <v>16.03471228739469</v>
      </c>
      <c r="H25" s="33">
        <f>5639+271+6366</f>
        <v>12276</v>
      </c>
      <c r="I25" s="117">
        <f t="shared" si="9"/>
        <v>0.6097997138769671</v>
      </c>
      <c r="J25" s="33">
        <v>41304</v>
      </c>
      <c r="K25" s="34">
        <f t="shared" si="10"/>
        <v>2.0517405817835</v>
      </c>
      <c r="L25" s="33">
        <f>SUM(C25-D25-F25-H25-J25)</f>
        <v>1555742</v>
      </c>
      <c r="M25" s="35">
        <f aca="true" t="shared" si="14" ref="M25:M45">SUM(L25/C25)*100</f>
        <v>77.28014226673025</v>
      </c>
    </row>
    <row r="26" spans="2:13" ht="12" customHeight="1" thickBot="1">
      <c r="B26" s="19" t="s">
        <v>49</v>
      </c>
      <c r="C26" s="20">
        <v>1000</v>
      </c>
      <c r="D26" s="21"/>
      <c r="E26" s="22">
        <f t="shared" si="12"/>
        <v>0</v>
      </c>
      <c r="F26" s="21"/>
      <c r="G26" s="22">
        <f t="shared" si="13"/>
        <v>0</v>
      </c>
      <c r="H26" s="21"/>
      <c r="I26" s="189">
        <f t="shared" si="9"/>
        <v>0</v>
      </c>
      <c r="J26" s="21"/>
      <c r="K26" s="22">
        <f t="shared" si="10"/>
        <v>0</v>
      </c>
      <c r="L26" s="21">
        <f>SUM(C26-D26-F26-H26-J26)</f>
        <v>1000</v>
      </c>
      <c r="M26" s="23">
        <f t="shared" si="14"/>
        <v>100</v>
      </c>
    </row>
    <row r="27" spans="2:13" ht="12" customHeight="1" thickBot="1">
      <c r="B27" s="28" t="s">
        <v>40</v>
      </c>
      <c r="C27" s="25">
        <f>SUM(C25:C26)</f>
        <v>2014120</v>
      </c>
      <c r="D27" s="25">
        <f>SUM(D25:D26)</f>
        <v>81000</v>
      </c>
      <c r="E27" s="29">
        <f t="shared" si="12"/>
        <v>4.021607451393164</v>
      </c>
      <c r="F27" s="25">
        <f>SUM(F25:F26)</f>
        <v>322798</v>
      </c>
      <c r="G27" s="29">
        <f t="shared" si="13"/>
        <v>16.026751136972972</v>
      </c>
      <c r="H27" s="25">
        <f>SUM(H25:H26)</f>
        <v>12276</v>
      </c>
      <c r="I27" s="57">
        <f t="shared" si="9"/>
        <v>0.6094969515222529</v>
      </c>
      <c r="J27" s="25">
        <f>SUM(J25)</f>
        <v>41304</v>
      </c>
      <c r="K27" s="29">
        <f t="shared" si="10"/>
        <v>2.0507219033622626</v>
      </c>
      <c r="L27" s="25">
        <f>SUM(L25:L26)</f>
        <v>1556742</v>
      </c>
      <c r="M27" s="42">
        <f t="shared" si="14"/>
        <v>77.29142255674934</v>
      </c>
    </row>
    <row r="28" spans="2:13" s="82" customFormat="1" ht="12" customHeight="1" thickBot="1">
      <c r="B28" s="166" t="s">
        <v>7</v>
      </c>
      <c r="C28" s="32">
        <v>269083</v>
      </c>
      <c r="D28" s="33">
        <v>5400</v>
      </c>
      <c r="E28" s="34">
        <f t="shared" si="12"/>
        <v>2.0068157408680594</v>
      </c>
      <c r="F28" s="33">
        <f>30049+41902+15422+62339+296+865+280+814+4861-3292+12427-1197+26313</f>
        <v>191079</v>
      </c>
      <c r="G28" s="34">
        <f t="shared" si="13"/>
        <v>71.01117499061628</v>
      </c>
      <c r="H28" s="33"/>
      <c r="I28" s="117">
        <f t="shared" si="9"/>
        <v>0</v>
      </c>
      <c r="J28" s="33">
        <v>5385</v>
      </c>
      <c r="K28" s="34">
        <f t="shared" si="10"/>
        <v>2.001241252698981</v>
      </c>
      <c r="L28" s="33">
        <f>SUM(C28-D28-F28-H28-J28)</f>
        <v>67219</v>
      </c>
      <c r="M28" s="35">
        <f t="shared" si="14"/>
        <v>24.980768015816682</v>
      </c>
    </row>
    <row r="29" spans="2:13" s="82" customFormat="1" ht="12" customHeight="1" thickBot="1">
      <c r="B29" s="28" t="s">
        <v>41</v>
      </c>
      <c r="C29" s="25">
        <f>SUM(C28)</f>
        <v>269083</v>
      </c>
      <c r="D29" s="190">
        <f>SUM(D28)</f>
        <v>5400</v>
      </c>
      <c r="E29" s="30">
        <f t="shared" si="12"/>
        <v>2.0068157408680594</v>
      </c>
      <c r="F29" s="190">
        <f>SUM(F28)</f>
        <v>191079</v>
      </c>
      <c r="G29" s="30">
        <f t="shared" si="13"/>
        <v>71.01117499061628</v>
      </c>
      <c r="H29" s="190">
        <f>SUM(H28)</f>
        <v>0</v>
      </c>
      <c r="I29" s="191">
        <f t="shared" si="9"/>
        <v>0</v>
      </c>
      <c r="J29" s="190">
        <f>SUM(J28)</f>
        <v>5385</v>
      </c>
      <c r="K29" s="30">
        <f t="shared" si="10"/>
        <v>2.001241252698981</v>
      </c>
      <c r="L29" s="190">
        <f>SUM(L28)</f>
        <v>67219</v>
      </c>
      <c r="M29" s="192">
        <f t="shared" si="14"/>
        <v>24.980768015816682</v>
      </c>
    </row>
    <row r="30" spans="2:13" s="82" customFormat="1" ht="12" customHeight="1">
      <c r="B30" s="14" t="s">
        <v>8</v>
      </c>
      <c r="C30" s="15">
        <f>205244+8+3986+9899+10675</f>
        <v>229812</v>
      </c>
      <c r="D30" s="16"/>
      <c r="E30" s="17">
        <f t="shared" si="12"/>
        <v>0</v>
      </c>
      <c r="F30" s="16">
        <f>35970+8+3986+3703</f>
        <v>43667</v>
      </c>
      <c r="G30" s="17">
        <f t="shared" si="13"/>
        <v>19.001183576140498</v>
      </c>
      <c r="H30" s="16"/>
      <c r="I30" s="65">
        <f t="shared" si="9"/>
        <v>0</v>
      </c>
      <c r="J30" s="16"/>
      <c r="K30" s="17">
        <f t="shared" si="10"/>
        <v>0</v>
      </c>
      <c r="L30" s="16">
        <f>SUM(C30-D30-F30-H30-J30)</f>
        <v>186145</v>
      </c>
      <c r="M30" s="18">
        <f t="shared" si="14"/>
        <v>80.9988164238595</v>
      </c>
    </row>
    <row r="31" spans="2:13" s="82" customFormat="1" ht="12" customHeight="1">
      <c r="B31" s="19" t="s">
        <v>98</v>
      </c>
      <c r="C31" s="20">
        <f>123588+97+4322+4476</f>
        <v>132483</v>
      </c>
      <c r="D31" s="21">
        <v>14676</v>
      </c>
      <c r="E31" s="22">
        <f t="shared" si="12"/>
        <v>11.077647698195241</v>
      </c>
      <c r="F31" s="21">
        <f>22515+97+4322+105+4371-25</f>
        <v>31385</v>
      </c>
      <c r="G31" s="22">
        <f t="shared" si="13"/>
        <v>23.689831902961135</v>
      </c>
      <c r="H31" s="21"/>
      <c r="I31" s="65">
        <f t="shared" si="9"/>
        <v>0</v>
      </c>
      <c r="J31" s="16"/>
      <c r="K31" s="17">
        <f t="shared" si="10"/>
        <v>0</v>
      </c>
      <c r="L31" s="16">
        <f aca="true" t="shared" si="15" ref="L31:L39">SUM(C31-D31-F31-H31-J31)</f>
        <v>86422</v>
      </c>
      <c r="M31" s="23">
        <f t="shared" si="14"/>
        <v>65.23252039884363</v>
      </c>
    </row>
    <row r="32" spans="2:13" s="82" customFormat="1" ht="12" customHeight="1">
      <c r="B32" s="19" t="s">
        <v>99</v>
      </c>
      <c r="C32" s="20">
        <f>59156+1214+1219</f>
        <v>61589</v>
      </c>
      <c r="D32" s="21">
        <v>13240</v>
      </c>
      <c r="E32" s="22">
        <f t="shared" si="12"/>
        <v>21.497345305168132</v>
      </c>
      <c r="F32" s="21">
        <f>11392+9610+1214+1219-2051</f>
        <v>21384</v>
      </c>
      <c r="G32" s="22">
        <f t="shared" si="13"/>
        <v>34.7204858010359</v>
      </c>
      <c r="H32" s="21"/>
      <c r="I32" s="65">
        <f t="shared" si="9"/>
        <v>0</v>
      </c>
      <c r="J32" s="16"/>
      <c r="K32" s="17">
        <f t="shared" si="10"/>
        <v>0</v>
      </c>
      <c r="L32" s="16">
        <f t="shared" si="15"/>
        <v>26965</v>
      </c>
      <c r="M32" s="23">
        <f t="shared" si="14"/>
        <v>43.78216889379597</v>
      </c>
    </row>
    <row r="33" spans="2:13" s="82" customFormat="1" ht="12" customHeight="1">
      <c r="B33" s="19" t="s">
        <v>9</v>
      </c>
      <c r="C33" s="20">
        <f>97390+631</f>
        <v>98021</v>
      </c>
      <c r="D33" s="21">
        <v>28384</v>
      </c>
      <c r="E33" s="22">
        <f t="shared" si="12"/>
        <v>28.95706022178921</v>
      </c>
      <c r="F33" s="21">
        <f>19376+638+631-49</f>
        <v>20596</v>
      </c>
      <c r="G33" s="22">
        <f t="shared" si="13"/>
        <v>21.011823996898624</v>
      </c>
      <c r="H33" s="21"/>
      <c r="I33" s="65">
        <f t="shared" si="9"/>
        <v>0</v>
      </c>
      <c r="J33" s="16"/>
      <c r="K33" s="17">
        <f t="shared" si="10"/>
        <v>0</v>
      </c>
      <c r="L33" s="16">
        <f t="shared" si="15"/>
        <v>49041</v>
      </c>
      <c r="M33" s="23">
        <f t="shared" si="14"/>
        <v>50.03111578131217</v>
      </c>
    </row>
    <row r="34" spans="2:13" s="82" customFormat="1" ht="12" customHeight="1">
      <c r="B34" s="19" t="s">
        <v>10</v>
      </c>
      <c r="C34" s="20">
        <f>1955+43+42</f>
        <v>2040</v>
      </c>
      <c r="D34" s="21"/>
      <c r="E34" s="22">
        <f t="shared" si="12"/>
        <v>0</v>
      </c>
      <c r="F34" s="21">
        <f>43+42</f>
        <v>85</v>
      </c>
      <c r="G34" s="22">
        <f t="shared" si="13"/>
        <v>4.166666666666666</v>
      </c>
      <c r="H34" s="21">
        <v>1955</v>
      </c>
      <c r="I34" s="65">
        <f t="shared" si="9"/>
        <v>95.83333333333334</v>
      </c>
      <c r="J34" s="16"/>
      <c r="K34" s="17">
        <f t="shared" si="10"/>
        <v>0</v>
      </c>
      <c r="L34" s="16">
        <f t="shared" si="15"/>
        <v>0</v>
      </c>
      <c r="M34" s="23">
        <f t="shared" si="14"/>
        <v>0</v>
      </c>
    </row>
    <row r="35" spans="2:13" s="82" customFormat="1" ht="12" customHeight="1">
      <c r="B35" s="19" t="s">
        <v>96</v>
      </c>
      <c r="C35" s="20">
        <f>81779+4836+8287</f>
        <v>94902</v>
      </c>
      <c r="D35" s="21"/>
      <c r="E35" s="22">
        <f t="shared" si="12"/>
        <v>0</v>
      </c>
      <c r="F35" s="21">
        <f>10560+4836+4287</f>
        <v>19683</v>
      </c>
      <c r="G35" s="22">
        <f t="shared" si="13"/>
        <v>20.740342669279887</v>
      </c>
      <c r="H35" s="21">
        <v>4000</v>
      </c>
      <c r="I35" s="65">
        <f t="shared" si="9"/>
        <v>4.21487429137426</v>
      </c>
      <c r="J35" s="16">
        <v>7965</v>
      </c>
      <c r="K35" s="17">
        <f t="shared" si="10"/>
        <v>8.392868432698995</v>
      </c>
      <c r="L35" s="16">
        <f t="shared" si="15"/>
        <v>63254</v>
      </c>
      <c r="M35" s="23">
        <f t="shared" si="14"/>
        <v>66.65191460664686</v>
      </c>
    </row>
    <row r="36" spans="2:13" s="82" customFormat="1" ht="12" customHeight="1">
      <c r="B36" s="19" t="s">
        <v>11</v>
      </c>
      <c r="C36" s="20">
        <f>134594+2771+3162</f>
        <v>140527</v>
      </c>
      <c r="D36" s="21"/>
      <c r="E36" s="22">
        <f t="shared" si="12"/>
        <v>0</v>
      </c>
      <c r="F36" s="21">
        <f>7480+26027+2771+3162</f>
        <v>39440</v>
      </c>
      <c r="G36" s="22">
        <f t="shared" si="13"/>
        <v>28.065780953126445</v>
      </c>
      <c r="H36" s="21"/>
      <c r="I36" s="65">
        <f t="shared" si="9"/>
        <v>0</v>
      </c>
      <c r="J36" s="16"/>
      <c r="K36" s="17">
        <f t="shared" si="10"/>
        <v>0</v>
      </c>
      <c r="L36" s="16">
        <f t="shared" si="15"/>
        <v>101087</v>
      </c>
      <c r="M36" s="23">
        <f t="shared" si="14"/>
        <v>71.93421904687357</v>
      </c>
    </row>
    <row r="37" spans="2:13" s="82" customFormat="1" ht="12" customHeight="1">
      <c r="B37" s="186" t="s">
        <v>97</v>
      </c>
      <c r="C37" s="134">
        <f>56083+2613+2741</f>
        <v>61437</v>
      </c>
      <c r="D37" s="185"/>
      <c r="E37" s="136">
        <f t="shared" si="12"/>
        <v>0</v>
      </c>
      <c r="F37" s="185">
        <f>71+2613+2741</f>
        <v>5425</v>
      </c>
      <c r="G37" s="22">
        <f t="shared" si="13"/>
        <v>8.83018376548334</v>
      </c>
      <c r="H37" s="185"/>
      <c r="I37" s="117">
        <f t="shared" si="9"/>
        <v>0</v>
      </c>
      <c r="J37" s="33"/>
      <c r="K37" s="17">
        <f t="shared" si="10"/>
        <v>0</v>
      </c>
      <c r="L37" s="16">
        <f t="shared" si="15"/>
        <v>56012</v>
      </c>
      <c r="M37" s="23">
        <f t="shared" si="14"/>
        <v>91.16981623451666</v>
      </c>
    </row>
    <row r="38" spans="2:13" s="82" customFormat="1" ht="12" customHeight="1">
      <c r="B38" s="186" t="s">
        <v>54</v>
      </c>
      <c r="C38" s="134">
        <f>9601+516+3273</f>
        <v>13390</v>
      </c>
      <c r="D38" s="185">
        <v>2145</v>
      </c>
      <c r="E38" s="136">
        <f t="shared" si="12"/>
        <v>16.019417475728158</v>
      </c>
      <c r="F38" s="185">
        <f>516+511</f>
        <v>1027</v>
      </c>
      <c r="G38" s="22">
        <f t="shared" si="13"/>
        <v>7.669902912621359</v>
      </c>
      <c r="H38" s="185">
        <v>518</v>
      </c>
      <c r="I38" s="189">
        <f t="shared" si="9"/>
        <v>3.8685586258401794</v>
      </c>
      <c r="J38" s="21"/>
      <c r="K38" s="22">
        <f t="shared" si="10"/>
        <v>0</v>
      </c>
      <c r="L38" s="16">
        <f t="shared" si="15"/>
        <v>9700</v>
      </c>
      <c r="M38" s="23">
        <f t="shared" si="14"/>
        <v>72.4421209858103</v>
      </c>
    </row>
    <row r="39" spans="2:13" s="82" customFormat="1" ht="12" customHeight="1" thickBot="1">
      <c r="B39" s="39" t="s">
        <v>100</v>
      </c>
      <c r="C39" s="26">
        <f>19650+1528+1561</f>
        <v>22739</v>
      </c>
      <c r="D39" s="27"/>
      <c r="E39" s="40">
        <f t="shared" si="12"/>
        <v>0</v>
      </c>
      <c r="F39" s="27">
        <f>3400+6150+1528+1561</f>
        <v>12639</v>
      </c>
      <c r="G39" s="40">
        <f t="shared" si="13"/>
        <v>55.582919213685734</v>
      </c>
      <c r="H39" s="27"/>
      <c r="I39" s="66">
        <f t="shared" si="9"/>
        <v>0</v>
      </c>
      <c r="J39" s="27"/>
      <c r="K39" s="40">
        <f t="shared" si="10"/>
        <v>0</v>
      </c>
      <c r="L39" s="27">
        <f t="shared" si="15"/>
        <v>10100</v>
      </c>
      <c r="M39" s="41">
        <f t="shared" si="14"/>
        <v>44.41708078631426</v>
      </c>
    </row>
    <row r="40" spans="2:13" s="31" customFormat="1" ht="12" customHeight="1" thickBot="1">
      <c r="B40" s="193" t="s">
        <v>42</v>
      </c>
      <c r="C40" s="25">
        <f>SUM(C30:C39)</f>
        <v>856940</v>
      </c>
      <c r="D40" s="190">
        <f>SUM(D30:D39)</f>
        <v>58445</v>
      </c>
      <c r="E40" s="30">
        <f t="shared" si="12"/>
        <v>6.820197446729059</v>
      </c>
      <c r="F40" s="190">
        <f>SUM(F30:F39)</f>
        <v>195331</v>
      </c>
      <c r="G40" s="30">
        <f t="shared" si="13"/>
        <v>22.794011249329007</v>
      </c>
      <c r="H40" s="190">
        <f>SUM(H30:H39)</f>
        <v>6473</v>
      </c>
      <c r="I40" s="191">
        <f aca="true" t="shared" si="16" ref="I40:I45">SUM(H40/C40)*100</f>
        <v>0.7553621023642262</v>
      </c>
      <c r="J40" s="190">
        <f>SUM(J30:J39)</f>
        <v>7965</v>
      </c>
      <c r="K40" s="30">
        <f aca="true" t="shared" si="17" ref="K40:K45">SUM(J40/C40)*100</f>
        <v>0.9294699745606461</v>
      </c>
      <c r="L40" s="190">
        <f>SUM(L30:L39)</f>
        <v>588726</v>
      </c>
      <c r="M40" s="192">
        <f t="shared" si="14"/>
        <v>68.70095922701705</v>
      </c>
    </row>
    <row r="41" spans="2:13" s="31" customFormat="1" ht="12" customHeight="1" thickBot="1">
      <c r="B41" s="153" t="s">
        <v>44</v>
      </c>
      <c r="C41" s="194">
        <v>207155</v>
      </c>
      <c r="D41" s="195">
        <v>3500</v>
      </c>
      <c r="E41" s="196">
        <f t="shared" si="12"/>
        <v>1.6895561294682726</v>
      </c>
      <c r="F41" s="195">
        <f>94494-2915</f>
        <v>91579</v>
      </c>
      <c r="G41" s="196">
        <f t="shared" si="13"/>
        <v>44.20796022302141</v>
      </c>
      <c r="H41" s="195"/>
      <c r="I41" s="197">
        <f t="shared" si="16"/>
        <v>0</v>
      </c>
      <c r="J41" s="195">
        <v>2138</v>
      </c>
      <c r="K41" s="30">
        <f t="shared" si="17"/>
        <v>1.0320774299437618</v>
      </c>
      <c r="L41" s="195">
        <f>SUM(C41-D41-F41-H41-J41)</f>
        <v>109938</v>
      </c>
      <c r="M41" s="198">
        <f t="shared" si="14"/>
        <v>53.07040621756656</v>
      </c>
    </row>
    <row r="42" spans="2:13" s="31" customFormat="1" ht="12" customHeight="1" thickBot="1">
      <c r="B42" s="28" t="s">
        <v>45</v>
      </c>
      <c r="C42" s="25">
        <v>113248</v>
      </c>
      <c r="D42" s="190">
        <v>3000</v>
      </c>
      <c r="E42" s="30">
        <f t="shared" si="12"/>
        <v>2.649053404916643</v>
      </c>
      <c r="F42" s="190">
        <f>51099+58+49</f>
        <v>51206</v>
      </c>
      <c r="G42" s="30">
        <f t="shared" si="13"/>
        <v>45.21580955072054</v>
      </c>
      <c r="H42" s="190"/>
      <c r="I42" s="191">
        <f t="shared" si="16"/>
        <v>0</v>
      </c>
      <c r="J42" s="190">
        <v>2052</v>
      </c>
      <c r="K42" s="199">
        <f t="shared" si="17"/>
        <v>1.8119525289629839</v>
      </c>
      <c r="L42" s="190">
        <f>SUM(C42-D42-F42-H42-J42)</f>
        <v>56990</v>
      </c>
      <c r="M42" s="200">
        <f t="shared" si="14"/>
        <v>50.32318451539983</v>
      </c>
    </row>
    <row r="43" spans="2:13" s="31" customFormat="1" ht="12" customHeight="1" thickBot="1">
      <c r="B43" s="28" t="s">
        <v>46</v>
      </c>
      <c r="C43" s="25">
        <v>205891</v>
      </c>
      <c r="D43" s="190">
        <v>6000</v>
      </c>
      <c r="E43" s="30">
        <f t="shared" si="12"/>
        <v>2.9141633194262986</v>
      </c>
      <c r="F43" s="190">
        <f>93752+19+27-1070</f>
        <v>92728</v>
      </c>
      <c r="G43" s="30">
        <f t="shared" si="13"/>
        <v>45.037422713960304</v>
      </c>
      <c r="H43" s="190"/>
      <c r="I43" s="191">
        <f t="shared" si="16"/>
        <v>0</v>
      </c>
      <c r="J43" s="190">
        <v>1318</v>
      </c>
      <c r="K43" s="199">
        <f t="shared" si="17"/>
        <v>0.6401445425006436</v>
      </c>
      <c r="L43" s="190">
        <f>SUM(C43-D43-F43-H43-J43)</f>
        <v>105845</v>
      </c>
      <c r="M43" s="200">
        <f t="shared" si="14"/>
        <v>51.40826942411276</v>
      </c>
    </row>
    <row r="44" spans="2:13" s="31" customFormat="1" ht="12" customHeight="1" thickBot="1">
      <c r="B44" s="153" t="s">
        <v>47</v>
      </c>
      <c r="C44" s="194">
        <v>171424</v>
      </c>
      <c r="D44" s="195">
        <v>2450</v>
      </c>
      <c r="E44" s="196">
        <f t="shared" si="12"/>
        <v>1.4292047787941011</v>
      </c>
      <c r="F44" s="195">
        <f>72484+10+6-40</f>
        <v>72460</v>
      </c>
      <c r="G44" s="196">
        <f t="shared" si="13"/>
        <v>42.26946051894717</v>
      </c>
      <c r="H44" s="195"/>
      <c r="I44" s="197">
        <f t="shared" si="16"/>
        <v>0</v>
      </c>
      <c r="J44" s="195">
        <v>16395</v>
      </c>
      <c r="K44" s="30">
        <f t="shared" si="17"/>
        <v>9.564005040134402</v>
      </c>
      <c r="L44" s="195">
        <f>SUM(C44-D44-F44-H44-J44)</f>
        <v>80119</v>
      </c>
      <c r="M44" s="198">
        <f t="shared" si="14"/>
        <v>46.737329662124324</v>
      </c>
    </row>
    <row r="45" spans="2:15" s="4" customFormat="1" ht="12" customHeight="1" thickBot="1">
      <c r="B45" s="24" t="s">
        <v>17</v>
      </c>
      <c r="C45" s="25">
        <f>SUM(C40,C29,C27,C21,C15,C41,C42,C43,C44,C24)</f>
        <v>13525960</v>
      </c>
      <c r="D45" s="25">
        <f>SUM(D40,D29,D27,D21,D15,D41,D42,D43,D44,D24)</f>
        <v>7926256</v>
      </c>
      <c r="E45" s="29">
        <f t="shared" si="12"/>
        <v>58.60032116019861</v>
      </c>
      <c r="F45" s="25">
        <f>SUM(F40,F29,F27,F21,F15,F41,F42,F43,F44,F24)</f>
        <v>1028463</v>
      </c>
      <c r="G45" s="29">
        <f t="shared" si="13"/>
        <v>7.6036229591097415</v>
      </c>
      <c r="H45" s="25">
        <f>SUM(H40,H29,H27,H21,H15,H41,H42,H43,H44)</f>
        <v>126818</v>
      </c>
      <c r="I45" s="57">
        <f t="shared" si="16"/>
        <v>0.937589642435731</v>
      </c>
      <c r="J45" s="25">
        <f>SUM(J40,J29,J27,J21,J15,J41,J42,J43,J44,J24)</f>
        <v>297953</v>
      </c>
      <c r="K45" s="30">
        <f t="shared" si="17"/>
        <v>2.202823311617068</v>
      </c>
      <c r="L45" s="25">
        <f>SUM(L40,L29,L27,L21,L15,L41,L42,L43,L44,L24)</f>
        <v>4146470</v>
      </c>
      <c r="M45" s="42">
        <f t="shared" si="14"/>
        <v>30.655642926638848</v>
      </c>
      <c r="N45" s="81"/>
      <c r="O45" s="81"/>
    </row>
    <row r="48" ht="12.75">
      <c r="J48" s="59"/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B1" sqref="B1:L16384"/>
    </sheetView>
  </sheetViews>
  <sheetFormatPr defaultColWidth="9.00390625" defaultRowHeight="12.75"/>
  <cols>
    <col min="1" max="1" width="26.00390625" style="82" customWidth="1"/>
    <col min="2" max="3" width="13.375" style="82" customWidth="1"/>
    <col min="4" max="4" width="13.375" style="124" customWidth="1"/>
    <col min="5" max="12" width="13.375" style="82" customWidth="1"/>
    <col min="13" max="13" width="10.125" style="82" bestFit="1" customWidth="1"/>
    <col min="14" max="16384" width="9.125" style="82" customWidth="1"/>
  </cols>
  <sheetData>
    <row r="1" spans="1:12" ht="12.75">
      <c r="A1" s="37"/>
      <c r="B1" s="37"/>
      <c r="C1" s="37"/>
      <c r="D1" s="119"/>
      <c r="E1" s="37"/>
      <c r="F1" s="37"/>
      <c r="G1" s="37"/>
      <c r="H1" s="37"/>
      <c r="I1" s="37"/>
      <c r="J1" s="37"/>
      <c r="K1" s="210" t="s">
        <v>31</v>
      </c>
      <c r="L1" s="210"/>
    </row>
    <row r="2" spans="1:12" ht="12.75">
      <c r="A2" s="211" t="s">
        <v>106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3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3.5" thickBot="1">
      <c r="A4" s="98"/>
      <c r="B4" s="98"/>
      <c r="C4" s="98"/>
      <c r="D4" s="120"/>
      <c r="E4" s="99"/>
      <c r="F4" s="100"/>
      <c r="G4" s="99"/>
      <c r="H4" s="100"/>
      <c r="I4" s="100"/>
      <c r="J4" s="100"/>
      <c r="K4" s="101"/>
      <c r="L4" s="54" t="s">
        <v>0</v>
      </c>
    </row>
    <row r="5" spans="1:12" ht="92.25" customHeight="1" thickBot="1">
      <c r="A5" s="102" t="s">
        <v>3</v>
      </c>
      <c r="B5" s="103" t="s">
        <v>69</v>
      </c>
      <c r="C5" s="103" t="s">
        <v>80</v>
      </c>
      <c r="D5" s="121" t="s">
        <v>70</v>
      </c>
      <c r="E5" s="103" t="s">
        <v>102</v>
      </c>
      <c r="F5" s="104" t="s">
        <v>71</v>
      </c>
      <c r="G5" s="103" t="s">
        <v>81</v>
      </c>
      <c r="H5" s="104" t="s">
        <v>73</v>
      </c>
      <c r="I5" s="104" t="s">
        <v>76</v>
      </c>
      <c r="J5" s="104" t="s">
        <v>116</v>
      </c>
      <c r="K5" s="105" t="s">
        <v>74</v>
      </c>
      <c r="L5" s="106" t="s">
        <v>75</v>
      </c>
    </row>
    <row r="6" spans="1:12" ht="12.75">
      <c r="A6" s="83" t="s">
        <v>77</v>
      </c>
      <c r="B6" s="150"/>
      <c r="C6" s="150"/>
      <c r="D6" s="151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78</v>
      </c>
      <c r="B7" s="150">
        <f>33861+4600</f>
        <v>38461</v>
      </c>
      <c r="C7" s="150"/>
      <c r="D7" s="151"/>
      <c r="E7" s="16"/>
      <c r="F7" s="17"/>
      <c r="G7" s="16"/>
      <c r="H7" s="17"/>
      <c r="I7" s="16">
        <v>38461</v>
      </c>
      <c r="J7" s="17"/>
      <c r="K7" s="21"/>
      <c r="L7" s="18"/>
    </row>
    <row r="8" spans="1:12" ht="12.75">
      <c r="A8" s="14" t="s">
        <v>79</v>
      </c>
      <c r="B8" s="97">
        <f>223950-40000-30000-25000-52600+69215+43500+7000+6600+44450+12650+16510+32512+65500</f>
        <v>374287</v>
      </c>
      <c r="C8" s="97">
        <v>374287</v>
      </c>
      <c r="D8" s="122">
        <f>SUM(C8/B8)*100</f>
        <v>100</v>
      </c>
      <c r="E8" s="21"/>
      <c r="F8" s="22">
        <f>SUM(E8/B8)*100</f>
        <v>0</v>
      </c>
      <c r="G8" s="21"/>
      <c r="H8" s="22">
        <f>SUM(G8/B8*100)</f>
        <v>0</v>
      </c>
      <c r="I8" s="21"/>
      <c r="J8" s="17">
        <f>SUM(I8/B8*100)</f>
        <v>0</v>
      </c>
      <c r="K8" s="21">
        <f>SUM(B8-C8-E8-G8-I8)</f>
        <v>0</v>
      </c>
      <c r="L8" s="23">
        <f>SUM(K8/B8)*100</f>
        <v>0</v>
      </c>
    </row>
    <row r="9" spans="1:12" ht="12.75">
      <c r="A9" s="84" t="s">
        <v>82</v>
      </c>
      <c r="B9" s="97"/>
      <c r="C9" s="97"/>
      <c r="D9" s="122"/>
      <c r="E9" s="21"/>
      <c r="F9" s="22"/>
      <c r="G9" s="21"/>
      <c r="H9" s="22"/>
      <c r="I9" s="21"/>
      <c r="J9" s="17"/>
      <c r="K9" s="21"/>
      <c r="L9" s="23"/>
    </row>
    <row r="10" spans="1:12" ht="12.75">
      <c r="A10" s="14" t="s">
        <v>78</v>
      </c>
      <c r="B10" s="97">
        <f>6556482-'kötelező2019.felh.'!C9</f>
        <v>6537872</v>
      </c>
      <c r="C10" s="97"/>
      <c r="D10" s="122">
        <f>SUM(C10/B10)*100</f>
        <v>0</v>
      </c>
      <c r="E10" s="21"/>
      <c r="F10" s="22">
        <f>SUM(E10/B10)*100</f>
        <v>0</v>
      </c>
      <c r="G10" s="21"/>
      <c r="H10" s="22">
        <f aca="true" t="shared" si="0" ref="H10:H18">SUM(G10/B10*100)</f>
        <v>0</v>
      </c>
      <c r="I10" s="21">
        <v>6537872</v>
      </c>
      <c r="J10" s="17">
        <f>SUM(I10/B10*100)</f>
        <v>100</v>
      </c>
      <c r="K10" s="21">
        <f>SUM(B10-C10-E10-G10-I10)</f>
        <v>0</v>
      </c>
      <c r="L10" s="23">
        <f>SUM(K10/B10)*100</f>
        <v>0</v>
      </c>
    </row>
    <row r="11" spans="1:12" ht="12.75">
      <c r="A11" s="14" t="s">
        <v>103</v>
      </c>
      <c r="B11" s="97">
        <f>14864982-'kötelező2019.felh.'!C10-B10-'kötelező2019.felh.'!C9</f>
        <v>8166500</v>
      </c>
      <c r="C11" s="97">
        <f>568959+301561-35000-30369</f>
        <v>805151</v>
      </c>
      <c r="D11" s="122">
        <f>SUM(C11/B11)*100</f>
        <v>9.859193044756015</v>
      </c>
      <c r="E11" s="21">
        <f>5662726-1627896</f>
        <v>4034830</v>
      </c>
      <c r="F11" s="22">
        <f>SUM(E11/B11)*100</f>
        <v>49.40708994061103</v>
      </c>
      <c r="G11" s="21">
        <f>35000+30369</f>
        <v>65369</v>
      </c>
      <c r="H11" s="22">
        <f>SUM(G11/B11*100)</f>
        <v>0.8004530704708259</v>
      </c>
      <c r="I11" s="21">
        <f>650000+260641+496866</f>
        <v>1407507</v>
      </c>
      <c r="J11" s="17">
        <f>SUM(I11/B11*100)</f>
        <v>17.2351313292108</v>
      </c>
      <c r="K11" s="21">
        <f>SUM(B11-C11-E11-G11-I11)</f>
        <v>1853643</v>
      </c>
      <c r="L11" s="23">
        <f>SUM(K11/B11)*100</f>
        <v>22.698132614951323</v>
      </c>
    </row>
    <row r="12" spans="1:12" ht="12.75">
      <c r="A12" s="84" t="s">
        <v>83</v>
      </c>
      <c r="B12" s="97"/>
      <c r="C12" s="97"/>
      <c r="D12" s="122"/>
      <c r="E12" s="21"/>
      <c r="F12" s="22"/>
      <c r="G12" s="21"/>
      <c r="H12" s="22"/>
      <c r="I12" s="21"/>
      <c r="J12" s="17"/>
      <c r="K12" s="21"/>
      <c r="L12" s="107"/>
    </row>
    <row r="13" spans="1:12" ht="12.75">
      <c r="A13" s="14" t="s">
        <v>78</v>
      </c>
      <c r="B13" s="97">
        <f>615382+17767+2669+1684+3072+1100-13359</f>
        <v>628315</v>
      </c>
      <c r="C13" s="97"/>
      <c r="D13" s="122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628315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</row>
    <row r="14" spans="1:12" ht="12.75">
      <c r="A14" s="14" t="s">
        <v>79</v>
      </c>
      <c r="B14" s="97">
        <f>677736-25000+9201</f>
        <v>661937</v>
      </c>
      <c r="C14" s="97">
        <v>661937</v>
      </c>
      <c r="D14" s="122">
        <f>SUM(C14/B14)*100</f>
        <v>100</v>
      </c>
      <c r="E14" s="21"/>
      <c r="F14" s="22">
        <f>SUM(E14/B14)*100</f>
        <v>0</v>
      </c>
      <c r="G14" s="21"/>
      <c r="H14" s="22">
        <f>SUM(G14/B14*100)</f>
        <v>0</v>
      </c>
      <c r="I14" s="21"/>
      <c r="J14" s="17">
        <f>SUM(I14/B14*100)</f>
        <v>0</v>
      </c>
      <c r="K14" s="21">
        <f>SUM(B14-C14-E14-G14-I14)</f>
        <v>0</v>
      </c>
      <c r="L14" s="23">
        <f>SUM(K14/B14)*100</f>
        <v>0</v>
      </c>
    </row>
    <row r="15" spans="1:12" ht="12.75">
      <c r="A15" s="84" t="s">
        <v>84</v>
      </c>
      <c r="B15" s="97"/>
      <c r="C15" s="97"/>
      <c r="D15" s="122"/>
      <c r="E15" s="21"/>
      <c r="F15" s="22"/>
      <c r="G15" s="21"/>
      <c r="H15" s="22"/>
      <c r="I15" s="21"/>
      <c r="J15" s="17"/>
      <c r="K15" s="21"/>
      <c r="L15" s="23"/>
    </row>
    <row r="16" spans="1:12" ht="12.75">
      <c r="A16" s="14" t="s">
        <v>79</v>
      </c>
      <c r="B16" s="97">
        <v>10000</v>
      </c>
      <c r="C16" s="97">
        <v>10000</v>
      </c>
      <c r="D16" s="122">
        <f>SUM(C16/B16)*100</f>
        <v>100</v>
      </c>
      <c r="E16" s="21"/>
      <c r="F16" s="22">
        <f>SUM(E16/B16)*100</f>
        <v>0</v>
      </c>
      <c r="G16" s="21"/>
      <c r="H16" s="22">
        <f t="shared" si="0"/>
        <v>0</v>
      </c>
      <c r="I16" s="21"/>
      <c r="J16" s="17">
        <f>SUM(I16/B16*100)</f>
        <v>0</v>
      </c>
      <c r="K16" s="21">
        <f>SUM(B16-C16-E16-G16-I16)</f>
        <v>0</v>
      </c>
      <c r="L16" s="23">
        <f>SUM(K16/B16)*100</f>
        <v>0</v>
      </c>
    </row>
    <row r="17" spans="1:12" ht="13.5" thickBot="1">
      <c r="A17" s="85" t="s">
        <v>85</v>
      </c>
      <c r="B17" s="108">
        <v>4012271</v>
      </c>
      <c r="C17" s="108">
        <v>275779</v>
      </c>
      <c r="D17" s="123">
        <f>SUM(C17/B17)*100</f>
        <v>6.873389160403173</v>
      </c>
      <c r="E17" s="33"/>
      <c r="F17" s="34">
        <f>SUM(E17/B17)*100</f>
        <v>0</v>
      </c>
      <c r="G17" s="33"/>
      <c r="H17" s="34">
        <f t="shared" si="0"/>
        <v>0</v>
      </c>
      <c r="I17" s="33">
        <v>3736492</v>
      </c>
      <c r="J17" s="34">
        <f>SUM(I17/B17*100)</f>
        <v>93.12661083959682</v>
      </c>
      <c r="K17" s="33">
        <f>SUM(B17-C17-E17-G17-I17)</f>
        <v>0</v>
      </c>
      <c r="L17" s="35">
        <f>SUM(K17/B17)*100</f>
        <v>0</v>
      </c>
    </row>
    <row r="18" spans="1:12" s="31" customFormat="1" ht="13.5" thickBot="1">
      <c r="A18" s="28" t="s">
        <v>39</v>
      </c>
      <c r="B18" s="109">
        <f>SUM(B6:B17)</f>
        <v>20429643</v>
      </c>
      <c r="C18" s="109">
        <f>SUM(C6:C17)</f>
        <v>2127154</v>
      </c>
      <c r="D18" s="118">
        <f>SUM(C18/B18)*100</f>
        <v>10.412095796289735</v>
      </c>
      <c r="E18" s="109">
        <f>SUM(E6:E16)</f>
        <v>4034830</v>
      </c>
      <c r="F18" s="110">
        <f>SUM(E18/B18*100)</f>
        <v>19.74988011293198</v>
      </c>
      <c r="G18" s="109">
        <f>SUM(G6:G17)</f>
        <v>65369</v>
      </c>
      <c r="H18" s="111">
        <f t="shared" si="0"/>
        <v>0.31997132793754646</v>
      </c>
      <c r="I18" s="109">
        <f>SUM(I6:I17)</f>
        <v>12348647</v>
      </c>
      <c r="J18" s="111">
        <f>SUM(I18/B18*100)</f>
        <v>60.44475177564287</v>
      </c>
      <c r="K18" s="109">
        <f>SUM(K6:K17)</f>
        <v>1853643</v>
      </c>
      <c r="L18" s="112">
        <f>SUM(K18/B18)*100</f>
        <v>9.073300987197868</v>
      </c>
    </row>
    <row r="19" spans="1:12" ht="12.75">
      <c r="A19" s="84" t="s">
        <v>82</v>
      </c>
      <c r="B19" s="108"/>
      <c r="C19" s="108"/>
      <c r="D19" s="123"/>
      <c r="E19" s="108"/>
      <c r="F19" s="34"/>
      <c r="G19" s="108"/>
      <c r="H19" s="34"/>
      <c r="I19" s="108"/>
      <c r="J19" s="34"/>
      <c r="K19" s="33"/>
      <c r="L19" s="35"/>
    </row>
    <row r="20" spans="1:12" ht="12.75">
      <c r="A20" s="14" t="s">
        <v>78</v>
      </c>
      <c r="B20" s="97"/>
      <c r="C20" s="97"/>
      <c r="D20" s="122"/>
      <c r="E20" s="97"/>
      <c r="F20" s="22"/>
      <c r="G20" s="97"/>
      <c r="H20" s="22"/>
      <c r="I20" s="97"/>
      <c r="J20" s="22"/>
      <c r="K20" s="21"/>
      <c r="L20" s="23"/>
    </row>
    <row r="21" spans="1:12" ht="13.5" thickBot="1">
      <c r="A21" s="14" t="s">
        <v>79</v>
      </c>
      <c r="B21" s="144">
        <v>22073</v>
      </c>
      <c r="C21" s="144">
        <v>22073</v>
      </c>
      <c r="D21" s="152">
        <f>SUM(C21/B21)*100</f>
        <v>100</v>
      </c>
      <c r="E21" s="27"/>
      <c r="F21" s="40">
        <f>SUM(E21/B21)*100</f>
        <v>0</v>
      </c>
      <c r="G21" s="27"/>
      <c r="H21" s="40">
        <f>SUM(G21/B21*100)</f>
        <v>0</v>
      </c>
      <c r="I21" s="27"/>
      <c r="J21" s="40">
        <f>SUM(I21/B21*100)</f>
        <v>0</v>
      </c>
      <c r="K21" s="27">
        <f>SUM(B21-C21-E21-G21-I21)</f>
        <v>0</v>
      </c>
      <c r="L21" s="41">
        <f>SUM(K21/B21)*100</f>
        <v>0</v>
      </c>
    </row>
    <row r="22" spans="1:12" s="31" customFormat="1" ht="13.5" thickBot="1">
      <c r="A22" s="28" t="s">
        <v>40</v>
      </c>
      <c r="B22" s="109">
        <f>SUM(B19:B21)</f>
        <v>22073</v>
      </c>
      <c r="C22" s="109">
        <f>SUM(C19:C21)</f>
        <v>22073</v>
      </c>
      <c r="D22" s="118">
        <f>SUM(C22/B22)*100</f>
        <v>100</v>
      </c>
      <c r="E22" s="109">
        <f>SUM(E21)</f>
        <v>0</v>
      </c>
      <c r="F22" s="111">
        <f>SUM(E22/B22)*100</f>
        <v>0</v>
      </c>
      <c r="G22" s="109">
        <f>SUM(G19:G21)</f>
        <v>0</v>
      </c>
      <c r="H22" s="111">
        <f>SUM(H21)</f>
        <v>0</v>
      </c>
      <c r="I22" s="109">
        <f>SUM(I19:I21)</f>
        <v>0</v>
      </c>
      <c r="J22" s="111">
        <f>SUM(I22/B22*100)</f>
        <v>0</v>
      </c>
      <c r="K22" s="109">
        <f>SUM(K19:K21)</f>
        <v>0</v>
      </c>
      <c r="L22" s="112">
        <f>SUM(L21)</f>
        <v>0</v>
      </c>
    </row>
    <row r="23" spans="1:12" s="31" customFormat="1" ht="12.75">
      <c r="A23" s="153" t="s">
        <v>77</v>
      </c>
      <c r="B23" s="154"/>
      <c r="C23" s="154"/>
      <c r="D23" s="155"/>
      <c r="E23" s="154"/>
      <c r="F23" s="156"/>
      <c r="G23" s="154"/>
      <c r="H23" s="156"/>
      <c r="I23" s="154"/>
      <c r="J23" s="156"/>
      <c r="K23" s="154"/>
      <c r="L23" s="157"/>
    </row>
    <row r="24" spans="1:12" s="31" customFormat="1" ht="12.75">
      <c r="A24" s="158" t="s">
        <v>103</v>
      </c>
      <c r="B24" s="97">
        <f>12800+1724</f>
        <v>14524</v>
      </c>
      <c r="C24" s="97">
        <v>12800</v>
      </c>
      <c r="D24" s="159">
        <f>SUM(C24/B24)*100</f>
        <v>88.12999173781327</v>
      </c>
      <c r="E24" s="160"/>
      <c r="F24" s="161"/>
      <c r="G24" s="160"/>
      <c r="H24" s="161"/>
      <c r="I24" s="160">
        <v>1724</v>
      </c>
      <c r="J24" s="161">
        <f>SUM(I24/B24*100)</f>
        <v>11.870008262186724</v>
      </c>
      <c r="K24" s="160">
        <f>SUM(B24-C24-E24-G24-I24)</f>
        <v>0</v>
      </c>
      <c r="L24" s="162">
        <f>SUM(K24/B24)*100</f>
        <v>0</v>
      </c>
    </row>
    <row r="25" spans="1:12" s="31" customFormat="1" ht="12.75">
      <c r="A25" s="83" t="s">
        <v>82</v>
      </c>
      <c r="B25" s="163"/>
      <c r="C25" s="108"/>
      <c r="D25" s="159"/>
      <c r="E25" s="163"/>
      <c r="F25" s="164"/>
      <c r="G25" s="163"/>
      <c r="H25" s="164"/>
      <c r="I25" s="163"/>
      <c r="J25" s="164"/>
      <c r="K25" s="163"/>
      <c r="L25" s="165"/>
    </row>
    <row r="26" spans="1:12" s="31" customFormat="1" ht="13.5" thickBot="1">
      <c r="A26" s="166" t="s">
        <v>79</v>
      </c>
      <c r="B26" s="144">
        <f>76169+16034</f>
        <v>92203</v>
      </c>
      <c r="C26" s="144">
        <v>76169</v>
      </c>
      <c r="D26" s="159">
        <f>SUM(C26/B26)*100</f>
        <v>82.6101103000987</v>
      </c>
      <c r="E26" s="167"/>
      <c r="F26" s="168">
        <f>SUM(E26/B26)*100</f>
        <v>0</v>
      </c>
      <c r="G26" s="167"/>
      <c r="H26" s="168"/>
      <c r="I26" s="144">
        <v>16034</v>
      </c>
      <c r="J26" s="168">
        <f>SUM(I26/B26*100)</f>
        <v>17.389889699901303</v>
      </c>
      <c r="K26" s="167">
        <f>SUM(B26-C26-E26-G26-I26)</f>
        <v>0</v>
      </c>
      <c r="L26" s="169">
        <f>SUM(K26/B26)*100</f>
        <v>0</v>
      </c>
    </row>
    <row r="27" spans="1:12" s="31" customFormat="1" ht="13.5" thickBot="1">
      <c r="A27" s="170" t="s">
        <v>38</v>
      </c>
      <c r="B27" s="109">
        <f>SUM(B26,B24)</f>
        <v>106727</v>
      </c>
      <c r="C27" s="109">
        <f>SUM(C24:C26)</f>
        <v>88969</v>
      </c>
      <c r="D27" s="118">
        <f>SUM(C27/B27)*100</f>
        <v>83.36128627245213</v>
      </c>
      <c r="E27" s="109"/>
      <c r="F27" s="111"/>
      <c r="G27" s="109"/>
      <c r="H27" s="111"/>
      <c r="I27" s="109">
        <f>SUM(I24:I26)</f>
        <v>17758</v>
      </c>
      <c r="J27" s="111">
        <f>SUM(J26)</f>
        <v>17.389889699901303</v>
      </c>
      <c r="K27" s="109">
        <f>SUM(K24:K26)</f>
        <v>0</v>
      </c>
      <c r="L27" s="112">
        <f>SUM(K27/B27)*100</f>
        <v>0</v>
      </c>
    </row>
    <row r="28" spans="1:12" s="31" customFormat="1" ht="12.75">
      <c r="A28" s="83" t="s">
        <v>77</v>
      </c>
      <c r="B28" s="154"/>
      <c r="C28" s="154"/>
      <c r="D28" s="155"/>
      <c r="E28" s="154"/>
      <c r="F28" s="156"/>
      <c r="G28" s="154"/>
      <c r="H28" s="156"/>
      <c r="I28" s="154"/>
      <c r="J28" s="156"/>
      <c r="K28" s="154"/>
      <c r="L28" s="157"/>
    </row>
    <row r="29" spans="1:12" s="31" customFormat="1" ht="13.5" thickBot="1">
      <c r="A29" s="14" t="s">
        <v>79</v>
      </c>
      <c r="B29" s="171"/>
      <c r="C29" s="171"/>
      <c r="D29" s="159"/>
      <c r="E29" s="172"/>
      <c r="F29" s="173"/>
      <c r="G29" s="172"/>
      <c r="H29" s="173"/>
      <c r="I29" s="172"/>
      <c r="J29" s="173"/>
      <c r="K29" s="172"/>
      <c r="L29" s="174"/>
    </row>
    <row r="30" spans="1:12" s="31" customFormat="1" ht="13.5" thickBot="1">
      <c r="A30" s="175" t="s">
        <v>52</v>
      </c>
      <c r="B30" s="176">
        <f>SUM(B29)</f>
        <v>0</v>
      </c>
      <c r="C30" s="176">
        <f aca="true" t="shared" si="1" ref="C30:K30">SUM(C29)</f>
        <v>0</v>
      </c>
      <c r="D30" s="177">
        <f t="shared" si="1"/>
        <v>0</v>
      </c>
      <c r="E30" s="176">
        <f t="shared" si="1"/>
        <v>0</v>
      </c>
      <c r="F30" s="176">
        <f t="shared" si="1"/>
        <v>0</v>
      </c>
      <c r="G30" s="176">
        <f t="shared" si="1"/>
        <v>0</v>
      </c>
      <c r="H30" s="176">
        <f t="shared" si="1"/>
        <v>0</v>
      </c>
      <c r="I30" s="176">
        <f t="shared" si="1"/>
        <v>0</v>
      </c>
      <c r="J30" s="176">
        <f t="shared" si="1"/>
        <v>0</v>
      </c>
      <c r="K30" s="176">
        <f t="shared" si="1"/>
        <v>0</v>
      </c>
      <c r="L30" s="112"/>
    </row>
    <row r="31" spans="1:12" s="31" customFormat="1" ht="12.75">
      <c r="A31" s="83" t="s">
        <v>82</v>
      </c>
      <c r="B31" s="163"/>
      <c r="C31" s="163"/>
      <c r="D31" s="178"/>
      <c r="E31" s="163"/>
      <c r="F31" s="164"/>
      <c r="G31" s="163"/>
      <c r="H31" s="164"/>
      <c r="I31" s="163"/>
      <c r="J31" s="164"/>
      <c r="K31" s="163"/>
      <c r="L31" s="165"/>
    </row>
    <row r="32" spans="1:12" s="31" customFormat="1" ht="13.5" thickBot="1">
      <c r="A32" s="166" t="s">
        <v>79</v>
      </c>
      <c r="B32" s="144">
        <v>2665</v>
      </c>
      <c r="C32" s="144">
        <v>2665</v>
      </c>
      <c r="D32" s="152">
        <f>SUM(C32/B32)*100</f>
        <v>100</v>
      </c>
      <c r="E32" s="167"/>
      <c r="F32" s="168">
        <f>SUM(E32/B32)*100</f>
        <v>0</v>
      </c>
      <c r="G32" s="167"/>
      <c r="H32" s="168"/>
      <c r="I32" s="167"/>
      <c r="J32" s="168"/>
      <c r="K32" s="167">
        <f>SUM(B32-C32-E32-G32-I32)</f>
        <v>0</v>
      </c>
      <c r="L32" s="169">
        <f>SUM(K32/B32)*100</f>
        <v>0</v>
      </c>
    </row>
    <row r="33" spans="1:12" s="31" customFormat="1" ht="13.5" thickBot="1">
      <c r="A33" s="179" t="s">
        <v>89</v>
      </c>
      <c r="B33" s="109">
        <f>SUM(B32)</f>
        <v>2665</v>
      </c>
      <c r="C33" s="109">
        <f>SUM(C32)</f>
        <v>2665</v>
      </c>
      <c r="D33" s="118">
        <f>SUM(C33/B33)*100</f>
        <v>100</v>
      </c>
      <c r="E33" s="109"/>
      <c r="F33" s="111"/>
      <c r="G33" s="109"/>
      <c r="H33" s="111"/>
      <c r="I33" s="109"/>
      <c r="J33" s="111"/>
      <c r="K33" s="109">
        <f>SUM(K32)</f>
        <v>0</v>
      </c>
      <c r="L33" s="169">
        <f>SUM(K33/B33)*100</f>
        <v>0</v>
      </c>
    </row>
    <row r="34" spans="1:12" s="31" customFormat="1" ht="12.75">
      <c r="A34" s="83" t="s">
        <v>82</v>
      </c>
      <c r="B34" s="154"/>
      <c r="C34" s="154"/>
      <c r="D34" s="155"/>
      <c r="E34" s="154"/>
      <c r="F34" s="156"/>
      <c r="G34" s="154"/>
      <c r="H34" s="156"/>
      <c r="I34" s="154"/>
      <c r="J34" s="156"/>
      <c r="K34" s="154"/>
      <c r="L34" s="157"/>
    </row>
    <row r="35" spans="1:12" s="31" customFormat="1" ht="13.5" thickBot="1">
      <c r="A35" s="166" t="s">
        <v>79</v>
      </c>
      <c r="B35" s="144">
        <v>8208</v>
      </c>
      <c r="C35" s="144">
        <v>8208</v>
      </c>
      <c r="D35" s="152">
        <f>SUM(C35/B35)*100</f>
        <v>100</v>
      </c>
      <c r="E35" s="167"/>
      <c r="F35" s="168">
        <f>SUM(E35/B35)*100</f>
        <v>0</v>
      </c>
      <c r="G35" s="167"/>
      <c r="H35" s="168"/>
      <c r="I35" s="167"/>
      <c r="J35" s="168"/>
      <c r="K35" s="167">
        <f>SUM(B35-C35-E35-G35-I35)</f>
        <v>0</v>
      </c>
      <c r="L35" s="169">
        <f>SUM(K35/B35)*100</f>
        <v>0</v>
      </c>
    </row>
    <row r="36" spans="1:12" s="31" customFormat="1" ht="13.5" thickBot="1">
      <c r="A36" s="179" t="s">
        <v>86</v>
      </c>
      <c r="B36" s="109">
        <f>SUM(B35)</f>
        <v>8208</v>
      </c>
      <c r="C36" s="109">
        <f>SUM(C35)</f>
        <v>8208</v>
      </c>
      <c r="D36" s="118">
        <f>SUM(C36/B36)*100</f>
        <v>100</v>
      </c>
      <c r="E36" s="109"/>
      <c r="F36" s="111"/>
      <c r="G36" s="109"/>
      <c r="H36" s="111"/>
      <c r="I36" s="109"/>
      <c r="J36" s="111"/>
      <c r="K36" s="109">
        <f>SUM(K35)</f>
        <v>0</v>
      </c>
      <c r="L36" s="169">
        <f>SUM(K36/B36)*100</f>
        <v>0</v>
      </c>
    </row>
    <row r="37" spans="1:12" s="31" customFormat="1" ht="12.75">
      <c r="A37" s="83" t="s">
        <v>82</v>
      </c>
      <c r="B37" s="154"/>
      <c r="C37" s="154"/>
      <c r="D37" s="155"/>
      <c r="E37" s="154"/>
      <c r="F37" s="156"/>
      <c r="G37" s="154"/>
      <c r="H37" s="156"/>
      <c r="I37" s="154"/>
      <c r="J37" s="156"/>
      <c r="K37" s="154"/>
      <c r="L37" s="157"/>
    </row>
    <row r="38" spans="1:12" s="31" customFormat="1" ht="13.5" thickBot="1">
      <c r="A38" s="166" t="s">
        <v>79</v>
      </c>
      <c r="B38" s="144">
        <v>1000</v>
      </c>
      <c r="C38" s="144">
        <v>1000</v>
      </c>
      <c r="D38" s="152">
        <f>SUM(C38/B38)*100</f>
        <v>100</v>
      </c>
      <c r="E38" s="167"/>
      <c r="F38" s="168">
        <f>SUM(E38/B38)*100</f>
        <v>0</v>
      </c>
      <c r="G38" s="167"/>
      <c r="H38" s="168"/>
      <c r="I38" s="167"/>
      <c r="J38" s="168"/>
      <c r="K38" s="167">
        <f>SUM(B38-C38-E38-G38-I38)</f>
        <v>0</v>
      </c>
      <c r="L38" s="169">
        <f>SUM(K38/B38)*100</f>
        <v>0</v>
      </c>
    </row>
    <row r="39" spans="1:12" s="31" customFormat="1" ht="13.5" thickBot="1">
      <c r="A39" s="179" t="s">
        <v>87</v>
      </c>
      <c r="B39" s="109">
        <f>SUM(B38)</f>
        <v>1000</v>
      </c>
      <c r="C39" s="109">
        <f>SUM(C38)</f>
        <v>1000</v>
      </c>
      <c r="D39" s="118">
        <f>SUM(C39/B39)*100</f>
        <v>100</v>
      </c>
      <c r="E39" s="109"/>
      <c r="F39" s="111"/>
      <c r="G39" s="109"/>
      <c r="H39" s="111"/>
      <c r="I39" s="109"/>
      <c r="J39" s="111"/>
      <c r="K39" s="109">
        <f>SUM(K38)</f>
        <v>0</v>
      </c>
      <c r="L39" s="169">
        <f>SUM(K39/B39)*100</f>
        <v>0</v>
      </c>
    </row>
    <row r="40" spans="1:12" s="31" customFormat="1" ht="12.75">
      <c r="A40" s="83" t="s">
        <v>82</v>
      </c>
      <c r="B40" s="154"/>
      <c r="C40" s="154"/>
      <c r="D40" s="155"/>
      <c r="E40" s="154"/>
      <c r="F40" s="156"/>
      <c r="G40" s="154"/>
      <c r="H40" s="156"/>
      <c r="I40" s="154"/>
      <c r="J40" s="156"/>
      <c r="K40" s="154"/>
      <c r="L40" s="157"/>
    </row>
    <row r="41" spans="1:12" s="31" customFormat="1" ht="13.5" thickBot="1">
      <c r="A41" s="166" t="s">
        <v>79</v>
      </c>
      <c r="B41" s="171">
        <v>1200</v>
      </c>
      <c r="C41" s="171">
        <v>1200</v>
      </c>
      <c r="D41" s="159">
        <f>SUM(C41/B41)*100</f>
        <v>100</v>
      </c>
      <c r="E41" s="172"/>
      <c r="F41" s="173">
        <f>SUM(E41/B41)*100</f>
        <v>0</v>
      </c>
      <c r="G41" s="172"/>
      <c r="H41" s="173"/>
      <c r="I41" s="172"/>
      <c r="J41" s="173"/>
      <c r="K41" s="172">
        <f>SUM(B41-C41-E41-G41-I41)</f>
        <v>0</v>
      </c>
      <c r="L41" s="174">
        <f>SUM(K41/B41)*100</f>
        <v>0</v>
      </c>
    </row>
    <row r="42" spans="1:12" s="31" customFormat="1" ht="13.5" thickBot="1">
      <c r="A42" s="28" t="s">
        <v>88</v>
      </c>
      <c r="B42" s="109">
        <v>1200</v>
      </c>
      <c r="C42" s="109">
        <v>1200</v>
      </c>
      <c r="D42" s="118">
        <f>SUM(C42/B42)*100</f>
        <v>100</v>
      </c>
      <c r="E42" s="109"/>
      <c r="F42" s="111"/>
      <c r="G42" s="109"/>
      <c r="H42" s="111"/>
      <c r="I42" s="109"/>
      <c r="J42" s="111"/>
      <c r="K42" s="109">
        <f>SUM(K41)</f>
        <v>0</v>
      </c>
      <c r="L42" s="174">
        <f>SUM(K42/B42)*100</f>
        <v>0</v>
      </c>
    </row>
    <row r="43" spans="1:12" s="31" customFormat="1" ht="12.75">
      <c r="A43" s="83" t="s">
        <v>82</v>
      </c>
      <c r="B43" s="154"/>
      <c r="C43" s="154"/>
      <c r="D43" s="155"/>
      <c r="E43" s="154"/>
      <c r="F43" s="156"/>
      <c r="G43" s="154"/>
      <c r="H43" s="156"/>
      <c r="I43" s="154"/>
      <c r="J43" s="156"/>
      <c r="K43" s="154"/>
      <c r="L43" s="157"/>
    </row>
    <row r="44" spans="1:12" s="31" customFormat="1" ht="13.5" thickBot="1">
      <c r="A44" s="166" t="s">
        <v>79</v>
      </c>
      <c r="B44" s="144">
        <v>1230</v>
      </c>
      <c r="C44" s="144">
        <v>1230</v>
      </c>
      <c r="D44" s="152">
        <f>SUM(C44/B44)*100</f>
        <v>100</v>
      </c>
      <c r="E44" s="167"/>
      <c r="F44" s="168">
        <f>SUM(E44/B44)*100</f>
        <v>0</v>
      </c>
      <c r="G44" s="167"/>
      <c r="H44" s="168"/>
      <c r="I44" s="167"/>
      <c r="J44" s="168"/>
      <c r="K44" s="167">
        <f>SUM(B44-C44-E44-G44-I44)</f>
        <v>0</v>
      </c>
      <c r="L44" s="169">
        <f>SUM(K44/B44)*100</f>
        <v>0</v>
      </c>
    </row>
    <row r="45" spans="1:12" s="31" customFormat="1" ht="13.5" thickBot="1">
      <c r="A45" s="28" t="s">
        <v>90</v>
      </c>
      <c r="B45" s="109">
        <f>SUM(B44)</f>
        <v>1230</v>
      </c>
      <c r="C45" s="109">
        <f>SUM(C44)</f>
        <v>1230</v>
      </c>
      <c r="D45" s="180">
        <f>SUM(C45/B45)*100</f>
        <v>100</v>
      </c>
      <c r="E45" s="109"/>
      <c r="F45" s="111"/>
      <c r="G45" s="109"/>
      <c r="H45" s="111"/>
      <c r="I45" s="109"/>
      <c r="J45" s="111"/>
      <c r="K45" s="109">
        <f>SUM(K44)</f>
        <v>0</v>
      </c>
      <c r="L45" s="169">
        <f>SUM(K45/B45)*100</f>
        <v>0</v>
      </c>
    </row>
    <row r="46" spans="1:12" s="31" customFormat="1" ht="13.5" thickBot="1">
      <c r="A46" s="85" t="s">
        <v>82</v>
      </c>
      <c r="B46" s="109"/>
      <c r="C46" s="109"/>
      <c r="D46" s="118"/>
      <c r="E46" s="109"/>
      <c r="F46" s="111"/>
      <c r="G46" s="109"/>
      <c r="H46" s="111"/>
      <c r="I46" s="109"/>
      <c r="J46" s="111"/>
      <c r="K46" s="109"/>
      <c r="L46" s="112"/>
    </row>
    <row r="47" spans="1:12" s="31" customFormat="1" ht="13.5" thickBot="1">
      <c r="A47" s="181" t="s">
        <v>79</v>
      </c>
      <c r="B47" s="182">
        <f>1000+90</f>
        <v>1090</v>
      </c>
      <c r="C47" s="182">
        <v>1090</v>
      </c>
      <c r="D47" s="183">
        <f>SUM(C47/B47)*100</f>
        <v>100</v>
      </c>
      <c r="E47" s="154"/>
      <c r="F47" s="156">
        <f>SUM(E47/B47)*100</f>
        <v>0</v>
      </c>
      <c r="G47" s="154"/>
      <c r="H47" s="156"/>
      <c r="I47" s="154"/>
      <c r="J47" s="156"/>
      <c r="K47" s="154">
        <f>SUM(B47-C47-E47-G47-I47)</f>
        <v>0</v>
      </c>
      <c r="L47" s="157">
        <f>SUM(K47/B47)*100</f>
        <v>0</v>
      </c>
    </row>
    <row r="48" spans="1:12" s="31" customFormat="1" ht="13.5" thickBot="1">
      <c r="A48" s="184" t="s">
        <v>91</v>
      </c>
      <c r="B48" s="167">
        <f>SUM(B47)</f>
        <v>1090</v>
      </c>
      <c r="C48" s="167">
        <f>SUM(C47)</f>
        <v>1090</v>
      </c>
      <c r="D48" s="180">
        <f>SUM(C48/B48)*100</f>
        <v>100</v>
      </c>
      <c r="E48" s="167"/>
      <c r="F48" s="168"/>
      <c r="G48" s="167"/>
      <c r="H48" s="168"/>
      <c r="I48" s="167"/>
      <c r="J48" s="168"/>
      <c r="K48" s="167">
        <f>SUM(K47)</f>
        <v>0</v>
      </c>
      <c r="L48" s="157">
        <f>SUM(K48/B48)*100</f>
        <v>0</v>
      </c>
    </row>
    <row r="49" spans="1:12" s="31" customFormat="1" ht="13.5" thickBot="1">
      <c r="A49" s="113" t="s">
        <v>17</v>
      </c>
      <c r="B49" s="109">
        <f>SUM(B22,B18,B27,B36,B39,B42,B45,B48,B33,B30)</f>
        <v>20573836</v>
      </c>
      <c r="C49" s="109">
        <f>SUM(C22,C18,C27,C36,C39,C42,C45,C48,C33,C30)</f>
        <v>2253589</v>
      </c>
      <c r="D49" s="118">
        <f>SUM(C49/B49)*100</f>
        <v>10.953664644745881</v>
      </c>
      <c r="E49" s="109">
        <f>SUM(E22,E18)</f>
        <v>4034830</v>
      </c>
      <c r="F49" s="111">
        <f>SUM(E49/B49)*100</f>
        <v>19.61146185864415</v>
      </c>
      <c r="G49" s="109">
        <f>SUM(G22,G18)</f>
        <v>65369</v>
      </c>
      <c r="H49" s="111">
        <f>SUM(H22)</f>
        <v>0</v>
      </c>
      <c r="I49" s="109">
        <f>SUM(I22,I18,I27,I36,I39,I42,I45,I48,I33)</f>
        <v>12366405</v>
      </c>
      <c r="J49" s="111">
        <f>SUM(I49/B49*100)</f>
        <v>60.10743451051132</v>
      </c>
      <c r="K49" s="109">
        <f>SUM(K22,K18,K27,K33,K36,K39,K42,K45,K48)</f>
        <v>1853643</v>
      </c>
      <c r="L49" s="112">
        <f>SUM(K49/B49)*100</f>
        <v>9.00971019697056</v>
      </c>
    </row>
    <row r="50" spans="3:11" ht="12.75">
      <c r="C50" s="114"/>
      <c r="E50" s="115"/>
      <c r="F50" s="116"/>
      <c r="G50" s="115"/>
      <c r="H50" s="116"/>
      <c r="I50" s="116"/>
      <c r="J50" s="116"/>
      <c r="K50" s="114"/>
    </row>
    <row r="51" spans="2:14" ht="12.75">
      <c r="B51" s="115"/>
      <c r="M51" s="115"/>
      <c r="N51" s="115"/>
    </row>
    <row r="52" ht="12.75">
      <c r="B52" s="115">
        <f>SUM(B49+'kötelező2019.felh.'!C33)</f>
        <v>21187123</v>
      </c>
    </row>
    <row r="53" ht="12.75">
      <c r="B53" s="115"/>
    </row>
    <row r="55" ht="12.75">
      <c r="B55" s="115"/>
    </row>
    <row r="57" ht="12.75">
      <c r="B57" s="115"/>
    </row>
    <row r="59" ht="12.75">
      <c r="B59" s="115"/>
    </row>
    <row r="61" ht="12.75">
      <c r="B61" s="115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B1">
      <selection activeCell="N35" sqref="N35:O3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9" customWidth="1"/>
    <col min="9" max="9" width="8.375" style="63" customWidth="1"/>
    <col min="10" max="10" width="9.75390625" style="5" customWidth="1"/>
    <col min="11" max="11" width="10.00390625" style="68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3" t="s">
        <v>30</v>
      </c>
      <c r="M1" s="213"/>
    </row>
    <row r="2" spans="2:13" ht="18" customHeight="1">
      <c r="B2" s="212" t="s">
        <v>107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3" ht="12" customHeight="1" thickBot="1">
      <c r="B3" s="37"/>
      <c r="C3" s="49"/>
      <c r="D3" s="49"/>
      <c r="E3" s="50"/>
      <c r="F3" s="49"/>
      <c r="G3" s="51"/>
      <c r="H3" s="60"/>
      <c r="I3" s="64"/>
      <c r="J3" s="52"/>
      <c r="K3" s="69"/>
      <c r="L3" s="53"/>
      <c r="M3" s="54" t="s">
        <v>0</v>
      </c>
    </row>
    <row r="4" spans="2:13" s="56" customFormat="1" ht="51.75" customHeight="1" thickBot="1">
      <c r="B4" s="38" t="s">
        <v>3</v>
      </c>
      <c r="C4" s="46" t="s">
        <v>65</v>
      </c>
      <c r="D4" s="46" t="s">
        <v>80</v>
      </c>
      <c r="E4" s="47" t="s">
        <v>70</v>
      </c>
      <c r="F4" s="46" t="s">
        <v>60</v>
      </c>
      <c r="G4" s="47" t="s">
        <v>71</v>
      </c>
      <c r="H4" s="46" t="s">
        <v>81</v>
      </c>
      <c r="I4" s="47" t="s">
        <v>73</v>
      </c>
      <c r="J4" s="47" t="s">
        <v>76</v>
      </c>
      <c r="K4" s="47" t="s">
        <v>48</v>
      </c>
      <c r="L4" s="48" t="s">
        <v>74</v>
      </c>
      <c r="M4" s="55" t="s">
        <v>75</v>
      </c>
    </row>
    <row r="5" spans="2:13" ht="12" customHeight="1">
      <c r="B5" s="83" t="s">
        <v>77</v>
      </c>
      <c r="C5" s="20"/>
      <c r="D5" s="21"/>
      <c r="E5" s="22"/>
      <c r="F5" s="21"/>
      <c r="G5" s="17"/>
      <c r="H5" s="21"/>
      <c r="I5" s="65"/>
      <c r="J5" s="16"/>
      <c r="K5" s="17"/>
      <c r="L5" s="16">
        <f>SUM(C5-D5-F5-H5-J5)</f>
        <v>0</v>
      </c>
      <c r="M5" s="23"/>
    </row>
    <row r="6" spans="2:13" ht="12" customHeight="1">
      <c r="B6" s="14" t="s">
        <v>78</v>
      </c>
      <c r="C6" s="20">
        <f>135094-'önként2019.felh.'!B7</f>
        <v>96633</v>
      </c>
      <c r="D6" s="21"/>
      <c r="E6" s="22"/>
      <c r="F6" s="21"/>
      <c r="G6" s="17"/>
      <c r="H6" s="21"/>
      <c r="I6" s="65"/>
      <c r="J6" s="16">
        <v>96633</v>
      </c>
      <c r="K6" s="17"/>
      <c r="L6" s="16">
        <f>SUM(C6-D6-F6-H6-J6)</f>
        <v>0</v>
      </c>
      <c r="M6" s="23"/>
    </row>
    <row r="7" spans="2:13" ht="12" customHeight="1">
      <c r="B7" s="14" t="s">
        <v>79</v>
      </c>
      <c r="C7" s="20">
        <f>40000+30000+25000+4729+6000+28081+326+682+9638+76158+3032+21923+25500</f>
        <v>271069</v>
      </c>
      <c r="D7" s="21">
        <v>271069</v>
      </c>
      <c r="E7" s="22">
        <f>SUM(D7/C7)*100</f>
        <v>100</v>
      </c>
      <c r="F7" s="21"/>
      <c r="G7" s="17">
        <f>SUM(F7/C7)*100</f>
        <v>0</v>
      </c>
      <c r="H7" s="21"/>
      <c r="I7" s="65">
        <f>SUM(H7/C7)*100</f>
        <v>0</v>
      </c>
      <c r="J7" s="16"/>
      <c r="K7" s="17">
        <f>SUM(J7/C7)*100</f>
        <v>0</v>
      </c>
      <c r="L7" s="16">
        <f>SUM(C7-D7-F7-H7-J7)</f>
        <v>0</v>
      </c>
      <c r="M7" s="23">
        <f>SUM(L7/C7)*100</f>
        <v>0</v>
      </c>
    </row>
    <row r="8" spans="2:13" ht="12" customHeight="1">
      <c r="B8" s="84" t="s">
        <v>82</v>
      </c>
      <c r="C8" s="20"/>
      <c r="D8" s="21"/>
      <c r="E8" s="22"/>
      <c r="F8" s="21"/>
      <c r="G8" s="22"/>
      <c r="H8" s="21"/>
      <c r="I8" s="65"/>
      <c r="J8" s="16"/>
      <c r="K8" s="17"/>
      <c r="L8" s="16"/>
      <c r="M8" s="23"/>
    </row>
    <row r="9" spans="2:13" ht="12" customHeight="1">
      <c r="B9" s="14" t="s">
        <v>78</v>
      </c>
      <c r="C9" s="20">
        <f>8192+5465+4953</f>
        <v>18610</v>
      </c>
      <c r="D9" s="21"/>
      <c r="E9" s="22"/>
      <c r="F9" s="21"/>
      <c r="G9" s="22"/>
      <c r="H9" s="21"/>
      <c r="I9" s="65"/>
      <c r="J9" s="16">
        <v>18610</v>
      </c>
      <c r="K9" s="17"/>
      <c r="L9" s="16"/>
      <c r="M9" s="23"/>
    </row>
    <row r="10" spans="2:13" ht="12" customHeight="1">
      <c r="B10" s="14" t="s">
        <v>79</v>
      </c>
      <c r="C10" s="20">
        <f>21000+25000+20000+10000+21000+25000+20000</f>
        <v>142000</v>
      </c>
      <c r="D10" s="21">
        <v>142000</v>
      </c>
      <c r="E10" s="22">
        <f>SUM(D10/C10)*100</f>
        <v>100</v>
      </c>
      <c r="F10" s="21"/>
      <c r="G10" s="22">
        <f>SUM(F10/C10)*100</f>
        <v>0</v>
      </c>
      <c r="H10" s="21"/>
      <c r="I10" s="65">
        <f>SUM(H10/C10)*100</f>
        <v>0</v>
      </c>
      <c r="J10" s="16"/>
      <c r="K10" s="17">
        <f>SUM(J10/C10)*100</f>
        <v>0</v>
      </c>
      <c r="L10" s="16">
        <f>SUM(C10-D10-F10-H10-J10)</f>
        <v>0</v>
      </c>
      <c r="M10" s="23">
        <f>SUM(L10/C10)*100</f>
        <v>0</v>
      </c>
    </row>
    <row r="11" spans="2:13" ht="12" customHeight="1">
      <c r="B11" s="89" t="s">
        <v>83</v>
      </c>
      <c r="C11" s="32"/>
      <c r="D11" s="33"/>
      <c r="E11" s="34"/>
      <c r="F11" s="33"/>
      <c r="G11" s="34"/>
      <c r="H11" s="33"/>
      <c r="I11" s="117"/>
      <c r="J11" s="33"/>
      <c r="K11" s="34"/>
      <c r="L11" s="33"/>
      <c r="M11" s="35"/>
    </row>
    <row r="12" spans="2:13" ht="12" customHeight="1">
      <c r="B12" s="14" t="s">
        <v>78</v>
      </c>
      <c r="C12" s="32">
        <v>14924</v>
      </c>
      <c r="D12" s="33"/>
      <c r="E12" s="34"/>
      <c r="F12" s="33"/>
      <c r="G12" s="34"/>
      <c r="H12" s="33"/>
      <c r="I12" s="117"/>
      <c r="J12" s="33">
        <v>14924</v>
      </c>
      <c r="K12" s="34"/>
      <c r="L12" s="33"/>
      <c r="M12" s="35"/>
    </row>
    <row r="13" spans="2:13" ht="12" customHeight="1" thickBot="1">
      <c r="B13" s="39" t="s">
        <v>79</v>
      </c>
      <c r="C13" s="26">
        <v>25000</v>
      </c>
      <c r="D13" s="27">
        <v>25000</v>
      </c>
      <c r="E13" s="40"/>
      <c r="F13" s="27"/>
      <c r="G13" s="40"/>
      <c r="H13" s="27"/>
      <c r="I13" s="66"/>
      <c r="J13" s="27"/>
      <c r="K13" s="40"/>
      <c r="L13" s="27"/>
      <c r="M13" s="41"/>
    </row>
    <row r="14" spans="2:13" s="31" customFormat="1" ht="12" customHeight="1" thickBot="1">
      <c r="B14" s="28" t="s">
        <v>39</v>
      </c>
      <c r="C14" s="25">
        <f>SUM(C6:C13)</f>
        <v>568236</v>
      </c>
      <c r="D14" s="25">
        <f>SUM(D7:D13)</f>
        <v>438069</v>
      </c>
      <c r="E14" s="57">
        <f>SUM(D14/C14)*100</f>
        <v>77.09279243131375</v>
      </c>
      <c r="F14" s="25">
        <f>SUM(F5:F10)</f>
        <v>0</v>
      </c>
      <c r="G14" s="57">
        <f>SUM(F14/C14)*100</f>
        <v>0</v>
      </c>
      <c r="H14" s="25">
        <f>SUM(H5:H10)</f>
        <v>0</v>
      </c>
      <c r="I14" s="57">
        <f>SUM(H14/C14)*100</f>
        <v>0</v>
      </c>
      <c r="J14" s="25">
        <f>SUM(J5:J13)</f>
        <v>130167</v>
      </c>
      <c r="K14" s="29">
        <f>SUM(J14/C14)*100</f>
        <v>22.90720756868625</v>
      </c>
      <c r="L14" s="25">
        <f>SUM(L5:L10)</f>
        <v>0</v>
      </c>
      <c r="M14" s="75">
        <f>SUM(L14/C14)*100</f>
        <v>0</v>
      </c>
    </row>
    <row r="15" spans="2:13" s="133" customFormat="1" ht="12" customHeight="1">
      <c r="B15" s="83" t="s">
        <v>77</v>
      </c>
      <c r="C15" s="20"/>
      <c r="D15" s="128"/>
      <c r="E15" s="22"/>
      <c r="F15" s="128"/>
      <c r="G15" s="129"/>
      <c r="H15" s="128"/>
      <c r="I15" s="130"/>
      <c r="J15" s="131"/>
      <c r="K15" s="132"/>
      <c r="L15" s="16"/>
      <c r="M15" s="23"/>
    </row>
    <row r="16" spans="2:13" s="133" customFormat="1" ht="12" customHeight="1">
      <c r="B16" s="14" t="s">
        <v>79</v>
      </c>
      <c r="C16" s="20">
        <v>7800</v>
      </c>
      <c r="D16" s="128">
        <v>7800</v>
      </c>
      <c r="E16" s="22"/>
      <c r="F16" s="128"/>
      <c r="G16" s="129"/>
      <c r="H16" s="128"/>
      <c r="I16" s="130"/>
      <c r="J16" s="131"/>
      <c r="K16" s="132"/>
      <c r="L16" s="16">
        <f>SUM(C16-D16-F16-H16-J16)</f>
        <v>0</v>
      </c>
      <c r="M16" s="23"/>
    </row>
    <row r="17" spans="2:13" s="133" customFormat="1" ht="12" customHeight="1">
      <c r="B17" s="84" t="s">
        <v>82</v>
      </c>
      <c r="C17" s="20"/>
      <c r="D17" s="128"/>
      <c r="E17" s="22"/>
      <c r="F17" s="128"/>
      <c r="G17" s="129"/>
      <c r="H17" s="128"/>
      <c r="I17" s="130"/>
      <c r="J17" s="131"/>
      <c r="K17" s="132"/>
      <c r="L17" s="16"/>
      <c r="M17" s="23"/>
    </row>
    <row r="18" spans="2:13" s="133" customFormat="1" ht="12" customHeight="1">
      <c r="B18" s="14" t="s">
        <v>78</v>
      </c>
      <c r="C18" s="20"/>
      <c r="D18" s="128"/>
      <c r="E18" s="22"/>
      <c r="F18" s="128"/>
      <c r="G18" s="129"/>
      <c r="H18" s="128"/>
      <c r="I18" s="130"/>
      <c r="J18" s="131"/>
      <c r="K18" s="132"/>
      <c r="L18" s="16"/>
      <c r="M18" s="23"/>
    </row>
    <row r="19" spans="2:13" s="133" customFormat="1" ht="12" customHeight="1" thickBot="1">
      <c r="B19" s="14" t="s">
        <v>79</v>
      </c>
      <c r="C19" s="134">
        <v>17251</v>
      </c>
      <c r="D19" s="135">
        <v>17251</v>
      </c>
      <c r="E19" s="136"/>
      <c r="F19" s="135"/>
      <c r="G19" s="137"/>
      <c r="H19" s="135"/>
      <c r="I19" s="130"/>
      <c r="J19" s="138"/>
      <c r="K19" s="132"/>
      <c r="L19" s="16"/>
      <c r="M19" s="139"/>
    </row>
    <row r="20" spans="2:13" s="31" customFormat="1" ht="12" customHeight="1" thickBot="1">
      <c r="B20" s="28" t="s">
        <v>38</v>
      </c>
      <c r="C20" s="25">
        <f>SUM(C15:C19)</f>
        <v>25051</v>
      </c>
      <c r="D20" s="25">
        <f aca="true" t="shared" si="0" ref="D20:L20">SUM(D15:D19)</f>
        <v>25051</v>
      </c>
      <c r="E20" s="29"/>
      <c r="F20" s="25">
        <f t="shared" si="0"/>
        <v>0</v>
      </c>
      <c r="G20" s="29"/>
      <c r="H20" s="25">
        <f t="shared" si="0"/>
        <v>0</v>
      </c>
      <c r="I20" s="57"/>
      <c r="J20" s="25">
        <f>SUM(J15:J19)</f>
        <v>0</v>
      </c>
      <c r="K20" s="29"/>
      <c r="L20" s="25">
        <f t="shared" si="0"/>
        <v>0</v>
      </c>
      <c r="M20" s="42"/>
    </row>
    <row r="21" spans="2:13" ht="12" customHeight="1">
      <c r="B21" s="84" t="s">
        <v>82</v>
      </c>
      <c r="C21" s="76"/>
      <c r="D21" s="77"/>
      <c r="E21" s="78"/>
      <c r="F21" s="77"/>
      <c r="G21" s="78"/>
      <c r="H21" s="77"/>
      <c r="I21" s="79"/>
      <c r="J21" s="77"/>
      <c r="K21" s="78"/>
      <c r="L21" s="77"/>
      <c r="M21" s="80"/>
    </row>
    <row r="22" spans="2:13" ht="12" customHeight="1" thickBot="1">
      <c r="B22" s="14" t="s">
        <v>79</v>
      </c>
      <c r="C22" s="26">
        <v>20000</v>
      </c>
      <c r="D22" s="27">
        <v>20000</v>
      </c>
      <c r="E22" s="40">
        <f>SUM(D22/C22)*100</f>
        <v>100</v>
      </c>
      <c r="F22" s="27"/>
      <c r="G22" s="40">
        <f>SUM(F22/C22)*100</f>
        <v>0</v>
      </c>
      <c r="H22" s="27"/>
      <c r="I22" s="66">
        <f>SUM(H22/C22)*100</f>
        <v>0</v>
      </c>
      <c r="J22" s="27"/>
      <c r="K22" s="40">
        <f>SUM(J22/C22)*100</f>
        <v>0</v>
      </c>
      <c r="L22" s="27">
        <f>SUM(C22-D22-F22-H22-J22)</f>
        <v>0</v>
      </c>
      <c r="M22" s="41">
        <f>SUM(L22/C22)*100</f>
        <v>0</v>
      </c>
    </row>
    <row r="23" spans="2:13" ht="12" customHeight="1" thickBot="1">
      <c r="B23" s="28" t="s">
        <v>52</v>
      </c>
      <c r="C23" s="25">
        <f>SUM(C21:C22)</f>
        <v>20000</v>
      </c>
      <c r="D23" s="25">
        <f>SUM(D21:D22)</f>
        <v>20000</v>
      </c>
      <c r="E23" s="57">
        <f>SUM(D23/C23)*100</f>
        <v>100</v>
      </c>
      <c r="F23" s="25">
        <f aca="true" t="shared" si="1" ref="F23:L23">SUM(F21:F22)</f>
        <v>0</v>
      </c>
      <c r="G23" s="57">
        <f t="shared" si="1"/>
        <v>0</v>
      </c>
      <c r="H23" s="25">
        <f t="shared" si="1"/>
        <v>0</v>
      </c>
      <c r="I23" s="57">
        <f t="shared" si="1"/>
        <v>0</v>
      </c>
      <c r="J23" s="25">
        <f t="shared" si="1"/>
        <v>0</v>
      </c>
      <c r="K23" s="29">
        <f t="shared" si="1"/>
        <v>0</v>
      </c>
      <c r="L23" s="25">
        <f t="shared" si="1"/>
        <v>0</v>
      </c>
      <c r="M23" s="75">
        <f>SUM(L23/C23)*100</f>
        <v>0</v>
      </c>
    </row>
    <row r="24" spans="2:13" ht="12" customHeight="1">
      <c r="B24" s="84" t="s">
        <v>82</v>
      </c>
      <c r="C24" s="140"/>
      <c r="D24" s="140"/>
      <c r="E24" s="141"/>
      <c r="F24" s="140"/>
      <c r="G24" s="141"/>
      <c r="H24" s="140"/>
      <c r="I24" s="141"/>
      <c r="J24" s="140"/>
      <c r="K24" s="142"/>
      <c r="L24" s="140"/>
      <c r="M24" s="143"/>
    </row>
    <row r="25" spans="2:13" ht="12" customHeight="1" thickBot="1">
      <c r="B25" s="14" t="s">
        <v>79</v>
      </c>
      <c r="C25" s="144"/>
      <c r="D25" s="145"/>
      <c r="E25" s="146"/>
      <c r="F25" s="145"/>
      <c r="G25" s="146"/>
      <c r="H25" s="145"/>
      <c r="I25" s="146"/>
      <c r="J25" s="145"/>
      <c r="K25" s="147"/>
      <c r="L25" s="145"/>
      <c r="M25" s="148"/>
    </row>
    <row r="26" spans="2:13" ht="12" customHeight="1" thickBot="1">
      <c r="B26" s="28" t="s">
        <v>89</v>
      </c>
      <c r="C26" s="25">
        <f>SUM(C25)</f>
        <v>0</v>
      </c>
      <c r="D26" s="25"/>
      <c r="E26" s="57"/>
      <c r="F26" s="25"/>
      <c r="G26" s="57"/>
      <c r="H26" s="25"/>
      <c r="I26" s="57"/>
      <c r="J26" s="25"/>
      <c r="K26" s="149"/>
      <c r="L26" s="25"/>
      <c r="M26" s="75"/>
    </row>
    <row r="27" spans="2:13" ht="12" customHeight="1">
      <c r="B27" s="84" t="s">
        <v>82</v>
      </c>
      <c r="C27" s="140"/>
      <c r="D27" s="140"/>
      <c r="E27" s="141"/>
      <c r="F27" s="140"/>
      <c r="G27" s="141"/>
      <c r="H27" s="140"/>
      <c r="I27" s="141"/>
      <c r="J27" s="140"/>
      <c r="K27" s="142"/>
      <c r="L27" s="140"/>
      <c r="M27" s="143"/>
    </row>
    <row r="28" spans="2:13" ht="12" customHeight="1" thickBot="1">
      <c r="B28" s="14" t="s">
        <v>79</v>
      </c>
      <c r="C28" s="144"/>
      <c r="D28" s="145"/>
      <c r="E28" s="146"/>
      <c r="F28" s="145"/>
      <c r="G28" s="146"/>
      <c r="H28" s="145"/>
      <c r="I28" s="146"/>
      <c r="J28" s="145"/>
      <c r="K28" s="147"/>
      <c r="L28" s="145"/>
      <c r="M28" s="148"/>
    </row>
    <row r="29" spans="2:13" ht="12" customHeight="1" thickBot="1">
      <c r="B29" s="28" t="s">
        <v>90</v>
      </c>
      <c r="C29" s="25">
        <f>SUM(C28)</f>
        <v>0</v>
      </c>
      <c r="D29" s="25"/>
      <c r="E29" s="57"/>
      <c r="F29" s="25"/>
      <c r="G29" s="57"/>
      <c r="H29" s="25"/>
      <c r="I29" s="57"/>
      <c r="J29" s="25"/>
      <c r="K29" s="149"/>
      <c r="L29" s="25"/>
      <c r="M29" s="75"/>
    </row>
    <row r="30" spans="2:13" ht="12" customHeight="1">
      <c r="B30" s="89" t="s">
        <v>82</v>
      </c>
      <c r="C30" s="140"/>
      <c r="D30" s="140"/>
      <c r="E30" s="141"/>
      <c r="F30" s="140"/>
      <c r="G30" s="141"/>
      <c r="H30" s="140"/>
      <c r="I30" s="141"/>
      <c r="J30" s="140"/>
      <c r="K30" s="142"/>
      <c r="L30" s="140"/>
      <c r="M30" s="143"/>
    </row>
    <row r="31" spans="2:13" ht="12" customHeight="1" thickBot="1">
      <c r="B31" s="39" t="s">
        <v>79</v>
      </c>
      <c r="C31" s="144"/>
      <c r="D31" s="145"/>
      <c r="E31" s="146"/>
      <c r="F31" s="145"/>
      <c r="G31" s="146"/>
      <c r="H31" s="145"/>
      <c r="I31" s="146"/>
      <c r="J31" s="145"/>
      <c r="K31" s="147"/>
      <c r="L31" s="145"/>
      <c r="M31" s="148"/>
    </row>
    <row r="32" spans="2:13" ht="12" customHeight="1" thickBot="1">
      <c r="B32" s="28" t="s">
        <v>91</v>
      </c>
      <c r="C32" s="25">
        <f>SUM(C31)</f>
        <v>0</v>
      </c>
      <c r="D32" s="25"/>
      <c r="E32" s="57"/>
      <c r="F32" s="25"/>
      <c r="G32" s="57"/>
      <c r="H32" s="25"/>
      <c r="I32" s="57"/>
      <c r="J32" s="25"/>
      <c r="K32" s="149"/>
      <c r="L32" s="25"/>
      <c r="M32" s="75"/>
    </row>
    <row r="33" spans="2:16" s="4" customFormat="1" ht="12" customHeight="1" thickBot="1">
      <c r="B33" s="24" t="s">
        <v>17</v>
      </c>
      <c r="C33" s="25">
        <f>SUM(C23,C20,C14,C26,C29,C32)</f>
        <v>613287</v>
      </c>
      <c r="D33" s="25">
        <f aca="true" t="shared" si="2" ref="D33:L33">SUM(D23,D20,D14)</f>
        <v>483120</v>
      </c>
      <c r="E33" s="57">
        <f>SUM(D33/C33)*100</f>
        <v>78.77551619388639</v>
      </c>
      <c r="F33" s="25">
        <f t="shared" si="2"/>
        <v>0</v>
      </c>
      <c r="G33" s="57">
        <f>SUM(G22:G23)</f>
        <v>0</v>
      </c>
      <c r="H33" s="25">
        <f t="shared" si="2"/>
        <v>0</v>
      </c>
      <c r="I33" s="57">
        <f>SUM(I22:I23)</f>
        <v>0</v>
      </c>
      <c r="J33" s="25">
        <f t="shared" si="2"/>
        <v>130167</v>
      </c>
      <c r="K33" s="40">
        <f>SUM(J33/C33)*100</f>
        <v>21.224483806113614</v>
      </c>
      <c r="L33" s="25">
        <f t="shared" si="2"/>
        <v>0</v>
      </c>
      <c r="M33" s="75">
        <f>SUM(L33/C33)*100</f>
        <v>0</v>
      </c>
      <c r="O33" s="81"/>
      <c r="P33" s="81"/>
    </row>
    <row r="34" spans="2:13" ht="12.75">
      <c r="B34" s="8"/>
      <c r="C34" s="9"/>
      <c r="D34" s="9"/>
      <c r="E34" s="13"/>
      <c r="F34" s="9"/>
      <c r="G34" s="10"/>
      <c r="H34" s="61"/>
      <c r="I34" s="67"/>
      <c r="J34" s="11"/>
      <c r="K34" s="70"/>
      <c r="L34" s="12"/>
      <c r="M34" s="8"/>
    </row>
    <row r="35" spans="14:15" ht="12.75">
      <c r="N35" s="3"/>
      <c r="O35" s="3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4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7"/>
      <c r="B1" s="37"/>
      <c r="C1" s="37"/>
      <c r="D1" s="71"/>
      <c r="E1" s="37"/>
      <c r="F1" s="37"/>
      <c r="G1" s="37"/>
      <c r="H1" s="37"/>
      <c r="I1" s="37"/>
      <c r="J1" s="37"/>
      <c r="K1" s="210" t="s">
        <v>31</v>
      </c>
      <c r="L1" s="210"/>
    </row>
    <row r="2" spans="1:12" ht="12.75">
      <c r="A2" s="211" t="s">
        <v>108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3.5" thickBot="1">
      <c r="A4" s="58"/>
      <c r="B4" s="58"/>
      <c r="C4" s="58"/>
      <c r="D4" s="72"/>
      <c r="E4" s="43"/>
      <c r="F4" s="44"/>
      <c r="G4" s="43"/>
      <c r="H4" s="44"/>
      <c r="I4" s="44"/>
      <c r="J4" s="44"/>
      <c r="K4" s="45"/>
      <c r="L4" s="54" t="s">
        <v>0</v>
      </c>
    </row>
    <row r="5" spans="1:12" ht="92.25" customHeight="1" thickBot="1">
      <c r="A5" s="38" t="s">
        <v>3</v>
      </c>
      <c r="B5" s="46" t="s">
        <v>69</v>
      </c>
      <c r="C5" s="46" t="s">
        <v>80</v>
      </c>
      <c r="D5" s="47" t="s">
        <v>70</v>
      </c>
      <c r="E5" s="46" t="s">
        <v>60</v>
      </c>
      <c r="F5" s="47" t="s">
        <v>71</v>
      </c>
      <c r="G5" s="46" t="s">
        <v>81</v>
      </c>
      <c r="H5" s="47" t="s">
        <v>73</v>
      </c>
      <c r="I5" s="47" t="s">
        <v>76</v>
      </c>
      <c r="J5" s="47" t="s">
        <v>48</v>
      </c>
      <c r="K5" s="48" t="s">
        <v>74</v>
      </c>
      <c r="L5" s="55" t="s">
        <v>75</v>
      </c>
    </row>
    <row r="6" spans="1:12" ht="12.75">
      <c r="A6" s="83"/>
      <c r="B6" s="15"/>
      <c r="C6" s="15"/>
      <c r="D6" s="86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93</v>
      </c>
      <c r="B7" s="20">
        <v>203146</v>
      </c>
      <c r="C7" s="20"/>
      <c r="D7" s="87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203146</v>
      </c>
      <c r="L7" s="23">
        <f>SUM(K7/B7)*100</f>
        <v>100</v>
      </c>
    </row>
    <row r="8" spans="1:12" ht="13.5" thickBot="1">
      <c r="A8" s="14" t="s">
        <v>115</v>
      </c>
      <c r="B8" s="20">
        <v>6000000</v>
      </c>
      <c r="C8" s="20"/>
      <c r="D8" s="87"/>
      <c r="E8" s="21"/>
      <c r="F8" s="22"/>
      <c r="G8" s="21"/>
      <c r="H8" s="22"/>
      <c r="I8" s="21"/>
      <c r="J8" s="17"/>
      <c r="K8" s="21">
        <f>SUM(B8-C8-E8-G8-I8)</f>
        <v>6000000</v>
      </c>
      <c r="L8" s="23"/>
    </row>
    <row r="9" spans="1:12" s="31" customFormat="1" ht="13.5" thickBot="1">
      <c r="A9" s="28" t="s">
        <v>39</v>
      </c>
      <c r="B9" s="25">
        <f>SUM(B6:B8)</f>
        <v>6203146</v>
      </c>
      <c r="C9" s="25">
        <f>SUM(C6:C8)</f>
        <v>0</v>
      </c>
      <c r="D9" s="88">
        <f>SUM(C9/B9)*100</f>
        <v>0</v>
      </c>
      <c r="E9" s="25">
        <f>SUM(E6:E8)</f>
        <v>0</v>
      </c>
      <c r="F9" s="57">
        <f>SUM(E9/B9*100)</f>
        <v>0</v>
      </c>
      <c r="G9" s="25">
        <f>SUM(G6:G8)</f>
        <v>0</v>
      </c>
      <c r="H9" s="29">
        <f>SUM(G9/B9*100)</f>
        <v>0</v>
      </c>
      <c r="I9" s="25">
        <f>SUM(I6:I8)</f>
        <v>0</v>
      </c>
      <c r="J9" s="29">
        <f>SUM(I9/B9*100)</f>
        <v>0</v>
      </c>
      <c r="K9" s="25">
        <f>SUM(K6:K8)</f>
        <v>6203146</v>
      </c>
      <c r="L9" s="42">
        <f>SUM(K9/B9)*100</f>
        <v>100</v>
      </c>
    </row>
    <row r="10" spans="3:11" ht="12.75">
      <c r="C10" s="6"/>
      <c r="D10" s="73"/>
      <c r="E10" s="3"/>
      <c r="F10" s="2"/>
      <c r="G10" s="3"/>
      <c r="H10" s="2"/>
      <c r="I10" s="2"/>
      <c r="J10" s="2"/>
      <c r="K10" s="6"/>
    </row>
    <row r="13" ht="12.75">
      <c r="B13" s="127">
        <f>SUM(B9+'kötelező2019.finansz.'!C8)</f>
        <v>12344757</v>
      </c>
    </row>
    <row r="17" ht="12.75">
      <c r="B17" s="3">
        <f>SUM(B13+'önként2019.felh.'!B52+'önként2019.'!B40)</f>
        <v>54242521</v>
      </c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B1">
      <selection activeCell="N12" sqref="N12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9" customWidth="1"/>
    <col min="9" max="9" width="8.375" style="63" customWidth="1"/>
    <col min="10" max="10" width="9.75390625" style="5" customWidth="1"/>
    <col min="11" max="11" width="10.00390625" style="68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3" t="s">
        <v>30</v>
      </c>
      <c r="M1" s="213"/>
    </row>
    <row r="2" spans="2:13" ht="18" customHeight="1">
      <c r="B2" s="212" t="s">
        <v>109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3" ht="12" customHeight="1" thickBot="1">
      <c r="B3" s="37"/>
      <c r="C3" s="49"/>
      <c r="D3" s="49"/>
      <c r="E3" s="50"/>
      <c r="F3" s="49"/>
      <c r="G3" s="51"/>
      <c r="H3" s="60"/>
      <c r="I3" s="64"/>
      <c r="J3" s="52"/>
      <c r="K3" s="69"/>
      <c r="L3" s="53"/>
      <c r="M3" s="54" t="s">
        <v>0</v>
      </c>
    </row>
    <row r="4" spans="2:13" s="56" customFormat="1" ht="51.75" customHeight="1" thickBot="1">
      <c r="B4" s="38" t="s">
        <v>3</v>
      </c>
      <c r="C4" s="46" t="s">
        <v>65</v>
      </c>
      <c r="D4" s="46" t="s">
        <v>80</v>
      </c>
      <c r="E4" s="47" t="s">
        <v>70</v>
      </c>
      <c r="F4" s="46" t="s">
        <v>60</v>
      </c>
      <c r="G4" s="47" t="s">
        <v>71</v>
      </c>
      <c r="H4" s="46" t="s">
        <v>81</v>
      </c>
      <c r="I4" s="47" t="s">
        <v>73</v>
      </c>
      <c r="J4" s="47" t="s">
        <v>76</v>
      </c>
      <c r="K4" s="47" t="s">
        <v>48</v>
      </c>
      <c r="L4" s="48" t="s">
        <v>74</v>
      </c>
      <c r="M4" s="55" t="s">
        <v>75</v>
      </c>
    </row>
    <row r="5" spans="2:13" ht="12" customHeight="1">
      <c r="B5" s="83" t="s">
        <v>95</v>
      </c>
      <c r="C5" s="20"/>
      <c r="D5" s="21"/>
      <c r="E5" s="22"/>
      <c r="F5" s="21"/>
      <c r="G5" s="17"/>
      <c r="H5" s="21"/>
      <c r="I5" s="65"/>
      <c r="J5" s="16"/>
      <c r="K5" s="17"/>
      <c r="L5" s="16">
        <f>SUM(C5-D5-F5-H5-J5)</f>
        <v>0</v>
      </c>
      <c r="M5" s="23"/>
    </row>
    <row r="6" spans="2:13" ht="12" customHeight="1">
      <c r="B6" s="14" t="s">
        <v>92</v>
      </c>
      <c r="C6" s="20">
        <v>6044969</v>
      </c>
      <c r="D6" s="21"/>
      <c r="E6" s="22">
        <f>SUM(D6/C6)*100</f>
        <v>0</v>
      </c>
      <c r="F6" s="21"/>
      <c r="G6" s="17">
        <f>SUM(F6/C6)*100</f>
        <v>0</v>
      </c>
      <c r="H6" s="21"/>
      <c r="I6" s="65">
        <f>SUM(H6/C6)*100</f>
        <v>0</v>
      </c>
      <c r="J6" s="16"/>
      <c r="K6" s="17">
        <f>SUM(J6/C6)*100</f>
        <v>0</v>
      </c>
      <c r="L6" s="16">
        <f>SUM(C6-D6-F6-H6-J6)</f>
        <v>6044969</v>
      </c>
      <c r="M6" s="23">
        <f>SUM(L6/C6)*100</f>
        <v>100</v>
      </c>
    </row>
    <row r="7" spans="2:13" ht="12" customHeight="1" thickBot="1">
      <c r="B7" s="14" t="s">
        <v>94</v>
      </c>
      <c r="C7" s="20">
        <v>96642</v>
      </c>
      <c r="D7" s="21"/>
      <c r="E7" s="22">
        <f>SUM(D7/C7)*100</f>
        <v>0</v>
      </c>
      <c r="F7" s="21"/>
      <c r="G7" s="22">
        <f>SUM(F7/C7)*100</f>
        <v>0</v>
      </c>
      <c r="H7" s="21"/>
      <c r="I7" s="65">
        <f>SUM(H7/C7)*100</f>
        <v>0</v>
      </c>
      <c r="J7" s="16"/>
      <c r="K7" s="17">
        <f>SUM(J7/C7)*100</f>
        <v>0</v>
      </c>
      <c r="L7" s="16">
        <f>SUM(C7-D7-F7-H7-J7)</f>
        <v>96642</v>
      </c>
      <c r="M7" s="23">
        <f>SUM(L7/C7)*100</f>
        <v>100</v>
      </c>
    </row>
    <row r="8" spans="2:13" s="31" customFormat="1" ht="12" customHeight="1" thickBot="1">
      <c r="B8" s="28" t="s">
        <v>39</v>
      </c>
      <c r="C8" s="25">
        <f>SUM(C5:C7)</f>
        <v>6141611</v>
      </c>
      <c r="D8" s="25">
        <f>SUM(D5:D7)</f>
        <v>0</v>
      </c>
      <c r="E8" s="57">
        <f>SUM(D8/C8)*100</f>
        <v>0</v>
      </c>
      <c r="F8" s="25">
        <f>SUM(F5:F7)</f>
        <v>0</v>
      </c>
      <c r="G8" s="57">
        <f>SUM(F8/C8)*100</f>
        <v>0</v>
      </c>
      <c r="H8" s="25">
        <f>SUM(H5:H7)</f>
        <v>0</v>
      </c>
      <c r="I8" s="57">
        <f>SUM(H8/C8)*100</f>
        <v>0</v>
      </c>
      <c r="J8" s="25">
        <f>SUM(J5:J7)</f>
        <v>0</v>
      </c>
      <c r="K8" s="29">
        <f>SUM(J8/C8)*100</f>
        <v>0</v>
      </c>
      <c r="L8" s="25">
        <f>SUM(L5:L7)</f>
        <v>6141611</v>
      </c>
      <c r="M8" s="75">
        <f>SUM(L8/C8)*100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2019-11-28T08:49:05Z</cp:lastPrinted>
  <dcterms:created xsi:type="dcterms:W3CDTF">2009-02-04T11:37:44Z</dcterms:created>
  <dcterms:modified xsi:type="dcterms:W3CDTF">2019-11-28T09:10:44Z</dcterms:modified>
  <cp:category/>
  <cp:version/>
  <cp:contentType/>
  <cp:contentStatus/>
</cp:coreProperties>
</file>