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6" i="1" l="1"/>
  <c r="D861" i="1"/>
  <c r="B861" i="1"/>
  <c r="B860" i="1"/>
  <c r="D859" i="1"/>
  <c r="B859" i="1"/>
  <c r="E858" i="1"/>
  <c r="C857" i="1"/>
  <c r="E857" i="1" s="1"/>
  <c r="B857" i="1"/>
  <c r="E856" i="1"/>
  <c r="C856" i="1"/>
  <c r="C859" i="1" s="1"/>
  <c r="D855" i="1"/>
  <c r="E855" i="1" s="1"/>
  <c r="C855" i="1"/>
  <c r="B855" i="1"/>
  <c r="E854" i="1"/>
  <c r="E853" i="1"/>
  <c r="E852" i="1"/>
  <c r="D852" i="1"/>
  <c r="D851" i="1"/>
  <c r="E851" i="1" s="1"/>
  <c r="C851" i="1"/>
  <c r="B851" i="1"/>
  <c r="E850" i="1"/>
  <c r="E849" i="1"/>
  <c r="D849" i="1"/>
  <c r="C849" i="1"/>
  <c r="B849" i="1"/>
  <c r="E848" i="1"/>
  <c r="E847" i="1"/>
  <c r="D846" i="1"/>
  <c r="E846" i="1" s="1"/>
  <c r="D845" i="1"/>
  <c r="C845" i="1"/>
  <c r="B845" i="1"/>
  <c r="E844" i="1"/>
  <c r="E843" i="1"/>
  <c r="D843" i="1"/>
  <c r="E842" i="1"/>
  <c r="D840" i="1"/>
  <c r="E840" i="1" s="1"/>
  <c r="C840" i="1"/>
  <c r="B840" i="1"/>
  <c r="E838" i="1"/>
  <c r="E836" i="1"/>
  <c r="D832" i="1"/>
  <c r="E832" i="1" s="1"/>
  <c r="C832" i="1"/>
  <c r="B832" i="1"/>
  <c r="E830" i="1"/>
  <c r="E829" i="1"/>
  <c r="E828" i="1"/>
  <c r="D822" i="1"/>
  <c r="D820" i="1"/>
  <c r="E820" i="1" s="1"/>
  <c r="E819" i="1"/>
  <c r="C819" i="1"/>
  <c r="C820" i="1" s="1"/>
  <c r="B819" i="1"/>
  <c r="B820" i="1" s="1"/>
  <c r="D818" i="1"/>
  <c r="D817" i="1"/>
  <c r="C817" i="1"/>
  <c r="B817" i="1"/>
  <c r="B818" i="1" s="1"/>
  <c r="E816" i="1"/>
  <c r="E815" i="1"/>
  <c r="E814" i="1"/>
  <c r="D812" i="1"/>
  <c r="E812" i="1" s="1"/>
  <c r="C812" i="1"/>
  <c r="B812" i="1"/>
  <c r="E811" i="1"/>
  <c r="E810" i="1"/>
  <c r="E809" i="1"/>
  <c r="E808" i="1"/>
  <c r="C808" i="1"/>
  <c r="D806" i="1"/>
  <c r="C806" i="1"/>
  <c r="B806" i="1"/>
  <c r="E805" i="1"/>
  <c r="E804" i="1"/>
  <c r="E800" i="1"/>
  <c r="E799" i="1"/>
  <c r="C799" i="1"/>
  <c r="D793" i="1"/>
  <c r="D791" i="1"/>
  <c r="E791" i="1" s="1"/>
  <c r="C791" i="1"/>
  <c r="D790" i="1"/>
  <c r="E790" i="1" s="1"/>
  <c r="E789" i="1"/>
  <c r="E788" i="1"/>
  <c r="C788" i="1"/>
  <c r="B788" i="1"/>
  <c r="B791" i="1" s="1"/>
  <c r="E787" i="1"/>
  <c r="B787" i="1"/>
  <c r="E786" i="1"/>
  <c r="D786" i="1"/>
  <c r="D787" i="1" s="1"/>
  <c r="E785" i="1"/>
  <c r="E784" i="1"/>
  <c r="E783" i="1"/>
  <c r="C783" i="1"/>
  <c r="C787" i="1" s="1"/>
  <c r="B783" i="1"/>
  <c r="E782" i="1"/>
  <c r="D782" i="1"/>
  <c r="C782" i="1"/>
  <c r="B782" i="1"/>
  <c r="E781" i="1"/>
  <c r="E780" i="1"/>
  <c r="B779" i="1"/>
  <c r="D778" i="1"/>
  <c r="D779" i="1" s="1"/>
  <c r="C778" i="1"/>
  <c r="E778" i="1" s="1"/>
  <c r="B778" i="1"/>
  <c r="E777" i="1"/>
  <c r="C776" i="1"/>
  <c r="B776" i="1"/>
  <c r="B792" i="1" s="1"/>
  <c r="B793" i="1" s="1"/>
  <c r="D774" i="1"/>
  <c r="C774" i="1"/>
  <c r="B774" i="1"/>
  <c r="B867" i="1" s="1"/>
  <c r="E773" i="1"/>
  <c r="E772" i="1"/>
  <c r="E771" i="1"/>
  <c r="E770" i="1"/>
  <c r="D768" i="1"/>
  <c r="C768" i="1"/>
  <c r="B768" i="1"/>
  <c r="E767" i="1"/>
  <c r="E766" i="1"/>
  <c r="E764" i="1"/>
  <c r="B761" i="1"/>
  <c r="D758" i="1"/>
  <c r="D759" i="1" s="1"/>
  <c r="B758" i="1"/>
  <c r="B759" i="1" s="1"/>
  <c r="B757" i="1"/>
  <c r="E756" i="1"/>
  <c r="C756" i="1"/>
  <c r="D747" i="1"/>
  <c r="B747" i="1"/>
  <c r="E746" i="1"/>
  <c r="C745" i="1"/>
  <c r="D743" i="1"/>
  <c r="D753" i="1" s="1"/>
  <c r="B743" i="1"/>
  <c r="B753" i="1" s="1"/>
  <c r="E741" i="1"/>
  <c r="C741" i="1"/>
  <c r="C743" i="1" s="1"/>
  <c r="E743" i="1" s="1"/>
  <c r="D724" i="1"/>
  <c r="D721" i="1"/>
  <c r="D714" i="1"/>
  <c r="C714" i="1"/>
  <c r="E714" i="1" s="1"/>
  <c r="C713" i="1"/>
  <c r="E713" i="1" s="1"/>
  <c r="B713" i="1"/>
  <c r="B714" i="1" s="1"/>
  <c r="E712" i="1"/>
  <c r="D712" i="1"/>
  <c r="C712" i="1"/>
  <c r="B712" i="1"/>
  <c r="B715" i="1" s="1"/>
  <c r="E711" i="1"/>
  <c r="E710" i="1"/>
  <c r="D709" i="1"/>
  <c r="E709" i="1" s="1"/>
  <c r="C709" i="1"/>
  <c r="B709" i="1"/>
  <c r="E708" i="1"/>
  <c r="E707" i="1"/>
  <c r="D707" i="1"/>
  <c r="E706" i="1"/>
  <c r="D705" i="1"/>
  <c r="C705" i="1"/>
  <c r="B705" i="1"/>
  <c r="E704" i="1"/>
  <c r="E703" i="1"/>
  <c r="C702" i="1"/>
  <c r="B702" i="1"/>
  <c r="E701" i="1"/>
  <c r="D701" i="1"/>
  <c r="D702" i="1" s="1"/>
  <c r="E702" i="1" s="1"/>
  <c r="E700" i="1"/>
  <c r="E699" i="1"/>
  <c r="E698" i="1"/>
  <c r="D697" i="1"/>
  <c r="D715" i="1" s="1"/>
  <c r="C697" i="1"/>
  <c r="B697" i="1"/>
  <c r="E696" i="1"/>
  <c r="E695" i="1"/>
  <c r="D693" i="1"/>
  <c r="B693" i="1"/>
  <c r="E692" i="1"/>
  <c r="E691" i="1"/>
  <c r="E690" i="1"/>
  <c r="C689" i="1"/>
  <c r="E687" i="1"/>
  <c r="D687" i="1"/>
  <c r="B687" i="1"/>
  <c r="E686" i="1"/>
  <c r="E685" i="1"/>
  <c r="C685" i="1"/>
  <c r="E684" i="1"/>
  <c r="E681" i="1"/>
  <c r="E680" i="1"/>
  <c r="E679" i="1"/>
  <c r="E678" i="1"/>
  <c r="C678" i="1"/>
  <c r="C687" i="1" s="1"/>
  <c r="C673" i="1"/>
  <c r="C674" i="1" s="1"/>
  <c r="B673" i="1"/>
  <c r="E672" i="1"/>
  <c r="C672" i="1"/>
  <c r="B672" i="1"/>
  <c r="E671" i="1"/>
  <c r="E670" i="1"/>
  <c r="D669" i="1"/>
  <c r="D673" i="1" s="1"/>
  <c r="D667" i="1"/>
  <c r="E667" i="1" s="1"/>
  <c r="C667" i="1"/>
  <c r="B667" i="1"/>
  <c r="E666" i="1"/>
  <c r="E665" i="1"/>
  <c r="E664" i="1"/>
  <c r="C664" i="1"/>
  <c r="D662" i="1"/>
  <c r="B662" i="1"/>
  <c r="E661" i="1"/>
  <c r="E660" i="1"/>
  <c r="C660" i="1"/>
  <c r="C662" i="1" s="1"/>
  <c r="C675" i="1" s="1"/>
  <c r="E659" i="1"/>
  <c r="E658" i="1"/>
  <c r="D651" i="1"/>
  <c r="D649" i="1"/>
  <c r="E649" i="1" s="1"/>
  <c r="C649" i="1"/>
  <c r="B649" i="1"/>
  <c r="E648" i="1"/>
  <c r="E647" i="1"/>
  <c r="D647" i="1"/>
  <c r="C647" i="1"/>
  <c r="B647" i="1"/>
  <c r="E646" i="1"/>
  <c r="E645" i="1"/>
  <c r="D644" i="1"/>
  <c r="C644" i="1"/>
  <c r="E643" i="1"/>
  <c r="E642" i="1"/>
  <c r="E641" i="1"/>
  <c r="D641" i="1"/>
  <c r="C641" i="1"/>
  <c r="B641" i="1"/>
  <c r="B644" i="1" s="1"/>
  <c r="E640" i="1"/>
  <c r="C640" i="1"/>
  <c r="B640" i="1"/>
  <c r="E639" i="1"/>
  <c r="D639" i="1"/>
  <c r="C639" i="1"/>
  <c r="B639" i="1"/>
  <c r="E638" i="1"/>
  <c r="E637" i="1"/>
  <c r="B636" i="1"/>
  <c r="E635" i="1"/>
  <c r="D635" i="1"/>
  <c r="D636" i="1" s="1"/>
  <c r="C634" i="1"/>
  <c r="B634" i="1"/>
  <c r="C633" i="1"/>
  <c r="E633" i="1" s="1"/>
  <c r="B633" i="1"/>
  <c r="D632" i="1"/>
  <c r="C632" i="1"/>
  <c r="B632" i="1"/>
  <c r="E631" i="1"/>
  <c r="D629" i="1"/>
  <c r="E629" i="1" s="1"/>
  <c r="C629" i="1"/>
  <c r="B629" i="1"/>
  <c r="E628" i="1"/>
  <c r="E627" i="1"/>
  <c r="E626" i="1"/>
  <c r="E625" i="1"/>
  <c r="C625" i="1"/>
  <c r="E623" i="1"/>
  <c r="D623" i="1"/>
  <c r="C623" i="1"/>
  <c r="B623" i="1"/>
  <c r="E622" i="1"/>
  <c r="E621" i="1"/>
  <c r="E619" i="1"/>
  <c r="C619" i="1"/>
  <c r="E618" i="1"/>
  <c r="E617" i="1"/>
  <c r="C612" i="1"/>
  <c r="C614" i="1" s="1"/>
  <c r="D611" i="1"/>
  <c r="D612" i="1" s="1"/>
  <c r="C611" i="1"/>
  <c r="E611" i="1" s="1"/>
  <c r="E610" i="1"/>
  <c r="C610" i="1"/>
  <c r="B610" i="1"/>
  <c r="B611" i="1" s="1"/>
  <c r="B612" i="1" s="1"/>
  <c r="B614" i="1" s="1"/>
  <c r="E609" i="1"/>
  <c r="D609" i="1"/>
  <c r="C609" i="1"/>
  <c r="B609" i="1"/>
  <c r="E608" i="1"/>
  <c r="D601" i="1"/>
  <c r="B600" i="1"/>
  <c r="B601" i="1" s="1"/>
  <c r="B602" i="1" s="1"/>
  <c r="E599" i="1"/>
  <c r="D599" i="1"/>
  <c r="C599" i="1"/>
  <c r="B599" i="1"/>
  <c r="E598" i="1"/>
  <c r="E597" i="1"/>
  <c r="E596" i="1"/>
  <c r="E595" i="1"/>
  <c r="D595" i="1"/>
  <c r="C595" i="1"/>
  <c r="B595" i="1"/>
  <c r="E594" i="1"/>
  <c r="E593" i="1"/>
  <c r="E592" i="1"/>
  <c r="D592" i="1"/>
  <c r="E591" i="1"/>
  <c r="D591" i="1"/>
  <c r="C591" i="1"/>
  <c r="B591" i="1"/>
  <c r="E590" i="1"/>
  <c r="E589" i="1"/>
  <c r="B588" i="1"/>
  <c r="D587" i="1"/>
  <c r="D588" i="1" s="1"/>
  <c r="C587" i="1"/>
  <c r="E587" i="1" s="1"/>
  <c r="B587" i="1"/>
  <c r="E586" i="1"/>
  <c r="C586" i="1"/>
  <c r="C600" i="1" s="1"/>
  <c r="B586" i="1"/>
  <c r="E585" i="1"/>
  <c r="D584" i="1"/>
  <c r="D602" i="1" s="1"/>
  <c r="C584" i="1"/>
  <c r="E584" i="1" s="1"/>
  <c r="B584" i="1"/>
  <c r="E583" i="1"/>
  <c r="E582" i="1"/>
  <c r="E581" i="1"/>
  <c r="E580" i="1"/>
  <c r="D578" i="1"/>
  <c r="C578" i="1"/>
  <c r="E578" i="1" s="1"/>
  <c r="B578" i="1"/>
  <c r="E577" i="1"/>
  <c r="E576" i="1"/>
  <c r="E575" i="1"/>
  <c r="E574" i="1"/>
  <c r="C574" i="1"/>
  <c r="D571" i="1"/>
  <c r="C571" i="1"/>
  <c r="B571" i="1"/>
  <c r="E570" i="1"/>
  <c r="E569" i="1"/>
  <c r="E568" i="1"/>
  <c r="C568" i="1"/>
  <c r="E566" i="1"/>
  <c r="E565" i="1"/>
  <c r="E564" i="1"/>
  <c r="D557" i="1"/>
  <c r="D558" i="1" s="1"/>
  <c r="E556" i="1"/>
  <c r="D553" i="1"/>
  <c r="C552" i="1"/>
  <c r="E552" i="1" s="1"/>
  <c r="B552" i="1"/>
  <c r="E551" i="1"/>
  <c r="C550" i="1"/>
  <c r="E550" i="1" s="1"/>
  <c r="B550" i="1"/>
  <c r="B553" i="1" s="1"/>
  <c r="D548" i="1"/>
  <c r="C548" i="1"/>
  <c r="E548" i="1" s="1"/>
  <c r="B548" i="1"/>
  <c r="E547" i="1"/>
  <c r="E546" i="1"/>
  <c r="E545" i="1"/>
  <c r="E544" i="1"/>
  <c r="D544" i="1"/>
  <c r="C544" i="1"/>
  <c r="B544" i="1"/>
  <c r="E543" i="1"/>
  <c r="E542" i="1"/>
  <c r="C541" i="1"/>
  <c r="B541" i="1"/>
  <c r="D540" i="1"/>
  <c r="E539" i="1"/>
  <c r="E538" i="1"/>
  <c r="E537" i="1"/>
  <c r="E536" i="1"/>
  <c r="D536" i="1"/>
  <c r="C536" i="1"/>
  <c r="B536" i="1"/>
  <c r="E535" i="1"/>
  <c r="E534" i="1"/>
  <c r="E533" i="1"/>
  <c r="D531" i="1"/>
  <c r="E531" i="1" s="1"/>
  <c r="C531" i="1"/>
  <c r="B531" i="1"/>
  <c r="E530" i="1"/>
  <c r="E529" i="1"/>
  <c r="E528" i="1"/>
  <c r="E527" i="1"/>
  <c r="C527" i="1"/>
  <c r="E525" i="1"/>
  <c r="D525" i="1"/>
  <c r="B525" i="1"/>
  <c r="E524" i="1"/>
  <c r="E523" i="1"/>
  <c r="E521" i="1"/>
  <c r="D520" i="1"/>
  <c r="E520" i="1" s="1"/>
  <c r="C520" i="1"/>
  <c r="E519" i="1"/>
  <c r="E518" i="1"/>
  <c r="E517" i="1"/>
  <c r="C517" i="1"/>
  <c r="C525" i="1" s="1"/>
  <c r="D510" i="1"/>
  <c r="C510" i="1"/>
  <c r="E509" i="1"/>
  <c r="C509" i="1"/>
  <c r="B509" i="1"/>
  <c r="B510" i="1" s="1"/>
  <c r="E508" i="1"/>
  <c r="D508" i="1"/>
  <c r="D511" i="1" s="1"/>
  <c r="C508" i="1"/>
  <c r="B508" i="1"/>
  <c r="B511" i="1" s="1"/>
  <c r="E507" i="1"/>
  <c r="D505" i="1"/>
  <c r="C505" i="1"/>
  <c r="E505" i="1" s="1"/>
  <c r="B505" i="1"/>
  <c r="E504" i="1"/>
  <c r="E503" i="1"/>
  <c r="E502" i="1"/>
  <c r="E501" i="1"/>
  <c r="C501" i="1"/>
  <c r="B499" i="1"/>
  <c r="B513" i="1" s="1"/>
  <c r="E498" i="1"/>
  <c r="D496" i="1"/>
  <c r="E496" i="1" s="1"/>
  <c r="C496" i="1"/>
  <c r="C499" i="1" s="1"/>
  <c r="E495" i="1"/>
  <c r="D494" i="1"/>
  <c r="D488" i="1"/>
  <c r="E487" i="1"/>
  <c r="C487" i="1"/>
  <c r="C486" i="1"/>
  <c r="B486" i="1"/>
  <c r="D485" i="1"/>
  <c r="E485" i="1" s="1"/>
  <c r="C485" i="1"/>
  <c r="B485" i="1"/>
  <c r="E484" i="1"/>
  <c r="E483" i="1"/>
  <c r="D483" i="1"/>
  <c r="E482" i="1"/>
  <c r="E480" i="1"/>
  <c r="C479" i="1"/>
  <c r="E478" i="1"/>
  <c r="E477" i="1"/>
  <c r="E476" i="1"/>
  <c r="C476" i="1"/>
  <c r="B476" i="1"/>
  <c r="E475" i="1"/>
  <c r="D475" i="1"/>
  <c r="D479" i="1" s="1"/>
  <c r="E479" i="1" s="1"/>
  <c r="C475" i="1"/>
  <c r="B475" i="1"/>
  <c r="B479" i="1" s="1"/>
  <c r="E474" i="1"/>
  <c r="D474" i="1"/>
  <c r="C474" i="1"/>
  <c r="B474" i="1"/>
  <c r="E473" i="1"/>
  <c r="E472" i="1"/>
  <c r="D471" i="1"/>
  <c r="E471" i="1" s="1"/>
  <c r="C471" i="1"/>
  <c r="B471" i="1"/>
  <c r="D470" i="1"/>
  <c r="E470" i="1" s="1"/>
  <c r="E469" i="1"/>
  <c r="E468" i="1"/>
  <c r="D467" i="1"/>
  <c r="E467" i="1" s="1"/>
  <c r="C467" i="1"/>
  <c r="B467" i="1"/>
  <c r="E466" i="1"/>
  <c r="E465" i="1"/>
  <c r="E464" i="1"/>
  <c r="D462" i="1"/>
  <c r="B462" i="1"/>
  <c r="E461" i="1"/>
  <c r="E460" i="1"/>
  <c r="E459" i="1"/>
  <c r="C458" i="1"/>
  <c r="D456" i="1"/>
  <c r="E456" i="1" s="1"/>
  <c r="B456" i="1"/>
  <c r="D455" i="1"/>
  <c r="E455" i="1" s="1"/>
  <c r="E454" i="1"/>
  <c r="C454" i="1"/>
  <c r="E453" i="1"/>
  <c r="C452" i="1"/>
  <c r="C456" i="1" s="1"/>
  <c r="E446" i="1"/>
  <c r="C446" i="1"/>
  <c r="B446" i="1"/>
  <c r="E445" i="1"/>
  <c r="E444" i="1"/>
  <c r="E442" i="1"/>
  <c r="C442" i="1"/>
  <c r="C448" i="1" s="1"/>
  <c r="E448" i="1" s="1"/>
  <c r="B442" i="1"/>
  <c r="B448" i="1" s="1"/>
  <c r="E441" i="1"/>
  <c r="B436" i="1"/>
  <c r="D434" i="1"/>
  <c r="D433" i="1"/>
  <c r="D430" i="1"/>
  <c r="B430" i="1"/>
  <c r="E428" i="1"/>
  <c r="E426" i="1"/>
  <c r="C426" i="1"/>
  <c r="C430" i="1" s="1"/>
  <c r="D424" i="1"/>
  <c r="B424" i="1"/>
  <c r="D423" i="1"/>
  <c r="E422" i="1"/>
  <c r="C422" i="1"/>
  <c r="C424" i="1" s="1"/>
  <c r="D403" i="1"/>
  <c r="C402" i="1"/>
  <c r="E401" i="1"/>
  <c r="C401" i="1"/>
  <c r="E400" i="1"/>
  <c r="D400" i="1"/>
  <c r="D401" i="1" s="1"/>
  <c r="D398" i="1"/>
  <c r="C398" i="1"/>
  <c r="E398" i="1" s="1"/>
  <c r="E397" i="1"/>
  <c r="E395" i="1"/>
  <c r="C393" i="1"/>
  <c r="E392" i="1"/>
  <c r="D392" i="1"/>
  <c r="D391" i="1"/>
  <c r="D383" i="1"/>
  <c r="D382" i="1"/>
  <c r="D379" i="1"/>
  <c r="B379" i="1"/>
  <c r="E378" i="1"/>
  <c r="C378" i="1"/>
  <c r="C379" i="1" s="1"/>
  <c r="E379" i="1" s="1"/>
  <c r="D376" i="1"/>
  <c r="D385" i="1" s="1"/>
  <c r="C376" i="1"/>
  <c r="E376" i="1" s="1"/>
  <c r="B376" i="1"/>
  <c r="B385" i="1" s="1"/>
  <c r="E375" i="1"/>
  <c r="C375" i="1"/>
  <c r="D370" i="1"/>
  <c r="E370" i="1" s="1"/>
  <c r="E368" i="1"/>
  <c r="D368" i="1"/>
  <c r="C368" i="1"/>
  <c r="C370" i="1" s="1"/>
  <c r="B368" i="1"/>
  <c r="E367" i="1"/>
  <c r="E365" i="1"/>
  <c r="D365" i="1"/>
  <c r="C365" i="1"/>
  <c r="B365" i="1"/>
  <c r="B370" i="1" s="1"/>
  <c r="E364" i="1"/>
  <c r="C361" i="1"/>
  <c r="B361" i="1"/>
  <c r="D359" i="1"/>
  <c r="C359" i="1"/>
  <c r="E359" i="1" s="1"/>
  <c r="B359" i="1"/>
  <c r="B410" i="1" s="1"/>
  <c r="E358" i="1"/>
  <c r="D356" i="1"/>
  <c r="E356" i="1" s="1"/>
  <c r="C356" i="1"/>
  <c r="B356" i="1"/>
  <c r="E355" i="1"/>
  <c r="D349" i="1"/>
  <c r="C348" i="1"/>
  <c r="E348" i="1" s="1"/>
  <c r="E347" i="1"/>
  <c r="C347" i="1"/>
  <c r="D344" i="1"/>
  <c r="B344" i="1"/>
  <c r="C343" i="1"/>
  <c r="E343" i="1" s="1"/>
  <c r="E342" i="1"/>
  <c r="C342" i="1"/>
  <c r="B342" i="1"/>
  <c r="E341" i="1"/>
  <c r="C341" i="1"/>
  <c r="E340" i="1"/>
  <c r="E339" i="1"/>
  <c r="D338" i="1"/>
  <c r="E336" i="1"/>
  <c r="E335" i="1"/>
  <c r="D334" i="1"/>
  <c r="C334" i="1"/>
  <c r="B334" i="1"/>
  <c r="C333" i="1"/>
  <c r="B333" i="1"/>
  <c r="E332" i="1"/>
  <c r="E331" i="1"/>
  <c r="D330" i="1"/>
  <c r="C329" i="1"/>
  <c r="B329" i="1"/>
  <c r="E328" i="1"/>
  <c r="D328" i="1"/>
  <c r="D329" i="1" s="1"/>
  <c r="E329" i="1" s="1"/>
  <c r="E327" i="1"/>
  <c r="B326" i="1"/>
  <c r="E325" i="1"/>
  <c r="C325" i="1"/>
  <c r="C326" i="1" s="1"/>
  <c r="B325" i="1"/>
  <c r="D324" i="1"/>
  <c r="E323" i="1"/>
  <c r="B321" i="1"/>
  <c r="D320" i="1"/>
  <c r="E320" i="1" s="1"/>
  <c r="E319" i="1"/>
  <c r="E318" i="1"/>
  <c r="C317" i="1"/>
  <c r="D315" i="1"/>
  <c r="E314" i="1"/>
  <c r="E311" i="1"/>
  <c r="E310" i="1"/>
  <c r="C309" i="1"/>
  <c r="E309" i="1" s="1"/>
  <c r="E308" i="1"/>
  <c r="E307" i="1"/>
  <c r="E306" i="1"/>
  <c r="B306" i="1"/>
  <c r="B315" i="1" s="1"/>
  <c r="E305" i="1"/>
  <c r="C305" i="1"/>
  <c r="D296" i="1"/>
  <c r="E295" i="1"/>
  <c r="D293" i="1"/>
  <c r="E293" i="1" s="1"/>
  <c r="C293" i="1"/>
  <c r="D292" i="1"/>
  <c r="E292" i="1" s="1"/>
  <c r="E291" i="1"/>
  <c r="C291" i="1"/>
  <c r="B291" i="1"/>
  <c r="B293" i="1" s="1"/>
  <c r="E289" i="1"/>
  <c r="D289" i="1"/>
  <c r="D290" i="1" s="1"/>
  <c r="C289" i="1"/>
  <c r="B289" i="1"/>
  <c r="B290" i="1" s="1"/>
  <c r="E288" i="1"/>
  <c r="C288" i="1"/>
  <c r="B288" i="1"/>
  <c r="E287" i="1"/>
  <c r="C287" i="1"/>
  <c r="B287" i="1"/>
  <c r="C286" i="1"/>
  <c r="B286" i="1"/>
  <c r="E285" i="1"/>
  <c r="D284" i="1"/>
  <c r="D268" i="1"/>
  <c r="C268" i="1"/>
  <c r="E268" i="1" s="1"/>
  <c r="B268" i="1"/>
  <c r="D258" i="1"/>
  <c r="D256" i="1"/>
  <c r="D252" i="1"/>
  <c r="D250" i="1"/>
  <c r="D243" i="1"/>
  <c r="D241" i="1"/>
  <c r="D240" i="1"/>
  <c r="D238" i="1"/>
  <c r="D231" i="1"/>
  <c r="C231" i="1"/>
  <c r="E231" i="1" s="1"/>
  <c r="E230" i="1"/>
  <c r="C230" i="1"/>
  <c r="D229" i="1"/>
  <c r="C229" i="1"/>
  <c r="E226" i="1"/>
  <c r="C226" i="1"/>
  <c r="D214" i="1"/>
  <c r="E213" i="1"/>
  <c r="E212" i="1"/>
  <c r="E211" i="1"/>
  <c r="C211" i="1"/>
  <c r="B211" i="1"/>
  <c r="E210" i="1"/>
  <c r="E209" i="1"/>
  <c r="C209" i="1"/>
  <c r="D207" i="1"/>
  <c r="D206" i="1"/>
  <c r="C206" i="1"/>
  <c r="D205" i="1"/>
  <c r="C205" i="1"/>
  <c r="E205" i="1" s="1"/>
  <c r="B205" i="1"/>
  <c r="E204" i="1"/>
  <c r="D202" i="1"/>
  <c r="E202" i="1" s="1"/>
  <c r="C202" i="1"/>
  <c r="B202" i="1"/>
  <c r="E201" i="1"/>
  <c r="E200" i="1"/>
  <c r="E199" i="1"/>
  <c r="C199" i="1"/>
  <c r="D196" i="1"/>
  <c r="C196" i="1"/>
  <c r="B196" i="1"/>
  <c r="C195" i="1"/>
  <c r="E195" i="1" s="1"/>
  <c r="E194" i="1"/>
  <c r="E193" i="1"/>
  <c r="E192" i="1"/>
  <c r="E191" i="1"/>
  <c r="D183" i="1"/>
  <c r="E181" i="1"/>
  <c r="E180" i="1"/>
  <c r="D179" i="1"/>
  <c r="C179" i="1"/>
  <c r="E179" i="1" s="1"/>
  <c r="B179" i="1"/>
  <c r="E178" i="1"/>
  <c r="E177" i="1"/>
  <c r="E176" i="1"/>
  <c r="E175" i="1"/>
  <c r="C175" i="1"/>
  <c r="D174" i="1"/>
  <c r="C174" i="1"/>
  <c r="D173" i="1"/>
  <c r="C173" i="1"/>
  <c r="B173" i="1"/>
  <c r="C172" i="1"/>
  <c r="E172" i="1" s="1"/>
  <c r="B172" i="1"/>
  <c r="E171" i="1"/>
  <c r="C171" i="1"/>
  <c r="B171" i="1"/>
  <c r="B174" i="1" s="1"/>
  <c r="D170" i="1"/>
  <c r="C170" i="1"/>
  <c r="B170" i="1"/>
  <c r="E169" i="1"/>
  <c r="D168" i="1"/>
  <c r="E167" i="1"/>
  <c r="C167" i="1"/>
  <c r="B167" i="1"/>
  <c r="E166" i="1"/>
  <c r="E165" i="1"/>
  <c r="C164" i="1"/>
  <c r="B164" i="1"/>
  <c r="B168" i="1" s="1"/>
  <c r="D163" i="1"/>
  <c r="C163" i="1"/>
  <c r="B163" i="1"/>
  <c r="E162" i="1"/>
  <c r="D160" i="1"/>
  <c r="C160" i="1"/>
  <c r="B160" i="1"/>
  <c r="E159" i="1"/>
  <c r="E158" i="1"/>
  <c r="E157" i="1"/>
  <c r="E156" i="1"/>
  <c r="D154" i="1"/>
  <c r="C154" i="1"/>
  <c r="B154" i="1"/>
  <c r="E153" i="1"/>
  <c r="E152" i="1"/>
  <c r="E151" i="1"/>
  <c r="E150" i="1"/>
  <c r="E148" i="1"/>
  <c r="E147" i="1"/>
  <c r="B142" i="1"/>
  <c r="D141" i="1"/>
  <c r="E140" i="1"/>
  <c r="D139" i="1"/>
  <c r="C139" i="1"/>
  <c r="C141" i="1" s="1"/>
  <c r="C142" i="1" s="1"/>
  <c r="B139" i="1"/>
  <c r="B141" i="1" s="1"/>
  <c r="C138" i="1"/>
  <c r="B138" i="1"/>
  <c r="E137" i="1"/>
  <c r="D137" i="1"/>
  <c r="D138" i="1" s="1"/>
  <c r="E138" i="1" s="1"/>
  <c r="E136" i="1"/>
  <c r="E135" i="1"/>
  <c r="E134" i="1"/>
  <c r="C134" i="1"/>
  <c r="B134" i="1"/>
  <c r="D132" i="1"/>
  <c r="E132" i="1" s="1"/>
  <c r="C132" i="1"/>
  <c r="B132" i="1"/>
  <c r="E131" i="1"/>
  <c r="E129" i="1"/>
  <c r="D129" i="1"/>
  <c r="C129" i="1"/>
  <c r="B129" i="1"/>
  <c r="B144" i="1" s="1"/>
  <c r="E128" i="1"/>
  <c r="D121" i="1"/>
  <c r="D119" i="1"/>
  <c r="B118" i="1"/>
  <c r="B119" i="1" s="1"/>
  <c r="B121" i="1" s="1"/>
  <c r="B123" i="1" s="1"/>
  <c r="E117" i="1"/>
  <c r="B117" i="1"/>
  <c r="C116" i="1"/>
  <c r="C117" i="1" s="1"/>
  <c r="B116" i="1"/>
  <c r="D109" i="1"/>
  <c r="C109" i="1"/>
  <c r="E108" i="1"/>
  <c r="C108" i="1"/>
  <c r="D107" i="1"/>
  <c r="D106" i="1"/>
  <c r="C106" i="1"/>
  <c r="C107" i="1" s="1"/>
  <c r="E105" i="1"/>
  <c r="C105" i="1"/>
  <c r="D104" i="1"/>
  <c r="E103" i="1"/>
  <c r="E102" i="1"/>
  <c r="C101" i="1"/>
  <c r="E101" i="1" s="1"/>
  <c r="C100" i="1"/>
  <c r="E100" i="1" s="1"/>
  <c r="D98" i="1"/>
  <c r="E98" i="1" s="1"/>
  <c r="B98" i="1"/>
  <c r="B112" i="1" s="1"/>
  <c r="E97" i="1"/>
  <c r="E96" i="1"/>
  <c r="C96" i="1"/>
  <c r="C98" i="1" s="1"/>
  <c r="C112" i="1" s="1"/>
  <c r="D94" i="1"/>
  <c r="B94" i="1"/>
  <c r="E92" i="1"/>
  <c r="C92" i="1"/>
  <c r="C94" i="1" s="1"/>
  <c r="E94" i="1" s="1"/>
  <c r="B88" i="1"/>
  <c r="D84" i="1"/>
  <c r="D80" i="1"/>
  <c r="D82" i="1" s="1"/>
  <c r="D86" i="1" s="1"/>
  <c r="D78" i="1"/>
  <c r="D75" i="1"/>
  <c r="B75" i="1"/>
  <c r="E74" i="1"/>
  <c r="C73" i="1"/>
  <c r="E73" i="1" s="1"/>
  <c r="E71" i="1"/>
  <c r="D71" i="1"/>
  <c r="C71" i="1"/>
  <c r="B71" i="1"/>
  <c r="E69" i="1"/>
  <c r="C69" i="1"/>
  <c r="D61" i="1"/>
  <c r="C60" i="1"/>
  <c r="B60" i="1"/>
  <c r="B61" i="1" s="1"/>
  <c r="D59" i="1"/>
  <c r="C59" i="1"/>
  <c r="B59" i="1"/>
  <c r="E58" i="1"/>
  <c r="E57" i="1"/>
  <c r="D56" i="1"/>
  <c r="B56" i="1"/>
  <c r="E55" i="1"/>
  <c r="E54" i="1"/>
  <c r="D54" i="1"/>
  <c r="E53" i="1"/>
  <c r="C53" i="1"/>
  <c r="C56" i="1" s="1"/>
  <c r="B48" i="1"/>
  <c r="D46" i="1"/>
  <c r="B46" i="1"/>
  <c r="B45" i="1"/>
  <c r="E44" i="1"/>
  <c r="D43" i="1"/>
  <c r="B43" i="1"/>
  <c r="E42" i="1"/>
  <c r="C41" i="1"/>
  <c r="E41" i="1" s="1"/>
  <c r="B41" i="1"/>
  <c r="E40" i="1"/>
  <c r="D39" i="1"/>
  <c r="B39" i="1"/>
  <c r="E38" i="1"/>
  <c r="E37" i="1"/>
  <c r="D37" i="1"/>
  <c r="C36" i="1"/>
  <c r="B35" i="1"/>
  <c r="D34" i="1"/>
  <c r="D35" i="1" s="1"/>
  <c r="C34" i="1"/>
  <c r="D33" i="1"/>
  <c r="B33" i="1"/>
  <c r="E32" i="1"/>
  <c r="C32" i="1"/>
  <c r="C33" i="1" s="1"/>
  <c r="E31" i="1"/>
  <c r="E30" i="1"/>
  <c r="E29" i="1"/>
  <c r="D27" i="1"/>
  <c r="C27" i="1"/>
  <c r="E27" i="1" s="1"/>
  <c r="B27" i="1"/>
  <c r="E26" i="1"/>
  <c r="C26" i="1"/>
  <c r="D24" i="1"/>
  <c r="B24" i="1"/>
  <c r="C23" i="1"/>
  <c r="C24" i="1" s="1"/>
  <c r="E22" i="1"/>
  <c r="C17" i="1"/>
  <c r="D15" i="1"/>
  <c r="E15" i="1" s="1"/>
  <c r="C15" i="1"/>
  <c r="B15" i="1"/>
  <c r="B17" i="1" s="1"/>
  <c r="C14" i="1"/>
  <c r="E14" i="1" s="1"/>
  <c r="B14" i="1"/>
  <c r="E13" i="1"/>
  <c r="C13" i="1"/>
  <c r="B13" i="1"/>
  <c r="B18" i="1" l="1"/>
  <c r="B266" i="1"/>
  <c r="B49" i="1"/>
  <c r="D63" i="1"/>
  <c r="E56" i="1"/>
  <c r="C63" i="1"/>
  <c r="C65" i="1" s="1"/>
  <c r="D286" i="1"/>
  <c r="E284" i="1"/>
  <c r="C728" i="1"/>
  <c r="C436" i="1"/>
  <c r="D436" i="1"/>
  <c r="E436" i="1" s="1"/>
  <c r="E424" i="1"/>
  <c r="E859" i="1"/>
  <c r="D17" i="1"/>
  <c r="D265" i="1"/>
  <c r="D49" i="1"/>
  <c r="E24" i="1"/>
  <c r="B265" i="1"/>
  <c r="E107" i="1"/>
  <c r="E164" i="1"/>
  <c r="C168" i="1"/>
  <c r="E168" i="1" s="1"/>
  <c r="C182" i="1"/>
  <c r="D326" i="1"/>
  <c r="E324" i="1"/>
  <c r="C344" i="1"/>
  <c r="C346" i="1"/>
  <c r="C404" i="1"/>
  <c r="C406" i="1" s="1"/>
  <c r="E510" i="1"/>
  <c r="C511" i="1"/>
  <c r="C513" i="1" s="1"/>
  <c r="E662" i="1"/>
  <c r="D823" i="1"/>
  <c r="E818" i="1"/>
  <c r="D862" i="1"/>
  <c r="E845" i="1"/>
  <c r="B862" i="1"/>
  <c r="B864" i="1" s="1"/>
  <c r="C265" i="1"/>
  <c r="E33" i="1"/>
  <c r="C39" i="1"/>
  <c r="E39" i="1" s="1"/>
  <c r="E36" i="1"/>
  <c r="D123" i="1"/>
  <c r="E163" i="1"/>
  <c r="E229" i="1"/>
  <c r="D232" i="1"/>
  <c r="B409" i="1"/>
  <c r="D652" i="1"/>
  <c r="C650" i="1"/>
  <c r="C636" i="1"/>
  <c r="E634" i="1"/>
  <c r="D794" i="1"/>
  <c r="B866" i="1"/>
  <c r="C18" i="1"/>
  <c r="E23" i="1"/>
  <c r="C61" i="1"/>
  <c r="E61" i="1" s="1"/>
  <c r="E60" i="1"/>
  <c r="C104" i="1"/>
  <c r="C110" i="1" s="1"/>
  <c r="E207" i="1"/>
  <c r="D216" i="1"/>
  <c r="D218" i="1" s="1"/>
  <c r="E317" i="1"/>
  <c r="C321" i="1"/>
  <c r="C410" i="1" s="1"/>
  <c r="D333" i="1"/>
  <c r="E333" i="1" s="1"/>
  <c r="E330" i="1"/>
  <c r="D393" i="1"/>
  <c r="E391" i="1"/>
  <c r="B674" i="1"/>
  <c r="B675" i="1"/>
  <c r="C45" i="1"/>
  <c r="C35" i="1"/>
  <c r="E35" i="1" s="1"/>
  <c r="C75" i="1"/>
  <c r="E75" i="1" s="1"/>
  <c r="E109" i="1"/>
  <c r="D142" i="1"/>
  <c r="E142" i="1" s="1"/>
  <c r="E160" i="1"/>
  <c r="D184" i="1"/>
  <c r="E174" i="1"/>
  <c r="E196" i="1"/>
  <c r="C208" i="1"/>
  <c r="C232" i="1"/>
  <c r="C234" i="1" s="1"/>
  <c r="D729" i="1"/>
  <c r="C462" i="1"/>
  <c r="E462" i="1" s="1"/>
  <c r="E458" i="1"/>
  <c r="C488" i="1"/>
  <c r="E488" i="1" s="1"/>
  <c r="E486" i="1"/>
  <c r="D499" i="1"/>
  <c r="D728" i="1" s="1"/>
  <c r="E494" i="1"/>
  <c r="B557" i="1"/>
  <c r="B558" i="1" s="1"/>
  <c r="B559" i="1" s="1"/>
  <c r="B561" i="1" s="1"/>
  <c r="B716" i="1"/>
  <c r="E776" i="1"/>
  <c r="C779" i="1"/>
  <c r="E779" i="1"/>
  <c r="C792" i="1"/>
  <c r="E806" i="1"/>
  <c r="D266" i="1"/>
  <c r="C43" i="1"/>
  <c r="E43" i="1" s="1"/>
  <c r="E59" i="1"/>
  <c r="E106" i="1"/>
  <c r="E116" i="1"/>
  <c r="C118" i="1"/>
  <c r="C144" i="1"/>
  <c r="D185" i="1"/>
  <c r="E154" i="1"/>
  <c r="E170" i="1"/>
  <c r="E173" i="1"/>
  <c r="B208" i="1"/>
  <c r="B214" i="1" s="1"/>
  <c r="B207" i="1"/>
  <c r="E206" i="1"/>
  <c r="B294" i="1"/>
  <c r="B296" i="1" s="1"/>
  <c r="C315" i="1"/>
  <c r="D409" i="1"/>
  <c r="D321" i="1"/>
  <c r="B346" i="1"/>
  <c r="B349" i="1" s="1"/>
  <c r="B338" i="1"/>
  <c r="B350" i="1" s="1"/>
  <c r="B352" i="1" s="1"/>
  <c r="D404" i="1"/>
  <c r="C403" i="1"/>
  <c r="E403" i="1" s="1"/>
  <c r="E402" i="1"/>
  <c r="E430" i="1"/>
  <c r="E452" i="1"/>
  <c r="B487" i="1"/>
  <c r="B488" i="1" s="1"/>
  <c r="B489" i="1" s="1"/>
  <c r="D561" i="1"/>
  <c r="E540" i="1"/>
  <c r="D541" i="1"/>
  <c r="E541" i="1" s="1"/>
  <c r="C553" i="1"/>
  <c r="C557" i="1"/>
  <c r="B604" i="1"/>
  <c r="E600" i="1"/>
  <c r="C601" i="1"/>
  <c r="E601" i="1" s="1"/>
  <c r="B652" i="1"/>
  <c r="B654" i="1" s="1"/>
  <c r="D716" i="1"/>
  <c r="E697" i="1"/>
  <c r="C715" i="1"/>
  <c r="E745" i="1"/>
  <c r="C747" i="1"/>
  <c r="E747" i="1" s="1"/>
  <c r="B795" i="1"/>
  <c r="E774" i="1"/>
  <c r="C867" i="1"/>
  <c r="B794" i="1"/>
  <c r="C821" i="1"/>
  <c r="C818" i="1"/>
  <c r="D48" i="1"/>
  <c r="E34" i="1"/>
  <c r="B63" i="1"/>
  <c r="B65" i="1" s="1"/>
  <c r="D88" i="1"/>
  <c r="D110" i="1"/>
  <c r="E110" i="1" s="1"/>
  <c r="E139" i="1"/>
  <c r="E141" i="1"/>
  <c r="B182" i="1"/>
  <c r="B183" i="1" s="1"/>
  <c r="B184" i="1" s="1"/>
  <c r="B185" i="1" s="1"/>
  <c r="C207" i="1"/>
  <c r="D259" i="1"/>
  <c r="D261" i="1" s="1"/>
  <c r="B298" i="1"/>
  <c r="C294" i="1"/>
  <c r="C290" i="1"/>
  <c r="E290" i="1" s="1"/>
  <c r="C338" i="1"/>
  <c r="E338" i="1" s="1"/>
  <c r="E334" i="1"/>
  <c r="E344" i="1"/>
  <c r="D361" i="1"/>
  <c r="E361" i="1" s="1"/>
  <c r="C385" i="1"/>
  <c r="E385" i="1" s="1"/>
  <c r="D489" i="1"/>
  <c r="E715" i="1"/>
  <c r="D761" i="1"/>
  <c r="B729" i="1"/>
  <c r="E553" i="1"/>
  <c r="D604" i="1"/>
  <c r="E571" i="1"/>
  <c r="C588" i="1"/>
  <c r="C602" i="1" s="1"/>
  <c r="C604" i="1" s="1"/>
  <c r="E612" i="1"/>
  <c r="D614" i="1"/>
  <c r="E614" i="1" s="1"/>
  <c r="E636" i="1"/>
  <c r="E644" i="1"/>
  <c r="E673" i="1"/>
  <c r="D674" i="1"/>
  <c r="C693" i="1"/>
  <c r="E689" i="1"/>
  <c r="E705" i="1"/>
  <c r="D726" i="1"/>
  <c r="C753" i="1"/>
  <c r="E753" i="1" s="1"/>
  <c r="E768" i="1"/>
  <c r="D867" i="1"/>
  <c r="E817" i="1"/>
  <c r="B728" i="1"/>
  <c r="D559" i="1"/>
  <c r="D654" i="1"/>
  <c r="E632" i="1"/>
  <c r="B650" i="1"/>
  <c r="B651" i="1" s="1"/>
  <c r="C757" i="1"/>
  <c r="E757" i="1" s="1"/>
  <c r="C758" i="1"/>
  <c r="D866" i="1"/>
  <c r="B821" i="1"/>
  <c r="B822" i="1" s="1"/>
  <c r="B823" i="1" s="1"/>
  <c r="C860" i="1"/>
  <c r="D864" i="1"/>
  <c r="E728" i="1" l="1"/>
  <c r="B730" i="1"/>
  <c r="B731" i="1" s="1"/>
  <c r="B490" i="1"/>
  <c r="B825" i="1"/>
  <c r="B868" i="1"/>
  <c r="B299" i="1"/>
  <c r="B411" i="1"/>
  <c r="C651" i="1"/>
  <c r="E650" i="1"/>
  <c r="E326" i="1"/>
  <c r="D350" i="1"/>
  <c r="E350" i="1" s="1"/>
  <c r="E286" i="1"/>
  <c r="D298" i="1"/>
  <c r="E867" i="1"/>
  <c r="C716" i="1"/>
  <c r="E693" i="1"/>
  <c r="E602" i="1"/>
  <c r="E588" i="1"/>
  <c r="C352" i="1"/>
  <c r="E315" i="1"/>
  <c r="C409" i="1"/>
  <c r="C794" i="1"/>
  <c r="C795" i="1" s="1"/>
  <c r="D795" i="1"/>
  <c r="E823" i="1"/>
  <c r="C349" i="1"/>
  <c r="E349" i="1" s="1"/>
  <c r="E346" i="1"/>
  <c r="E674" i="1"/>
  <c r="D675" i="1"/>
  <c r="E675" i="1" s="1"/>
  <c r="E511" i="1"/>
  <c r="D868" i="1"/>
  <c r="D869" i="1" s="1"/>
  <c r="C822" i="1"/>
  <c r="E822" i="1" s="1"/>
  <c r="E821" i="1"/>
  <c r="D825" i="1"/>
  <c r="D406" i="1"/>
  <c r="E406" i="1" s="1"/>
  <c r="E393" i="1"/>
  <c r="D144" i="1"/>
  <c r="E144" i="1" s="1"/>
  <c r="E232" i="1"/>
  <c r="D234" i="1"/>
  <c r="E234" i="1" s="1"/>
  <c r="D267" i="1"/>
  <c r="E17" i="1"/>
  <c r="D18" i="1"/>
  <c r="E18" i="1" s="1"/>
  <c r="E104" i="1"/>
  <c r="E63" i="1"/>
  <c r="D65" i="1"/>
  <c r="E65" i="1" s="1"/>
  <c r="C759" i="1"/>
  <c r="E758" i="1"/>
  <c r="C214" i="1"/>
  <c r="E208" i="1"/>
  <c r="B869" i="1"/>
  <c r="C350" i="1"/>
  <c r="C823" i="1"/>
  <c r="C825" i="1" s="1"/>
  <c r="E557" i="1"/>
  <c r="C558" i="1"/>
  <c r="E558" i="1" s="1"/>
  <c r="B216" i="1"/>
  <c r="B218" i="1" s="1"/>
  <c r="E266" i="1"/>
  <c r="C88" i="1"/>
  <c r="E88" i="1" s="1"/>
  <c r="C266" i="1"/>
  <c r="C183" i="1"/>
  <c r="E182" i="1"/>
  <c r="E265" i="1"/>
  <c r="E860" i="1"/>
  <c r="C861" i="1"/>
  <c r="E866" i="1"/>
  <c r="E604" i="1"/>
  <c r="C489" i="1"/>
  <c r="E489" i="1"/>
  <c r="D730" i="1"/>
  <c r="C296" i="1"/>
  <c r="E296" i="1" s="1"/>
  <c r="E294" i="1"/>
  <c r="E716" i="1"/>
  <c r="E404" i="1"/>
  <c r="D410" i="1"/>
  <c r="E410" i="1" s="1"/>
  <c r="E321" i="1"/>
  <c r="D352" i="1"/>
  <c r="E352" i="1" s="1"/>
  <c r="E118" i="1"/>
  <c r="C119" i="1"/>
  <c r="C793" i="1"/>
  <c r="E793" i="1" s="1"/>
  <c r="E792" i="1"/>
  <c r="D513" i="1"/>
  <c r="E513" i="1" s="1"/>
  <c r="E499" i="1"/>
  <c r="E45" i="1"/>
  <c r="C46" i="1"/>
  <c r="E46" i="1" s="1"/>
  <c r="C298" i="1"/>
  <c r="B412" i="1"/>
  <c r="C48" i="1"/>
  <c r="C729" i="1"/>
  <c r="E729" i="1" s="1"/>
  <c r="D112" i="1"/>
  <c r="E112" i="1" s="1"/>
  <c r="B267" i="1"/>
  <c r="B269" i="1" s="1"/>
  <c r="C267" i="1" l="1"/>
  <c r="C269" i="1" s="1"/>
  <c r="C49" i="1"/>
  <c r="E49" i="1" s="1"/>
  <c r="C216" i="1"/>
  <c r="E214" i="1"/>
  <c r="E183" i="1"/>
  <c r="C184" i="1"/>
  <c r="E794" i="1"/>
  <c r="D731" i="1"/>
  <c r="C299" i="1"/>
  <c r="C411" i="1"/>
  <c r="C412" i="1" s="1"/>
  <c r="D269" i="1"/>
  <c r="C761" i="1"/>
  <c r="E761" i="1" s="1"/>
  <c r="E759" i="1"/>
  <c r="E795" i="1"/>
  <c r="C862" i="1"/>
  <c r="E861" i="1"/>
  <c r="E48" i="1"/>
  <c r="E825" i="1"/>
  <c r="E651" i="1"/>
  <c r="C652" i="1"/>
  <c r="C121" i="1"/>
  <c r="E119" i="1"/>
  <c r="C730" i="1"/>
  <c r="E730" i="1" s="1"/>
  <c r="C490" i="1"/>
  <c r="E490" i="1" s="1"/>
  <c r="D411" i="1"/>
  <c r="E411" i="1" s="1"/>
  <c r="E298" i="1"/>
  <c r="D299" i="1"/>
  <c r="E299" i="1" s="1"/>
  <c r="E409" i="1"/>
  <c r="C559" i="1"/>
  <c r="C864" i="1" l="1"/>
  <c r="E864" i="1" s="1"/>
  <c r="E862" i="1"/>
  <c r="E269" i="1"/>
  <c r="D412" i="1"/>
  <c r="E412" i="1" s="1"/>
  <c r="E267" i="1"/>
  <c r="C218" i="1"/>
  <c r="E218" i="1" s="1"/>
  <c r="E216" i="1"/>
  <c r="E731" i="1"/>
  <c r="C731" i="1"/>
  <c r="C561" i="1"/>
  <c r="E561" i="1" s="1"/>
  <c r="E559" i="1"/>
  <c r="C123" i="1"/>
  <c r="E123" i="1" s="1"/>
  <c r="E121" i="1"/>
  <c r="C654" i="1"/>
  <c r="E654" i="1" s="1"/>
  <c r="E652" i="1"/>
  <c r="C868" i="1"/>
  <c r="C185" i="1"/>
  <c r="E185" i="1" s="1"/>
  <c r="E184" i="1"/>
  <c r="C869" i="1" l="1"/>
  <c r="E869" i="1" s="1"/>
  <c r="E868" i="1"/>
</calcChain>
</file>

<file path=xl/sharedStrings.xml><?xml version="1.0" encoding="utf-8"?>
<sst xmlns="http://schemas.openxmlformats.org/spreadsheetml/2006/main" count="689" uniqueCount="173">
  <si>
    <t>2018. évi működési kiadások (adatok Ft-ban)</t>
  </si>
  <si>
    <t>NAGYSZÉNÁS NAGYKÖZSÉG ÖNKORMÁNYZATA</t>
  </si>
  <si>
    <t>Kötelező önkormányzati feladatok</t>
  </si>
  <si>
    <t xml:space="preserve">Ft-ban </t>
  </si>
  <si>
    <t>Eredeti</t>
  </si>
  <si>
    <t>Módosított</t>
  </si>
  <si>
    <t>Teljesítés</t>
  </si>
  <si>
    <t>Telj %-a</t>
  </si>
  <si>
    <t>064010 Közvilágítás</t>
  </si>
  <si>
    <t>Villamosenergia díjak</t>
  </si>
  <si>
    <t>Működési célú előzetesen felszámított áfa</t>
  </si>
  <si>
    <t>Közüzemi díjak összesen</t>
  </si>
  <si>
    <t>DOLOGI  KIADÁSOK ÖSSZESEN:</t>
  </si>
  <si>
    <t>KORMÁNYFUNKCIÓ ÖSSZESEN:</t>
  </si>
  <si>
    <t>072111 Házi orvosi alapellátás</t>
  </si>
  <si>
    <t>Törvény szerinti illetmények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</si>
  <si>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</si>
  <si>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</si>
  <si>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</si>
  <si>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</si>
  <si>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</si>
  <si>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</si>
  <si>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</si>
  <si>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Egyéb üzemeltetési anyag 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</si>
  <si>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</si>
  <si>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</si>
  <si>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</si>
  <si>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</si>
  <si>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</si>
  <si>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</si>
  <si>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</si>
  <si>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</si>
  <si>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Szolgáltatási kiadások összesen</t>
  </si>
  <si>
    <t>Egyéb dologi kiadások (felelősségbiztosítás díja)</t>
  </si>
  <si>
    <t>Különféle befizetések és egyéb dologi kiadások összesen</t>
  </si>
  <si>
    <t>072311 Fogorvosi alapellátás</t>
  </si>
  <si>
    <t>041233  Hosszabb időtartamú közfoglalkoztatás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</si>
  <si>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</si>
  <si>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Foglalkoztatottak egyéb személyi juttatásai</t>
  </si>
  <si>
    <t>Táppénz hozzájárulás</t>
  </si>
  <si>
    <t xml:space="preserve">Üzemeltetési anyagok beszerzése összesen </t>
  </si>
  <si>
    <t xml:space="preserve">Egyéb szolgáltatások </t>
  </si>
  <si>
    <t>041237  Startmunka program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</si>
  <si>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</si>
  <si>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Egészségügyi hozzájárulás</t>
  </si>
  <si>
    <t>Védőital beszerzés</t>
  </si>
  <si>
    <t>Munkaruha beszerzés</t>
  </si>
  <si>
    <t>Hajtó és kenőanyag beszerzés</t>
  </si>
  <si>
    <t>104037 Intézményen kívüli gyermekétkeztetés</t>
  </si>
  <si>
    <t>Vásárolt élelmezés</t>
  </si>
  <si>
    <t>Önként vállalt önkormányzati feladatok</t>
  </si>
  <si>
    <t xml:space="preserve">066020 Város-, és községgazdálkodási egyéb szolgáltatások </t>
  </si>
  <si>
    <t>Megbízási díj</t>
  </si>
  <si>
    <t>Egyéb üzemeltetési anyag (vetőmag, műtrágya, vegyszerek, egyéb)</t>
  </si>
  <si>
    <t xml:space="preserve">Önkormányzati földterületek művelési költsége </t>
  </si>
  <si>
    <t xml:space="preserve">Egyéb üzemeltetési és fenntartási szolgáltatások </t>
  </si>
  <si>
    <t>Egyéb dologi kiadások (cégautóadó, különféle díjak)</t>
  </si>
  <si>
    <t>081061 Szabadidős park, fürdő és strandszolgáltatás (termálhő szolgáltatása)</t>
  </si>
  <si>
    <t>Törvény szerinti illetmények (14 fő + 2 fő szezonális alk.)</t>
  </si>
  <si>
    <t>Készenléti és túlóra díj, helyettesítés</t>
  </si>
  <si>
    <t>Bérenkívüli juttatások</t>
  </si>
  <si>
    <t>Egyéb költségek (szemüveg, napi díj, számla ktg. térítés)</t>
  </si>
  <si>
    <t>Egyéb személyi juttatás (betegszabadság)</t>
  </si>
  <si>
    <t>Bérlet, saját gépjármű használat</t>
  </si>
  <si>
    <t>Táppénzhozzájárulás</t>
  </si>
  <si>
    <t>Kifizetői adó és járulék</t>
  </si>
  <si>
    <t>Hajtó és kenőanayagok</t>
  </si>
  <si>
    <t>Egyéb üzemeltetési szolgáltatások (szállítás, szemétszállítás, számlavezetés)</t>
  </si>
  <si>
    <t>Bérleti díjak</t>
  </si>
  <si>
    <t>Belföldi kiküldetések kiadásai</t>
  </si>
  <si>
    <t>Reklám és propaganda célú kiadások</t>
  </si>
  <si>
    <t>Államigazgatási feladatok</t>
  </si>
  <si>
    <t>011130 Önkormányzatok és  önkormányzati hivatalok jogalkotó és általános igazgatási tevékenysége</t>
  </si>
  <si>
    <t>Választott tisztségviselők juttatásai (1 fő polgármester, képviselők és bizottsági tagok)</t>
  </si>
  <si>
    <t>Cafetéria juttatás</t>
  </si>
  <si>
    <t>Nyári diákmunkások bére</t>
  </si>
  <si>
    <t xml:space="preserve">Egyéb szakmai szolgáltatások </t>
  </si>
  <si>
    <t>Egyéb üzemeltetési fenntartási szolgáltatások</t>
  </si>
  <si>
    <t>Fizetendő áfa értékesítés után</t>
  </si>
  <si>
    <t>Kamat és kezelési költség kiadások fejlesztési hitelre</t>
  </si>
  <si>
    <t>Egyéb dologi kiadások (különféle díjak)</t>
  </si>
  <si>
    <t>Kiküldetési költségek</t>
  </si>
  <si>
    <t>Víziközmű Társulat kötelezettségeinek kifizetése</t>
  </si>
  <si>
    <t>104042 Család és gyermekjóléti szolgáltatások</t>
  </si>
  <si>
    <t>Egyéb szolgáltatások</t>
  </si>
  <si>
    <t>092120  Köznevelési intézmény 5-8. évfolyamán tenulók nevelésével oktatásval összefüggő működtetési feladatok</t>
  </si>
  <si>
    <t>Egyéb szolgáltatások (iskola energetikai korszerűsítése)</t>
  </si>
  <si>
    <t>092120 Család és gyermekjóléti szolgáltatások</t>
  </si>
  <si>
    <t>107060 Egyéb szociális pénzbeli és természetbeni ellátások, támogatások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</si>
  <si>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</si>
  <si>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</si>
  <si>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</si>
  <si>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POLGÁRMESTERI HIVATAL</t>
  </si>
  <si>
    <t>066020 Város- és községgazdálkodási egyéb szolgáltatások</t>
  </si>
  <si>
    <t>Hajtó- és kenőanyagok</t>
  </si>
  <si>
    <t>Egyéb szolgáltatások (szállítás, szemétszállítás, stb.)</t>
  </si>
  <si>
    <t>Törvény szerinti illetmények (21 fő)</t>
  </si>
  <si>
    <t>Jubileumi jutalom</t>
  </si>
  <si>
    <t>Reprezentáció</t>
  </si>
  <si>
    <t>Céljuttatás</t>
  </si>
  <si>
    <t>Helyettesítési díj</t>
  </si>
  <si>
    <t>Könyvbeszerzés</t>
  </si>
  <si>
    <t>Folyóirat beszerzés</t>
  </si>
  <si>
    <t>Adatátvételi célú távközlési díj</t>
  </si>
  <si>
    <t>Telefon díjak</t>
  </si>
  <si>
    <t>Távfűtés díja</t>
  </si>
  <si>
    <t>Gázdíj</t>
  </si>
  <si>
    <t>Bérleti és lízingdíjak</t>
  </si>
  <si>
    <t>Közvetített szolgáltatások (telefon)</t>
  </si>
  <si>
    <t>Egyéb szolgáltatások (postai díjak, megbízási díjak)</t>
  </si>
  <si>
    <t>013360 Iskola működtetés</t>
  </si>
  <si>
    <t>Megbízási díjak (2 fő nyári napközis tanár)</t>
  </si>
  <si>
    <t xml:space="preserve">104031 Gyermekek bölcsődei ellátása </t>
  </si>
  <si>
    <t xml:space="preserve">Törvény szerinti illetmények </t>
  </si>
  <si>
    <t xml:space="preserve">041233  Hosszabb időtartamú közfoglalkoztatás 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</si>
  <si>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</si>
  <si>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>016020 Országgyűlési, önkormányzati és európai palamenti képviselőválasztáshoz kapcsolódó tevékenységek</t>
  </si>
  <si>
    <t>Tiszteletdíjak, megbízási díjak</t>
  </si>
  <si>
    <t>Reprezentációs kiadás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</si>
  <si>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Alkalmazott, 1 fő közcélú fogl.)</t>
    </r>
  </si>
  <si>
    <t>GONDOZÁSI KÖZPONT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</si>
  <si>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</si>
  <si>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Egyéb személyi juttatások</t>
  </si>
  <si>
    <t>Megváltozott munkaképességűek foglalkoztatása és GINOP pályázat</t>
  </si>
  <si>
    <t>Törvény szerinti illetmények  (7 fő időszakosan)</t>
  </si>
  <si>
    <t>074031 Család és nővédelmi egészségügyi gondozás</t>
  </si>
  <si>
    <t>Törvény szerinti illetmények (2 fő)</t>
  </si>
  <si>
    <t>Egyéb költségek ( számla ktg. térítés)</t>
  </si>
  <si>
    <t>Munkaruha, védőruha</t>
  </si>
  <si>
    <t>Egyéb dologi kiadások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</si>
  <si>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</si>
  <si>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</si>
  <si>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</si>
  <si>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</si>
  <si>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Közlekedési költségtérítés</t>
  </si>
  <si>
    <t>102031 Idősek nappali ellátása</t>
  </si>
  <si>
    <t>Törvény szerinti illetmények( 6 fő )</t>
  </si>
  <si>
    <t>Egyéb költségek (számla ktg. térítés)</t>
  </si>
  <si>
    <t>Szociális gondozói díj</t>
  </si>
  <si>
    <t>Törvény szerinti illetmények (8 fő)</t>
  </si>
  <si>
    <t>Készenléti, ügyeleti helyettesítési díj</t>
  </si>
  <si>
    <t>Egyéb szolgáltatások (szállítás, szemétszállítás)</t>
  </si>
  <si>
    <t>104035 Gyermekétkezetés bölcsődében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</si>
  <si>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</si>
  <si>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</si>
  <si>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</si>
  <si>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</si>
  <si>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107051 Szociális étkeztetés</t>
  </si>
  <si>
    <t>Törvény szerinti illetmények (1 fő + 1 fő részmunkaidős)</t>
  </si>
  <si>
    <t>Üzemeltetési anyagok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</si>
  <si>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</si>
  <si>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(12 fő)</t>
    </r>
  </si>
  <si>
    <t>Készenléti, ügyeleti, helyettesítési díj</t>
  </si>
  <si>
    <t>072111 Háziorvosi alapellátás</t>
  </si>
  <si>
    <t xml:space="preserve">Törvény szerinti illetmények  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</si>
  <si>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</si>
  <si>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</si>
  <si>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 időszakosan)</t>
  </si>
  <si>
    <t>096015 Gyermekétkeztetés köznevelési intézményekben</t>
  </si>
  <si>
    <t>091140  Óvodai nevelés, ellátás működtetési feladatai</t>
  </si>
  <si>
    <r>
      <t xml:space="preserve">Törvény szerinti illetmények </t>
    </r>
    <r>
      <rPr>
        <sz val="8"/>
        <rFont val="Arial CE"/>
        <charset val="238"/>
      </rPr>
      <t>(6 fő)</t>
    </r>
  </si>
  <si>
    <t>091110  Óvodai nevelés, ellátás szakmai feladatai</t>
  </si>
  <si>
    <r>
      <t xml:space="preserve">Törvény szerinti illetmények </t>
    </r>
    <r>
      <rPr>
        <sz val="10"/>
        <rFont val="Arial"/>
        <family val="2"/>
        <charset val="238"/>
      </rPr>
      <t>(13 fő)</t>
    </r>
  </si>
  <si>
    <t>Béren kívüli juttatások</t>
  </si>
  <si>
    <t>Kifizetői adó</t>
  </si>
  <si>
    <t>082042 Könyvtári állomány gyarapítása, nyilvántartása</t>
  </si>
  <si>
    <t>Törvény szerinti illetmények (1fő + 1 fő részmunkaidős))</t>
  </si>
  <si>
    <t>Egyéb személyi juttatás (betegszabadság, közlekedési ktg. térítés)</t>
  </si>
  <si>
    <t>Nem saját foglalkoztatottnak fizetett juttatások</t>
  </si>
  <si>
    <t>Könyvbeszerzés (könyvtári)</t>
  </si>
  <si>
    <t>Szakmai tevékenységet segítő szolgáltatások (Nagyszénás újság, kábel TV))</t>
  </si>
  <si>
    <t xml:space="preserve">NAGYSZÉNÁSI ÖNKORMÁNYZATI ÓVODA ÖSSZESEN: (20 fő közalk. + 1 fő részmunkaidős közalk. + 4 fő közcélú foglalkoztatott időszakosan) </t>
  </si>
  <si>
    <t>5.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</si>
</sst>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#,##0_ ;\-#,##0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sz val="8"/>
      <name val="Arial"/>
      <family val="2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3" fillId="0" borderId="0"/>
    <xf numFmtId="0" fontId="20" fillId="0" borderId="0"/>
  </cellStyleXfs>
  <cellXfs count="11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0" borderId="0" xfId="0" applyFont="1" applyFill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/>
    <xf numFmtId="2" fontId="7" fillId="0" borderId="0" xfId="0" applyNumberFormat="1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0" fontId="11" fillId="0" borderId="0" xfId="0" applyFont="1" applyBorder="1" applyAlignment="1"/>
    <xf numFmtId="0" fontId="8" fillId="0" borderId="0" xfId="0" applyFont="1" applyFill="1" applyBorder="1" applyAlignment="1"/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/>
    <xf numFmtId="0" fontId="8" fillId="2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8" fillId="0" borderId="0" xfId="0" applyFont="1" applyBorder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2" fontId="10" fillId="0" borderId="0" xfId="0" applyNumberFormat="1" applyFont="1" applyBorder="1"/>
    <xf numFmtId="0" fontId="8" fillId="0" borderId="0" xfId="0" applyFont="1" applyBorder="1" applyAlignment="1"/>
    <xf numFmtId="0" fontId="12" fillId="0" borderId="0" xfId="0" applyFont="1" applyBorder="1" applyAlignment="1"/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3" fontId="7" fillId="0" borderId="0" xfId="0" applyNumberFormat="1" applyFont="1"/>
    <xf numFmtId="0" fontId="14" fillId="0" borderId="0" xfId="2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wrapText="1"/>
    </xf>
    <xf numFmtId="4" fontId="7" fillId="0" borderId="0" xfId="0" applyNumberFormat="1" applyFont="1" applyBorder="1"/>
    <xf numFmtId="4" fontId="10" fillId="0" borderId="0" xfId="0" applyNumberFormat="1" applyFont="1" applyBorder="1"/>
    <xf numFmtId="0" fontId="10" fillId="0" borderId="0" xfId="0" applyFont="1" applyBorder="1"/>
    <xf numFmtId="0" fontId="6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49" fontId="8" fillId="3" borderId="2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3" fontId="0" fillId="0" borderId="0" xfId="0" applyNumberFormat="1" applyBorder="1"/>
    <xf numFmtId="0" fontId="15" fillId="0" borderId="0" xfId="0" applyFont="1" applyFill="1" applyBorder="1" applyAlignment="1">
      <alignment horizontal="center"/>
    </xf>
    <xf numFmtId="165" fontId="7" fillId="0" borderId="0" xfId="1" applyNumberFormat="1" applyFont="1" applyBorder="1"/>
    <xf numFmtId="165" fontId="10" fillId="0" borderId="0" xfId="1" applyNumberFormat="1" applyFont="1" applyBorder="1"/>
    <xf numFmtId="3" fontId="8" fillId="4" borderId="2" xfId="0" applyNumberFormat="1" applyFont="1" applyFill="1" applyBorder="1" applyAlignment="1">
      <alignment horizontal="center" wrapText="1"/>
    </xf>
    <xf numFmtId="3" fontId="8" fillId="4" borderId="3" xfId="0" applyNumberFormat="1" applyFont="1" applyFill="1" applyBorder="1" applyAlignment="1">
      <alignment horizontal="center" wrapText="1"/>
    </xf>
    <xf numFmtId="3" fontId="8" fillId="4" borderId="5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wrapText="1"/>
    </xf>
    <xf numFmtId="3" fontId="18" fillId="0" borderId="0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7" fillId="0" borderId="0" xfId="0" applyFont="1" applyBorder="1"/>
    <xf numFmtId="3" fontId="7" fillId="0" borderId="0" xfId="1" applyNumberFormat="1" applyFont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9" fillId="0" borderId="0" xfId="1" applyNumberFormat="1" applyFont="1" applyAlignment="1">
      <alignment horizontal="right"/>
    </xf>
    <xf numFmtId="3" fontId="19" fillId="0" borderId="0" xfId="1" applyNumberFormat="1" applyFont="1" applyBorder="1" applyAlignment="1">
      <alignment horizontal="right"/>
    </xf>
    <xf numFmtId="3" fontId="10" fillId="0" borderId="0" xfId="0" applyNumberFormat="1" applyFont="1"/>
    <xf numFmtId="0" fontId="3" fillId="0" borderId="0" xfId="0" applyFont="1" applyBorder="1"/>
    <xf numFmtId="0" fontId="8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7" fillId="0" borderId="0" xfId="3" applyFont="1" applyBorder="1"/>
    <xf numFmtId="0" fontId="4" fillId="0" borderId="0" xfId="3" applyFont="1" applyBorder="1" applyAlignment="1">
      <alignment horizontal="center"/>
    </xf>
    <xf numFmtId="3" fontId="7" fillId="0" borderId="0" xfId="3" applyNumberFormat="1" applyFont="1" applyFill="1" applyBorder="1" applyAlignment="1">
      <alignment horizontal="right"/>
    </xf>
    <xf numFmtId="0" fontId="10" fillId="5" borderId="2" xfId="3" applyFont="1" applyFill="1" applyBorder="1" applyAlignment="1">
      <alignment horizontal="center"/>
    </xf>
    <xf numFmtId="0" fontId="10" fillId="5" borderId="3" xfId="3" applyFont="1" applyFill="1" applyBorder="1" applyAlignment="1">
      <alignment horizontal="center"/>
    </xf>
    <xf numFmtId="0" fontId="10" fillId="5" borderId="5" xfId="3" applyFont="1" applyFill="1" applyBorder="1" applyAlignment="1">
      <alignment horizontal="center"/>
    </xf>
    <xf numFmtId="3" fontId="7" fillId="0" borderId="0" xfId="3" applyNumberFormat="1" applyFont="1" applyFill="1" applyBorder="1"/>
    <xf numFmtId="3" fontId="10" fillId="0" borderId="0" xfId="3" applyNumberFormat="1" applyFont="1" applyFill="1" applyBorder="1"/>
    <xf numFmtId="3" fontId="10" fillId="0" borderId="0" xfId="3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" fillId="0" borderId="0" xfId="0" applyFont="1"/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Indul&#243;%20k&#246;lts&#233;gvet&#233;s/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>
        <row r="74">
          <cell r="C74">
            <v>1200000</v>
          </cell>
        </row>
        <row r="80">
          <cell r="C80">
            <v>100000</v>
          </cell>
        </row>
      </sheetData>
      <sheetData sheetId="4">
        <row r="7">
          <cell r="B7">
            <v>87450424</v>
          </cell>
          <cell r="C7">
            <v>89978949</v>
          </cell>
          <cell r="D7">
            <v>84072637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7"/>
  <sheetViews>
    <sheetView tabSelected="1" workbookViewId="0">
      <selection activeCell="A2" sqref="A2"/>
    </sheetView>
  </sheetViews>
  <sheetFormatPr defaultRowHeight="12.75" x14ac:dyDescent="0.2"/>
  <cols>
    <col min="1" max="1" width="50" customWidth="1"/>
    <col min="2" max="2" width="10.5703125" customWidth="1"/>
    <col min="3" max="3" width="10" customWidth="1"/>
    <col min="4" max="4" width="12.42578125" customWidth="1"/>
    <col min="6" max="6" width="11.140625" bestFit="1" customWidth="1"/>
    <col min="7" max="7" width="11.7109375" bestFit="1" customWidth="1"/>
  </cols>
  <sheetData>
    <row r="1" spans="1:7" x14ac:dyDescent="0.2">
      <c r="A1" s="1" t="s">
        <v>172</v>
      </c>
      <c r="B1" s="1"/>
      <c r="C1" s="1"/>
      <c r="D1" s="1"/>
      <c r="E1" s="1"/>
      <c r="F1" s="2"/>
      <c r="G1" s="2"/>
    </row>
    <row r="2" spans="1:7" x14ac:dyDescent="0.2">
      <c r="A2" s="3"/>
      <c r="B2" s="3"/>
      <c r="C2" s="3"/>
      <c r="D2" s="3"/>
      <c r="E2" s="3"/>
      <c r="F2" s="2"/>
      <c r="G2" s="2"/>
    </row>
    <row r="3" spans="1:7" x14ac:dyDescent="0.2">
      <c r="A3" s="4" t="s">
        <v>0</v>
      </c>
      <c r="B3" s="4"/>
      <c r="C3" s="4"/>
      <c r="D3" s="4"/>
      <c r="E3" s="4"/>
      <c r="F3" s="2"/>
      <c r="G3" s="2"/>
    </row>
    <row r="4" spans="1:7" x14ac:dyDescent="0.2">
      <c r="A4" s="3"/>
      <c r="B4" s="3"/>
      <c r="C4" s="3"/>
      <c r="D4" s="3"/>
      <c r="E4" s="3"/>
      <c r="F4" s="2"/>
      <c r="G4" s="2"/>
    </row>
    <row r="5" spans="1:7" x14ac:dyDescent="0.2">
      <c r="A5" s="4" t="s">
        <v>1</v>
      </c>
      <c r="B5" s="4"/>
      <c r="C5" s="4"/>
      <c r="D5" s="4"/>
      <c r="E5" s="4"/>
      <c r="F5" s="2"/>
      <c r="G5" s="2"/>
    </row>
    <row r="6" spans="1:7" x14ac:dyDescent="0.2">
      <c r="A6" s="5"/>
      <c r="B6" s="5"/>
      <c r="C6" s="3"/>
      <c r="D6" s="3"/>
      <c r="E6" s="3"/>
      <c r="F6" s="2"/>
      <c r="G6" s="2"/>
    </row>
    <row r="7" spans="1:7" x14ac:dyDescent="0.2">
      <c r="A7" s="6" t="s">
        <v>2</v>
      </c>
      <c r="B7" s="6"/>
      <c r="C7" s="6"/>
      <c r="D7" s="6"/>
      <c r="E7" s="6"/>
      <c r="F7" s="2"/>
      <c r="G7" s="2"/>
    </row>
    <row r="8" spans="1:7" x14ac:dyDescent="0.2">
      <c r="A8" s="7"/>
      <c r="B8" s="7"/>
      <c r="C8" s="3"/>
      <c r="D8" s="3"/>
      <c r="E8" s="3"/>
      <c r="F8" s="2"/>
      <c r="G8" s="2"/>
    </row>
    <row r="9" spans="1:7" x14ac:dyDescent="0.2">
      <c r="A9" s="7"/>
      <c r="B9" s="8"/>
      <c r="C9" s="8"/>
      <c r="D9" s="9"/>
      <c r="E9" s="9" t="s">
        <v>3</v>
      </c>
      <c r="F9" s="2"/>
      <c r="G9" s="2"/>
    </row>
    <row r="10" spans="1:7" x14ac:dyDescent="0.2">
      <c r="A10" s="7"/>
      <c r="B10" s="10" t="s">
        <v>4</v>
      </c>
      <c r="C10" s="11" t="s">
        <v>5</v>
      </c>
      <c r="D10" s="12" t="s">
        <v>6</v>
      </c>
      <c r="E10" s="13" t="s">
        <v>7</v>
      </c>
      <c r="F10" s="2"/>
      <c r="G10" s="2"/>
    </row>
    <row r="11" spans="1:7" x14ac:dyDescent="0.2">
      <c r="A11" s="14" t="s">
        <v>8</v>
      </c>
      <c r="B11" s="15"/>
      <c r="C11" s="16"/>
      <c r="D11" s="16"/>
      <c r="E11" s="17"/>
      <c r="F11" s="2"/>
      <c r="G11" s="2"/>
    </row>
    <row r="12" spans="1:7" x14ac:dyDescent="0.2">
      <c r="A12" s="18"/>
      <c r="B12" s="18"/>
      <c r="C12" s="19"/>
      <c r="D12" s="3"/>
      <c r="E12" s="3"/>
      <c r="F12" s="2"/>
      <c r="G12" s="2"/>
    </row>
    <row r="13" spans="1:7" x14ac:dyDescent="0.2">
      <c r="A13" s="20" t="s">
        <v>9</v>
      </c>
      <c r="B13" s="19">
        <f>8250000-650000</f>
        <v>7600000</v>
      </c>
      <c r="C13" s="19">
        <f>8250000-650000</f>
        <v>7600000</v>
      </c>
      <c r="D13" s="21">
        <v>7206260</v>
      </c>
      <c r="E13" s="22">
        <f>D13/C13*100</f>
        <v>94.819210526315786</v>
      </c>
      <c r="F13" s="2"/>
      <c r="G13" s="2"/>
    </row>
    <row r="14" spans="1:7" x14ac:dyDescent="0.2">
      <c r="A14" s="20" t="s">
        <v>10</v>
      </c>
      <c r="B14" s="19">
        <f>B13*0.27</f>
        <v>2052000.0000000002</v>
      </c>
      <c r="C14" s="19">
        <f>C13*0.27</f>
        <v>2052000.0000000002</v>
      </c>
      <c r="D14" s="21">
        <v>1905576</v>
      </c>
      <c r="E14" s="22">
        <f>D14/C14*100</f>
        <v>92.864327485380102</v>
      </c>
      <c r="F14" s="2"/>
      <c r="G14" s="2"/>
    </row>
    <row r="15" spans="1:7" x14ac:dyDescent="0.2">
      <c r="A15" s="23" t="s">
        <v>11</v>
      </c>
      <c r="B15" s="24">
        <f>SUM(B13:B14)</f>
        <v>9652000</v>
      </c>
      <c r="C15" s="24">
        <f>SUM(C13:C14)</f>
        <v>9652000</v>
      </c>
      <c r="D15" s="25">
        <f>D13+D14</f>
        <v>9111836</v>
      </c>
      <c r="E15" s="22">
        <f>D15/C15*100</f>
        <v>94.403605470368831</v>
      </c>
      <c r="F15" s="2"/>
      <c r="G15" s="2"/>
    </row>
    <row r="16" spans="1:7" x14ac:dyDescent="0.2">
      <c r="A16" s="26"/>
      <c r="B16" s="24"/>
      <c r="C16" s="24"/>
      <c r="D16" s="25"/>
      <c r="E16" s="22"/>
      <c r="F16" s="2"/>
      <c r="G16" s="2"/>
    </row>
    <row r="17" spans="1:7" x14ac:dyDescent="0.2">
      <c r="A17" s="27" t="s">
        <v>12</v>
      </c>
      <c r="B17" s="24">
        <f>B15</f>
        <v>9652000</v>
      </c>
      <c r="C17" s="24">
        <f>C15</f>
        <v>9652000</v>
      </c>
      <c r="D17" s="25">
        <f>D15</f>
        <v>9111836</v>
      </c>
      <c r="E17" s="22">
        <f>D17/C17*100</f>
        <v>94.403605470368831</v>
      </c>
      <c r="F17" s="2"/>
      <c r="G17" s="2"/>
    </row>
    <row r="18" spans="1:7" x14ac:dyDescent="0.2">
      <c r="A18" s="28" t="s">
        <v>13</v>
      </c>
      <c r="B18" s="24">
        <f>+B17</f>
        <v>9652000</v>
      </c>
      <c r="C18" s="24">
        <f>+C17</f>
        <v>9652000</v>
      </c>
      <c r="D18" s="29">
        <f>D17</f>
        <v>9111836</v>
      </c>
      <c r="E18" s="22">
        <f>D18/C18*100</f>
        <v>94.403605470368831</v>
      </c>
      <c r="F18" s="2"/>
      <c r="G18" s="2"/>
    </row>
    <row r="19" spans="1:7" x14ac:dyDescent="0.2">
      <c r="A19" s="28"/>
      <c r="B19" s="28"/>
      <c r="C19" s="24"/>
      <c r="D19" s="3"/>
      <c r="E19" s="3"/>
      <c r="F19" s="2"/>
      <c r="G19" s="2"/>
    </row>
    <row r="20" spans="1:7" x14ac:dyDescent="0.2">
      <c r="A20" s="14" t="s">
        <v>14</v>
      </c>
      <c r="B20" s="15"/>
      <c r="C20" s="15"/>
      <c r="D20" s="15"/>
      <c r="E20" s="30"/>
      <c r="F20" s="2"/>
      <c r="G20" s="2"/>
    </row>
    <row r="21" spans="1:7" x14ac:dyDescent="0.2">
      <c r="A21" s="31"/>
      <c r="B21" s="31"/>
      <c r="C21" s="24"/>
      <c r="D21" s="3"/>
      <c r="E21" s="3"/>
      <c r="F21" s="2"/>
      <c r="G21" s="2"/>
    </row>
    <row r="22" spans="1:7" x14ac:dyDescent="0.2">
      <c r="A22" s="20" t="s">
        <v>15</v>
      </c>
      <c r="B22" s="32">
        <v>823900</v>
      </c>
      <c r="C22" s="33">
        <v>138000</v>
      </c>
      <c r="D22" s="21">
        <v>0</v>
      </c>
      <c r="E22" s="22">
        <f>D22/C22*100</f>
        <v>0</v>
      </c>
      <c r="F22" s="2"/>
      <c r="G22" s="2"/>
    </row>
    <row r="23" spans="1:7" x14ac:dyDescent="0.2">
      <c r="A23" s="34" t="s">
        <v>16</v>
      </c>
      <c r="B23" s="32"/>
      <c r="C23" s="33">
        <f>823900+310000+2*190000+1400000-1400000</f>
        <v>1513900</v>
      </c>
      <c r="D23" s="21">
        <v>1493900</v>
      </c>
      <c r="E23" s="22">
        <f t="shared" ref="E23:E49" si="0">D23/C23*100</f>
        <v>98.678908778651163</v>
      </c>
      <c r="F23" s="2"/>
      <c r="G23" s="2"/>
    </row>
    <row r="24" spans="1:7" x14ac:dyDescent="0.2">
      <c r="A24" s="35" t="s">
        <v>17</v>
      </c>
      <c r="B24" s="36">
        <f>SUM(B22)</f>
        <v>823900</v>
      </c>
      <c r="C24" s="37">
        <f>SUM(C22:C23)</f>
        <v>1651900</v>
      </c>
      <c r="D24" s="25">
        <f>SUM(D22:D23)</f>
        <v>1493900</v>
      </c>
      <c r="E24" s="38">
        <f t="shared" si="0"/>
        <v>90.435256371451061</v>
      </c>
      <c r="F24" s="2"/>
      <c r="G24" s="2"/>
    </row>
    <row r="25" spans="1:7" x14ac:dyDescent="0.2">
      <c r="A25" s="35"/>
      <c r="B25" s="36"/>
      <c r="C25" s="37"/>
      <c r="D25" s="21"/>
      <c r="E25" s="22"/>
      <c r="F25" s="20"/>
      <c r="G25" s="2"/>
    </row>
    <row r="26" spans="1:7" x14ac:dyDescent="0.2">
      <c r="A26" s="20" t="s">
        <v>18</v>
      </c>
      <c r="B26" s="32">
        <v>146122</v>
      </c>
      <c r="C26" s="33">
        <f>146122+60450+66690+245700+26910-245700</f>
        <v>300172</v>
      </c>
      <c r="D26" s="21">
        <v>263705</v>
      </c>
      <c r="E26" s="22">
        <f t="shared" si="0"/>
        <v>87.851298588809072</v>
      </c>
      <c r="F26" s="2"/>
      <c r="G26" s="2"/>
    </row>
    <row r="27" spans="1:7" x14ac:dyDescent="0.2">
      <c r="A27" s="35" t="s">
        <v>19</v>
      </c>
      <c r="B27" s="36">
        <f>SUM(B26)</f>
        <v>146122</v>
      </c>
      <c r="C27" s="37">
        <f>SUM(C26)</f>
        <v>300172</v>
      </c>
      <c r="D27" s="25">
        <f>SUM(D26)</f>
        <v>263705</v>
      </c>
      <c r="E27" s="38">
        <f t="shared" si="0"/>
        <v>87.851298588809072</v>
      </c>
      <c r="F27" s="2"/>
      <c r="G27" s="2"/>
    </row>
    <row r="28" spans="1:7" x14ac:dyDescent="0.2">
      <c r="A28" s="18"/>
      <c r="B28" s="32"/>
      <c r="C28" s="33"/>
      <c r="D28" s="21"/>
      <c r="E28" s="22"/>
      <c r="F28" s="2"/>
      <c r="G28" s="2"/>
    </row>
    <row r="29" spans="1:7" x14ac:dyDescent="0.2">
      <c r="A29" s="34" t="s">
        <v>20</v>
      </c>
      <c r="B29" s="32">
        <v>20000</v>
      </c>
      <c r="C29" s="33">
        <v>20000</v>
      </c>
      <c r="D29" s="21">
        <v>0</v>
      </c>
      <c r="E29" s="22">
        <f t="shared" si="0"/>
        <v>0</v>
      </c>
      <c r="F29" s="2"/>
      <c r="G29" s="2"/>
    </row>
    <row r="30" spans="1:7" x14ac:dyDescent="0.2">
      <c r="A30" s="20" t="s">
        <v>21</v>
      </c>
      <c r="B30" s="32">
        <v>20000</v>
      </c>
      <c r="C30" s="33">
        <v>20000</v>
      </c>
      <c r="D30" s="21">
        <v>67110</v>
      </c>
      <c r="E30" s="22">
        <f t="shared" si="0"/>
        <v>335.55</v>
      </c>
      <c r="F30" s="2"/>
      <c r="G30" s="2"/>
    </row>
    <row r="31" spans="1:7" x14ac:dyDescent="0.2">
      <c r="A31" s="20" t="s">
        <v>22</v>
      </c>
      <c r="B31" s="32">
        <v>10000</v>
      </c>
      <c r="C31" s="33">
        <v>10000</v>
      </c>
      <c r="D31" s="21">
        <v>0</v>
      </c>
      <c r="E31" s="22">
        <f t="shared" si="0"/>
        <v>0</v>
      </c>
      <c r="F31" s="2"/>
      <c r="G31" s="2"/>
    </row>
    <row r="32" spans="1:7" x14ac:dyDescent="0.2">
      <c r="A32" s="20" t="s">
        <v>23</v>
      </c>
      <c r="B32" s="32">
        <v>80000</v>
      </c>
      <c r="C32" s="33">
        <f>80000+110000</f>
        <v>190000</v>
      </c>
      <c r="D32" s="21">
        <v>214533</v>
      </c>
      <c r="E32" s="22">
        <f t="shared" si="0"/>
        <v>112.9121052631579</v>
      </c>
      <c r="F32" s="2"/>
      <c r="G32" s="2"/>
    </row>
    <row r="33" spans="1:7" x14ac:dyDescent="0.2">
      <c r="A33" s="39" t="s">
        <v>24</v>
      </c>
      <c r="B33" s="36">
        <f>SUM(B29:B32)</f>
        <v>130000</v>
      </c>
      <c r="C33" s="37">
        <f>SUM(C29:C32)</f>
        <v>240000</v>
      </c>
      <c r="D33" s="25">
        <f>SUM(D29:D32)</f>
        <v>281643</v>
      </c>
      <c r="E33" s="38">
        <f t="shared" si="0"/>
        <v>117.35124999999999</v>
      </c>
      <c r="F33" s="2"/>
      <c r="G33" s="2"/>
    </row>
    <row r="34" spans="1:7" x14ac:dyDescent="0.2">
      <c r="A34" s="40" t="s">
        <v>25</v>
      </c>
      <c r="B34" s="32">
        <v>50000</v>
      </c>
      <c r="C34" s="33">
        <f>50000+66000</f>
        <v>116000</v>
      </c>
      <c r="D34" s="21">
        <f>6299+183386</f>
        <v>189685</v>
      </c>
      <c r="E34" s="22">
        <f t="shared" si="0"/>
        <v>163.52155172413794</v>
      </c>
      <c r="F34" s="2"/>
      <c r="G34" s="2"/>
    </row>
    <row r="35" spans="1:7" x14ac:dyDescent="0.2">
      <c r="A35" s="23" t="s">
        <v>26</v>
      </c>
      <c r="B35" s="36">
        <f>SUM(B34:B34)</f>
        <v>50000</v>
      </c>
      <c r="C35" s="37">
        <f>SUM(C34:C34)</f>
        <v>116000</v>
      </c>
      <c r="D35" s="25">
        <f>SUM(D34)</f>
        <v>189685</v>
      </c>
      <c r="E35" s="22">
        <f t="shared" si="0"/>
        <v>163.52155172413794</v>
      </c>
      <c r="F35" s="2"/>
      <c r="G35" s="2"/>
    </row>
    <row r="36" spans="1:7" x14ac:dyDescent="0.2">
      <c r="A36" s="20" t="s">
        <v>27</v>
      </c>
      <c r="B36" s="32">
        <v>300000</v>
      </c>
      <c r="C36" s="33">
        <f>300000+337500</f>
        <v>637500</v>
      </c>
      <c r="D36" s="21">
        <v>409812</v>
      </c>
      <c r="E36" s="22">
        <f t="shared" si="0"/>
        <v>64.284235294117636</v>
      </c>
      <c r="F36" s="2"/>
      <c r="G36" s="2"/>
    </row>
    <row r="37" spans="1:7" x14ac:dyDescent="0.2">
      <c r="A37" s="20" t="s">
        <v>9</v>
      </c>
      <c r="B37" s="32">
        <v>260000</v>
      </c>
      <c r="C37" s="33">
        <v>260000</v>
      </c>
      <c r="D37" s="21">
        <f>656077-D36-D38</f>
        <v>195436</v>
      </c>
      <c r="E37" s="22">
        <f t="shared" si="0"/>
        <v>75.167692307692306</v>
      </c>
      <c r="F37" s="2"/>
      <c r="G37" s="2"/>
    </row>
    <row r="38" spans="1:7" x14ac:dyDescent="0.2">
      <c r="A38" s="20" t="s">
        <v>28</v>
      </c>
      <c r="B38" s="32">
        <v>150000</v>
      </c>
      <c r="C38" s="33">
        <v>150000</v>
      </c>
      <c r="D38" s="21">
        <v>50829</v>
      </c>
      <c r="E38" s="22">
        <f t="shared" si="0"/>
        <v>33.886000000000003</v>
      </c>
      <c r="F38" s="2"/>
      <c r="G38" s="2"/>
    </row>
    <row r="39" spans="1:7" x14ac:dyDescent="0.2">
      <c r="A39" s="23" t="s">
        <v>11</v>
      </c>
      <c r="B39" s="36">
        <f>SUM(B36:B38)</f>
        <v>710000</v>
      </c>
      <c r="C39" s="37">
        <f>SUM(C36:C38)</f>
        <v>1047500</v>
      </c>
      <c r="D39" s="25">
        <f>SUM(D36:D38)</f>
        <v>656077</v>
      </c>
      <c r="E39" s="38">
        <f t="shared" si="0"/>
        <v>62.632649164677801</v>
      </c>
      <c r="F39" s="2"/>
      <c r="G39" s="2"/>
    </row>
    <row r="40" spans="1:7" x14ac:dyDescent="0.2">
      <c r="A40" s="20" t="s">
        <v>29</v>
      </c>
      <c r="B40" s="32">
        <v>50000</v>
      </c>
      <c r="C40" s="33">
        <v>50000</v>
      </c>
      <c r="D40" s="21">
        <v>0</v>
      </c>
      <c r="E40" s="22">
        <f t="shared" si="0"/>
        <v>0</v>
      </c>
      <c r="F40" s="2"/>
      <c r="G40" s="2"/>
    </row>
    <row r="41" spans="1:7" x14ac:dyDescent="0.2">
      <c r="A41" s="20" t="s">
        <v>30</v>
      </c>
      <c r="B41" s="32">
        <f>5525000+266400</f>
        <v>5791400</v>
      </c>
      <c r="C41" s="33">
        <f>5525000+266400+4010000+1505000</f>
        <v>11306400</v>
      </c>
      <c r="D41" s="21">
        <v>11048700</v>
      </c>
      <c r="E41" s="22">
        <f t="shared" si="0"/>
        <v>97.720759923583103</v>
      </c>
      <c r="F41" s="2"/>
      <c r="G41" s="2"/>
    </row>
    <row r="42" spans="1:7" x14ac:dyDescent="0.2">
      <c r="A42" s="20" t="s">
        <v>31</v>
      </c>
      <c r="B42" s="32">
        <v>20000</v>
      </c>
      <c r="C42" s="33">
        <v>20000</v>
      </c>
      <c r="D42" s="21">
        <v>4960</v>
      </c>
      <c r="E42" s="22">
        <f t="shared" si="0"/>
        <v>24.8</v>
      </c>
      <c r="F42" s="2"/>
      <c r="G42" s="2"/>
    </row>
    <row r="43" spans="1:7" x14ac:dyDescent="0.2">
      <c r="A43" s="23" t="s">
        <v>32</v>
      </c>
      <c r="B43" s="37">
        <f>SUM(B40:B42)</f>
        <v>5861400</v>
      </c>
      <c r="C43" s="37">
        <f>SUM(C40:C42)</f>
        <v>11376400</v>
      </c>
      <c r="D43" s="25">
        <f>SUM(D40:D42)</f>
        <v>11053660</v>
      </c>
      <c r="E43" s="38">
        <f t="shared" si="0"/>
        <v>97.163074434794837</v>
      </c>
      <c r="F43" s="2"/>
      <c r="G43" s="2"/>
    </row>
    <row r="44" spans="1:7" x14ac:dyDescent="0.2">
      <c r="A44" s="20" t="s">
        <v>33</v>
      </c>
      <c r="B44" s="33">
        <v>70000</v>
      </c>
      <c r="C44" s="33">
        <v>70000</v>
      </c>
      <c r="D44" s="21">
        <v>133736</v>
      </c>
      <c r="E44" s="22">
        <f t="shared" si="0"/>
        <v>191.05142857142857</v>
      </c>
      <c r="F44" s="2"/>
      <c r="G44" s="2"/>
    </row>
    <row r="45" spans="1:7" x14ac:dyDescent="0.2">
      <c r="A45" s="20" t="s">
        <v>10</v>
      </c>
      <c r="B45" s="33">
        <f>(B29+B30+B34+B36+B37+B40+B42+B38+B31+B32)*0.27</f>
        <v>259200.00000000003</v>
      </c>
      <c r="C45" s="33">
        <f>(C29+C30+C34+C36+C37+C40+C42+C38+C31+C32)*0.27+80</f>
        <v>397925</v>
      </c>
      <c r="D45" s="21">
        <v>288506</v>
      </c>
      <c r="E45" s="22">
        <f t="shared" si="0"/>
        <v>72.502607275240308</v>
      </c>
      <c r="F45" s="2"/>
      <c r="G45" s="2"/>
    </row>
    <row r="46" spans="1:7" x14ac:dyDescent="0.2">
      <c r="A46" s="39" t="s">
        <v>34</v>
      </c>
      <c r="B46" s="37">
        <f>SUM(B44:B45)</f>
        <v>329200</v>
      </c>
      <c r="C46" s="37">
        <f>SUM(C44:C45)</f>
        <v>467925</v>
      </c>
      <c r="D46" s="25">
        <f>SUM(D44:D45)</f>
        <v>422242</v>
      </c>
      <c r="E46" s="38">
        <f t="shared" si="0"/>
        <v>90.237110648073951</v>
      </c>
      <c r="F46" s="2"/>
      <c r="G46" s="2"/>
    </row>
    <row r="47" spans="1:7" x14ac:dyDescent="0.2">
      <c r="A47" s="39"/>
      <c r="B47" s="33"/>
      <c r="C47" s="33"/>
      <c r="D47" s="21"/>
      <c r="E47" s="22"/>
      <c r="F47" s="2"/>
      <c r="G47" s="2"/>
    </row>
    <row r="48" spans="1:7" x14ac:dyDescent="0.2">
      <c r="A48" s="27" t="s">
        <v>12</v>
      </c>
      <c r="B48" s="37">
        <f>B33+B35+B39+B43+B46</f>
        <v>7080600</v>
      </c>
      <c r="C48" s="37">
        <f>C33+C35+C39+C43+C46</f>
        <v>13247825</v>
      </c>
      <c r="D48" s="25">
        <f>D33+D35+D39+D43+D46</f>
        <v>12603307</v>
      </c>
      <c r="E48" s="38">
        <f t="shared" si="0"/>
        <v>95.134914599188932</v>
      </c>
      <c r="F48" s="2"/>
      <c r="G48" s="2"/>
    </row>
    <row r="49" spans="1:7" x14ac:dyDescent="0.2">
      <c r="A49" s="28" t="s">
        <v>13</v>
      </c>
      <c r="B49" s="37">
        <f>B24+B27+B48</f>
        <v>8050622</v>
      </c>
      <c r="C49" s="37">
        <f>C24+C27+C48</f>
        <v>15199897</v>
      </c>
      <c r="D49" s="25">
        <f>D24+D27+D48</f>
        <v>14360912</v>
      </c>
      <c r="E49" s="38">
        <f t="shared" si="0"/>
        <v>94.480324439040615</v>
      </c>
      <c r="F49" s="2"/>
      <c r="G49" s="2"/>
    </row>
    <row r="50" spans="1:7" x14ac:dyDescent="0.2">
      <c r="A50" s="27"/>
      <c r="B50" s="27"/>
      <c r="C50" s="24"/>
      <c r="D50" s="3"/>
      <c r="E50" s="3"/>
      <c r="F50" s="2"/>
      <c r="G50" s="2"/>
    </row>
    <row r="51" spans="1:7" x14ac:dyDescent="0.2">
      <c r="A51" s="41" t="s">
        <v>35</v>
      </c>
      <c r="B51" s="42"/>
      <c r="C51" s="42"/>
      <c r="D51" s="42"/>
      <c r="E51" s="43"/>
      <c r="F51" s="2"/>
      <c r="G51" s="2"/>
    </row>
    <row r="52" spans="1:7" x14ac:dyDescent="0.2">
      <c r="A52" s="28"/>
      <c r="B52" s="28"/>
      <c r="C52" s="24"/>
      <c r="D52" s="3"/>
      <c r="E52" s="3"/>
      <c r="F52" s="2"/>
      <c r="G52" s="2"/>
    </row>
    <row r="53" spans="1:7" x14ac:dyDescent="0.2">
      <c r="A53" s="20" t="s">
        <v>27</v>
      </c>
      <c r="B53" s="32">
        <v>100000</v>
      </c>
      <c r="C53" s="33">
        <f>100000+112500</f>
        <v>212500</v>
      </c>
      <c r="D53" s="21">
        <v>152572</v>
      </c>
      <c r="E53" s="22">
        <f t="shared" ref="E53:E65" si="1">D53/C53*100</f>
        <v>71.798588235294119</v>
      </c>
      <c r="F53" s="2"/>
      <c r="G53" s="2"/>
    </row>
    <row r="54" spans="1:7" x14ac:dyDescent="0.2">
      <c r="A54" s="20" t="s">
        <v>9</v>
      </c>
      <c r="B54" s="32">
        <v>65000</v>
      </c>
      <c r="C54" s="33">
        <v>65000</v>
      </c>
      <c r="D54" s="21">
        <f>226845-D53-D55</f>
        <v>50641</v>
      </c>
      <c r="E54" s="22">
        <f t="shared" si="1"/>
        <v>77.90923076923076</v>
      </c>
      <c r="F54" s="2"/>
      <c r="G54" s="2"/>
    </row>
    <row r="55" spans="1:7" x14ac:dyDescent="0.2">
      <c r="A55" s="20" t="s">
        <v>28</v>
      </c>
      <c r="B55" s="32">
        <v>25000</v>
      </c>
      <c r="C55" s="33">
        <v>25000</v>
      </c>
      <c r="D55" s="21">
        <v>23632</v>
      </c>
      <c r="E55" s="22">
        <f t="shared" si="1"/>
        <v>94.528000000000006</v>
      </c>
      <c r="F55" s="2"/>
      <c r="G55" s="2"/>
    </row>
    <row r="56" spans="1:7" x14ac:dyDescent="0.2">
      <c r="A56" s="23" t="s">
        <v>11</v>
      </c>
      <c r="B56" s="36">
        <f>SUM(B53:B55)</f>
        <v>190000</v>
      </c>
      <c r="C56" s="37">
        <f>SUM(C53:C55)</f>
        <v>302500</v>
      </c>
      <c r="D56" s="25">
        <f>SUM(D53:D55)</f>
        <v>226845</v>
      </c>
      <c r="E56" s="38">
        <f t="shared" si="1"/>
        <v>74.990082644628103</v>
      </c>
      <c r="F56" s="2"/>
      <c r="G56" s="2"/>
    </row>
    <row r="57" spans="1:7" x14ac:dyDescent="0.2">
      <c r="A57" s="20" t="s">
        <v>29</v>
      </c>
      <c r="B57" s="32">
        <v>20000</v>
      </c>
      <c r="C57" s="33">
        <v>20000</v>
      </c>
      <c r="D57" s="21">
        <v>0</v>
      </c>
      <c r="E57" s="22">
        <f t="shared" si="1"/>
        <v>0</v>
      </c>
      <c r="F57" s="2"/>
      <c r="G57" s="2"/>
    </row>
    <row r="58" spans="1:7" x14ac:dyDescent="0.2">
      <c r="A58" s="20" t="s">
        <v>31</v>
      </c>
      <c r="B58" s="32">
        <v>10000</v>
      </c>
      <c r="C58" s="33">
        <v>10000</v>
      </c>
      <c r="D58" s="21">
        <v>0</v>
      </c>
      <c r="E58" s="22">
        <f t="shared" si="1"/>
        <v>0</v>
      </c>
      <c r="F58" s="2"/>
      <c r="G58" s="2"/>
    </row>
    <row r="59" spans="1:7" x14ac:dyDescent="0.2">
      <c r="A59" s="23" t="s">
        <v>32</v>
      </c>
      <c r="B59" s="37">
        <f>SUM(B57:B58)</f>
        <v>30000</v>
      </c>
      <c r="C59" s="37">
        <f>SUM(C57:C58)</f>
        <v>30000</v>
      </c>
      <c r="D59" s="25">
        <f>SUM(D57:D58)</f>
        <v>0</v>
      </c>
      <c r="E59" s="38">
        <f t="shared" si="1"/>
        <v>0</v>
      </c>
      <c r="F59" s="2"/>
      <c r="G59" s="2"/>
    </row>
    <row r="60" spans="1:7" x14ac:dyDescent="0.2">
      <c r="A60" s="20" t="s">
        <v>10</v>
      </c>
      <c r="B60" s="33">
        <f>(B53+B54+B55+B57+B58)*0.27</f>
        <v>59400.000000000007</v>
      </c>
      <c r="C60" s="33">
        <f>(C53+C54+C55+C57+C58)*0.27</f>
        <v>89775</v>
      </c>
      <c r="D60" s="21">
        <v>60935</v>
      </c>
      <c r="E60" s="22">
        <f t="shared" si="1"/>
        <v>67.875243664717345</v>
      </c>
      <c r="F60" s="2"/>
      <c r="G60" s="2"/>
    </row>
    <row r="61" spans="1:7" x14ac:dyDescent="0.2">
      <c r="A61" s="39" t="s">
        <v>34</v>
      </c>
      <c r="B61" s="37">
        <f>SUM(B60:B60)</f>
        <v>59400.000000000007</v>
      </c>
      <c r="C61" s="37">
        <f>SUM(C60:C60)</f>
        <v>89775</v>
      </c>
      <c r="D61" s="25">
        <f>SUM(D60)</f>
        <v>60935</v>
      </c>
      <c r="E61" s="38">
        <f t="shared" si="1"/>
        <v>67.875243664717345</v>
      </c>
      <c r="F61" s="2"/>
      <c r="G61" s="2"/>
    </row>
    <row r="62" spans="1:7" x14ac:dyDescent="0.2">
      <c r="A62" s="39"/>
      <c r="B62" s="33"/>
      <c r="C62" s="33"/>
      <c r="D62" s="21"/>
      <c r="E62" s="22"/>
      <c r="F62" s="2"/>
      <c r="G62" s="2"/>
    </row>
    <row r="63" spans="1:7" x14ac:dyDescent="0.2">
      <c r="A63" s="27" t="s">
        <v>12</v>
      </c>
      <c r="B63" s="37">
        <f>+B56+B59+B61</f>
        <v>279400</v>
      </c>
      <c r="C63" s="37">
        <f>+C56+C59+C61</f>
        <v>422275</v>
      </c>
      <c r="D63" s="25">
        <f>D56+D61</f>
        <v>287780</v>
      </c>
      <c r="E63" s="38">
        <f t="shared" si="1"/>
        <v>68.149902314842222</v>
      </c>
      <c r="F63" s="2"/>
      <c r="G63" s="2"/>
    </row>
    <row r="64" spans="1:7" x14ac:dyDescent="0.2">
      <c r="A64" s="27"/>
      <c r="B64" s="37"/>
      <c r="C64" s="37"/>
      <c r="D64" s="25"/>
      <c r="E64" s="38"/>
      <c r="F64" s="2"/>
      <c r="G64" s="2"/>
    </row>
    <row r="65" spans="1:7" x14ac:dyDescent="0.2">
      <c r="A65" s="28" t="s">
        <v>13</v>
      </c>
      <c r="B65" s="37">
        <f>B63</f>
        <v>279400</v>
      </c>
      <c r="C65" s="37">
        <f>C63</f>
        <v>422275</v>
      </c>
      <c r="D65" s="25">
        <f>D63</f>
        <v>287780</v>
      </c>
      <c r="E65" s="38">
        <f t="shared" si="1"/>
        <v>68.149902314842222</v>
      </c>
      <c r="F65" s="2"/>
      <c r="G65" s="2"/>
    </row>
    <row r="66" spans="1:7" x14ac:dyDescent="0.2">
      <c r="A66" s="28"/>
      <c r="B66" s="28"/>
      <c r="C66" s="37"/>
      <c r="D66" s="3"/>
      <c r="E66" s="3"/>
      <c r="F66" s="2"/>
      <c r="G66" s="2"/>
    </row>
    <row r="67" spans="1:7" x14ac:dyDescent="0.2">
      <c r="A67" s="44" t="s">
        <v>36</v>
      </c>
      <c r="B67" s="45"/>
      <c r="C67" s="45"/>
      <c r="D67" s="45"/>
      <c r="E67" s="46"/>
      <c r="F67" s="2"/>
      <c r="G67" s="2"/>
    </row>
    <row r="68" spans="1:7" x14ac:dyDescent="0.2">
      <c r="A68" s="47"/>
      <c r="B68" s="47"/>
      <c r="C68" s="48"/>
      <c r="D68" s="3"/>
      <c r="E68" s="3"/>
      <c r="F68" s="2"/>
      <c r="G68" s="2"/>
    </row>
    <row r="69" spans="1:7" x14ac:dyDescent="0.2">
      <c r="A69" s="20" t="s">
        <v>37</v>
      </c>
      <c r="B69" s="33">
        <v>5734277</v>
      </c>
      <c r="C69" s="33">
        <f>5734277-776304-100059</f>
        <v>4857914</v>
      </c>
      <c r="D69" s="21">
        <v>3573776</v>
      </c>
      <c r="E69" s="22">
        <f>D69/C69*100</f>
        <v>73.566061482356417</v>
      </c>
      <c r="F69" s="2"/>
      <c r="G69" s="2"/>
    </row>
    <row r="70" spans="1:7" x14ac:dyDescent="0.2">
      <c r="A70" s="20" t="s">
        <v>38</v>
      </c>
      <c r="B70" s="33"/>
      <c r="C70" s="33"/>
      <c r="D70" s="21">
        <v>102336</v>
      </c>
      <c r="E70" s="22"/>
      <c r="F70" s="2"/>
      <c r="G70" s="2"/>
    </row>
    <row r="71" spans="1:7" x14ac:dyDescent="0.2">
      <c r="A71" s="35" t="s">
        <v>17</v>
      </c>
      <c r="B71" s="37">
        <f>SUM(B69)</f>
        <v>5734277</v>
      </c>
      <c r="C71" s="37">
        <f>SUM(C69)</f>
        <v>4857914</v>
      </c>
      <c r="D71" s="25">
        <f>SUM(D69:D70)</f>
        <v>3676112</v>
      </c>
      <c r="E71" s="38">
        <f>D71/C71*100</f>
        <v>75.67264467835372</v>
      </c>
      <c r="F71" s="2"/>
      <c r="G71" s="2"/>
    </row>
    <row r="72" spans="1:7" x14ac:dyDescent="0.2">
      <c r="A72" s="35"/>
      <c r="B72" s="37"/>
      <c r="C72" s="37"/>
      <c r="D72" s="21"/>
      <c r="E72" s="22"/>
      <c r="F72" s="2"/>
      <c r="G72" s="2"/>
    </row>
    <row r="73" spans="1:7" x14ac:dyDescent="0.2">
      <c r="A73" s="20" t="s">
        <v>18</v>
      </c>
      <c r="B73" s="33">
        <v>563508</v>
      </c>
      <c r="C73" s="33">
        <f>563508-75690-9756</f>
        <v>478062</v>
      </c>
      <c r="D73" s="21">
        <v>362239</v>
      </c>
      <c r="E73" s="22">
        <f>D73/C73*100</f>
        <v>75.772389355355585</v>
      </c>
      <c r="F73" s="2"/>
      <c r="G73" s="2"/>
    </row>
    <row r="74" spans="1:7" x14ac:dyDescent="0.2">
      <c r="A74" s="20" t="s">
        <v>39</v>
      </c>
      <c r="B74" s="33">
        <v>10000</v>
      </c>
      <c r="C74" s="33">
        <v>10000</v>
      </c>
      <c r="D74" s="21">
        <v>907</v>
      </c>
      <c r="E74" s="22">
        <f>D74/C74*100</f>
        <v>9.07</v>
      </c>
      <c r="F74" s="2"/>
      <c r="G74" s="2"/>
    </row>
    <row r="75" spans="1:7" x14ac:dyDescent="0.2">
      <c r="A75" s="35" t="s">
        <v>19</v>
      </c>
      <c r="B75" s="37">
        <f>SUM(B73:B74)</f>
        <v>573508</v>
      </c>
      <c r="C75" s="37">
        <f>SUM(C73:C74)</f>
        <v>488062</v>
      </c>
      <c r="D75" s="25">
        <f>SUM(D73:D74)</f>
        <v>363146</v>
      </c>
      <c r="E75" s="38">
        <f>D75/C75*100</f>
        <v>74.405710749863758</v>
      </c>
      <c r="F75" s="2"/>
      <c r="G75" s="2"/>
    </row>
    <row r="76" spans="1:7" x14ac:dyDescent="0.2">
      <c r="A76" s="35"/>
      <c r="B76" s="37"/>
      <c r="C76" s="37"/>
      <c r="D76" s="21"/>
      <c r="E76" s="22"/>
      <c r="F76" s="2"/>
      <c r="G76" s="2"/>
    </row>
    <row r="77" spans="1:7" x14ac:dyDescent="0.2">
      <c r="A77" s="20" t="s">
        <v>23</v>
      </c>
      <c r="B77" s="37"/>
      <c r="C77" s="37"/>
      <c r="D77" s="21">
        <v>2150097</v>
      </c>
      <c r="E77" s="22"/>
      <c r="F77" s="2"/>
      <c r="G77" s="2"/>
    </row>
    <row r="78" spans="1:7" x14ac:dyDescent="0.2">
      <c r="A78" s="39" t="s">
        <v>40</v>
      </c>
      <c r="B78" s="37"/>
      <c r="C78" s="37"/>
      <c r="D78" s="25">
        <f>SUM(D77)</f>
        <v>2150097</v>
      </c>
      <c r="E78" s="22"/>
      <c r="F78" s="2"/>
      <c r="G78" s="2"/>
    </row>
    <row r="79" spans="1:7" x14ac:dyDescent="0.2">
      <c r="A79" s="40" t="s">
        <v>27</v>
      </c>
      <c r="B79" s="37"/>
      <c r="C79" s="37"/>
      <c r="D79" s="21">
        <v>222215</v>
      </c>
      <c r="E79" s="22"/>
      <c r="F79" s="2"/>
      <c r="G79" s="2"/>
    </row>
    <row r="80" spans="1:7" x14ac:dyDescent="0.2">
      <c r="A80" s="20" t="s">
        <v>9</v>
      </c>
      <c r="B80" s="37"/>
      <c r="C80" s="37"/>
      <c r="D80" s="49">
        <f>246854-D79</f>
        <v>24639</v>
      </c>
      <c r="E80" s="22"/>
      <c r="F80" s="2"/>
      <c r="G80" s="2"/>
    </row>
    <row r="81" spans="1:7" x14ac:dyDescent="0.2">
      <c r="A81" s="20" t="s">
        <v>41</v>
      </c>
      <c r="B81" s="37"/>
      <c r="C81" s="37"/>
      <c r="D81" s="21">
        <v>148000</v>
      </c>
      <c r="E81" s="22"/>
      <c r="F81" s="2"/>
      <c r="G81" s="2"/>
    </row>
    <row r="82" spans="1:7" x14ac:dyDescent="0.2">
      <c r="A82" s="23" t="s">
        <v>32</v>
      </c>
      <c r="B82" s="37"/>
      <c r="C82" s="37"/>
      <c r="D82" s="25">
        <f>SUM(D79:D81)</f>
        <v>394854</v>
      </c>
      <c r="E82" s="22"/>
      <c r="F82" s="2"/>
      <c r="G82" s="2"/>
    </row>
    <row r="83" spans="1:7" x14ac:dyDescent="0.2">
      <c r="A83" s="20" t="s">
        <v>10</v>
      </c>
      <c r="B83" s="37"/>
      <c r="C83" s="37"/>
      <c r="D83" s="21">
        <v>622229</v>
      </c>
      <c r="E83" s="22"/>
      <c r="F83" s="2"/>
      <c r="G83" s="2"/>
    </row>
    <row r="84" spans="1:7" x14ac:dyDescent="0.2">
      <c r="A84" s="39" t="s">
        <v>34</v>
      </c>
      <c r="B84" s="37"/>
      <c r="C84" s="37"/>
      <c r="D84" s="25">
        <f>D83</f>
        <v>622229</v>
      </c>
      <c r="E84" s="22"/>
      <c r="F84" s="2"/>
      <c r="G84" s="2"/>
    </row>
    <row r="85" spans="1:7" x14ac:dyDescent="0.2">
      <c r="A85" s="20"/>
      <c r="B85" s="37"/>
      <c r="C85" s="37"/>
      <c r="D85" s="25"/>
      <c r="E85" s="38"/>
      <c r="F85" s="2"/>
      <c r="G85" s="2"/>
    </row>
    <row r="86" spans="1:7" x14ac:dyDescent="0.2">
      <c r="A86" s="27" t="s">
        <v>12</v>
      </c>
      <c r="B86" s="37"/>
      <c r="C86" s="37"/>
      <c r="D86" s="25">
        <f>D82+D78+D84</f>
        <v>3167180</v>
      </c>
      <c r="E86" s="38"/>
      <c r="F86" s="2"/>
      <c r="G86" s="2"/>
    </row>
    <row r="87" spans="1:7" x14ac:dyDescent="0.2">
      <c r="A87" s="35"/>
      <c r="B87" s="37"/>
      <c r="C87" s="37"/>
      <c r="D87" s="25"/>
      <c r="E87" s="38"/>
      <c r="F87" s="2"/>
      <c r="G87" s="2"/>
    </row>
    <row r="88" spans="1:7" x14ac:dyDescent="0.2">
      <c r="A88" s="28" t="s">
        <v>13</v>
      </c>
      <c r="B88" s="37">
        <f>B71+B75</f>
        <v>6307785</v>
      </c>
      <c r="C88" s="37">
        <f>C71+C75</f>
        <v>5345976</v>
      </c>
      <c r="D88" s="25">
        <f>D71+D86+D75</f>
        <v>7206438</v>
      </c>
      <c r="E88" s="38">
        <f>D88/C88*100</f>
        <v>134.8011663352024</v>
      </c>
      <c r="F88" s="2"/>
      <c r="G88" s="2"/>
    </row>
    <row r="89" spans="1:7" x14ac:dyDescent="0.2">
      <c r="A89" s="28"/>
      <c r="B89" s="28"/>
      <c r="C89" s="37"/>
      <c r="D89" s="3"/>
      <c r="E89" s="3"/>
      <c r="F89" s="2"/>
      <c r="G89" s="2"/>
    </row>
    <row r="90" spans="1:7" x14ac:dyDescent="0.2">
      <c r="A90" s="44" t="s">
        <v>42</v>
      </c>
      <c r="B90" s="45"/>
      <c r="C90" s="45"/>
      <c r="D90" s="45"/>
      <c r="E90" s="46"/>
      <c r="F90" s="2"/>
      <c r="G90" s="2"/>
    </row>
    <row r="91" spans="1:7" x14ac:dyDescent="0.2">
      <c r="A91" s="47"/>
      <c r="B91" s="47"/>
      <c r="C91" s="48"/>
      <c r="D91" s="3"/>
      <c r="E91" s="3"/>
      <c r="F91" s="2"/>
      <c r="G91" s="2"/>
    </row>
    <row r="92" spans="1:7" x14ac:dyDescent="0.2">
      <c r="A92" s="20" t="s">
        <v>43</v>
      </c>
      <c r="B92" s="33">
        <v>7638000</v>
      </c>
      <c r="C92" s="33">
        <f>7638000+11778426+11231775</f>
        <v>30648201</v>
      </c>
      <c r="D92" s="21">
        <v>27910000</v>
      </c>
      <c r="E92" s="22">
        <f t="shared" ref="E92:E112" si="2">D92/C92*100</f>
        <v>91.065703986997477</v>
      </c>
      <c r="F92" s="2"/>
      <c r="G92" s="2"/>
    </row>
    <row r="93" spans="1:7" x14ac:dyDescent="0.2">
      <c r="A93" s="20" t="s">
        <v>38</v>
      </c>
      <c r="B93" s="33"/>
      <c r="C93" s="33"/>
      <c r="D93" s="21">
        <v>575482</v>
      </c>
      <c r="E93" s="22"/>
      <c r="F93" s="2"/>
      <c r="G93" s="2"/>
    </row>
    <row r="94" spans="1:7" x14ac:dyDescent="0.2">
      <c r="A94" s="35" t="s">
        <v>17</v>
      </c>
      <c r="B94" s="37">
        <f>SUM(B92:B92)</f>
        <v>7638000</v>
      </c>
      <c r="C94" s="37">
        <f>SUM(C92:C92)</f>
        <v>30648201</v>
      </c>
      <c r="D94" s="25">
        <f>SUM(D92:D93)</f>
        <v>28485482</v>
      </c>
      <c r="E94" s="38">
        <f t="shared" si="2"/>
        <v>92.943406368288962</v>
      </c>
      <c r="F94" s="2"/>
      <c r="G94" s="2"/>
    </row>
    <row r="95" spans="1:7" x14ac:dyDescent="0.2">
      <c r="A95" s="35"/>
      <c r="B95" s="37"/>
      <c r="C95" s="37"/>
      <c r="D95" s="21"/>
      <c r="E95" s="22"/>
      <c r="F95" s="2"/>
      <c r="G95" s="2"/>
    </row>
    <row r="96" spans="1:7" x14ac:dyDescent="0.2">
      <c r="A96" s="20" t="s">
        <v>18</v>
      </c>
      <c r="B96" s="33">
        <v>776530</v>
      </c>
      <c r="C96" s="33">
        <f>776530+1148382+1095075</f>
        <v>3019987</v>
      </c>
      <c r="D96" s="21">
        <v>2808494</v>
      </c>
      <c r="E96" s="22">
        <f t="shared" si="2"/>
        <v>92.996890383965223</v>
      </c>
      <c r="F96" s="2"/>
      <c r="G96" s="2"/>
    </row>
    <row r="97" spans="1:7" x14ac:dyDescent="0.2">
      <c r="A97" s="20" t="s">
        <v>44</v>
      </c>
      <c r="B97" s="33">
        <v>50000</v>
      </c>
      <c r="C97" s="33">
        <v>50000</v>
      </c>
      <c r="D97" s="21">
        <v>169550</v>
      </c>
      <c r="E97" s="22">
        <f t="shared" si="2"/>
        <v>339.1</v>
      </c>
      <c r="F97" s="2"/>
      <c r="G97" s="2"/>
    </row>
    <row r="98" spans="1:7" x14ac:dyDescent="0.2">
      <c r="A98" s="35" t="s">
        <v>19</v>
      </c>
      <c r="B98" s="37">
        <f>SUM(B96:B97)</f>
        <v>826530</v>
      </c>
      <c r="C98" s="37">
        <f>SUM(C96:C97)</f>
        <v>3069987</v>
      </c>
      <c r="D98" s="25">
        <f>SUM(D96:D97)</f>
        <v>2978044</v>
      </c>
      <c r="E98" s="38">
        <f t="shared" si="2"/>
        <v>97.0051013245333</v>
      </c>
      <c r="F98" s="2"/>
      <c r="G98" s="2"/>
    </row>
    <row r="99" spans="1:7" x14ac:dyDescent="0.2">
      <c r="A99" s="35"/>
      <c r="B99" s="37"/>
      <c r="C99" s="37"/>
      <c r="D99" s="21"/>
      <c r="E99" s="22"/>
      <c r="F99" s="2"/>
      <c r="G99" s="2"/>
    </row>
    <row r="100" spans="1:7" x14ac:dyDescent="0.2">
      <c r="A100" s="34" t="s">
        <v>45</v>
      </c>
      <c r="B100" s="9"/>
      <c r="C100" s="33">
        <f>110000+112750</f>
        <v>222750</v>
      </c>
      <c r="D100" s="21">
        <v>0</v>
      </c>
      <c r="E100" s="22">
        <f t="shared" si="2"/>
        <v>0</v>
      </c>
      <c r="F100" s="2"/>
      <c r="G100" s="2"/>
    </row>
    <row r="101" spans="1:7" x14ac:dyDescent="0.2">
      <c r="A101" s="20" t="s">
        <v>46</v>
      </c>
      <c r="B101" s="20"/>
      <c r="C101" s="33">
        <f>47691+61491</f>
        <v>109182</v>
      </c>
      <c r="D101" s="21">
        <v>0</v>
      </c>
      <c r="E101" s="22">
        <f t="shared" si="2"/>
        <v>0</v>
      </c>
      <c r="F101" s="2"/>
      <c r="G101" s="2"/>
    </row>
    <row r="102" spans="1:7" x14ac:dyDescent="0.2">
      <c r="A102" s="20" t="s">
        <v>47</v>
      </c>
      <c r="B102" s="20"/>
      <c r="C102" s="33">
        <v>455200</v>
      </c>
      <c r="D102" s="21">
        <v>0</v>
      </c>
      <c r="E102" s="22">
        <f t="shared" si="2"/>
        <v>0</v>
      </c>
      <c r="F102" s="2"/>
      <c r="G102" s="2"/>
    </row>
    <row r="103" spans="1:7" x14ac:dyDescent="0.2">
      <c r="A103" s="20" t="s">
        <v>23</v>
      </c>
      <c r="B103" s="20"/>
      <c r="C103" s="33">
        <v>1625677</v>
      </c>
      <c r="D103" s="21">
        <v>827334</v>
      </c>
      <c r="E103" s="22">
        <f t="shared" si="2"/>
        <v>50.891659290252612</v>
      </c>
      <c r="F103" s="2"/>
      <c r="G103" s="2"/>
    </row>
    <row r="104" spans="1:7" x14ac:dyDescent="0.2">
      <c r="A104" s="39" t="s">
        <v>40</v>
      </c>
      <c r="B104" s="39"/>
      <c r="C104" s="37">
        <f>SUM(C100:C103)</f>
        <v>2412809</v>
      </c>
      <c r="D104" s="25">
        <f>SUM(D100:D103)</f>
        <v>827334</v>
      </c>
      <c r="E104" s="38">
        <f>D104/C104*100</f>
        <v>34.289245439651459</v>
      </c>
      <c r="F104" s="2"/>
      <c r="G104" s="2"/>
    </row>
    <row r="105" spans="1:7" x14ac:dyDescent="0.2">
      <c r="A105" s="40" t="s">
        <v>27</v>
      </c>
      <c r="B105" s="40"/>
      <c r="C105" s="33">
        <f>160000+56995</f>
        <v>216995</v>
      </c>
      <c r="D105" s="21"/>
      <c r="E105" s="22">
        <f>D105/C105*100</f>
        <v>0</v>
      </c>
      <c r="F105" s="2"/>
      <c r="G105" s="2"/>
    </row>
    <row r="106" spans="1:7" x14ac:dyDescent="0.2">
      <c r="A106" s="20" t="s">
        <v>31</v>
      </c>
      <c r="B106" s="20"/>
      <c r="C106" s="33">
        <f>480000+7500</f>
        <v>487500</v>
      </c>
      <c r="D106" s="21">
        <f>480000+2953</f>
        <v>482953</v>
      </c>
      <c r="E106" s="22">
        <f t="shared" si="2"/>
        <v>99.067282051282049</v>
      </c>
      <c r="F106" s="2"/>
      <c r="G106" s="2"/>
    </row>
    <row r="107" spans="1:7" x14ac:dyDescent="0.2">
      <c r="A107" s="23" t="s">
        <v>32</v>
      </c>
      <c r="B107" s="23"/>
      <c r="C107" s="37">
        <f>SUM(C105:C106)</f>
        <v>704495</v>
      </c>
      <c r="D107" s="25">
        <f>SUM(D106)</f>
        <v>482953</v>
      </c>
      <c r="E107" s="38">
        <f t="shared" si="2"/>
        <v>68.553077026806434</v>
      </c>
      <c r="F107" s="2"/>
      <c r="G107" s="2"/>
    </row>
    <row r="108" spans="1:7" x14ac:dyDescent="0.2">
      <c r="A108" s="20" t="s">
        <v>10</v>
      </c>
      <c r="B108" s="20"/>
      <c r="C108" s="33">
        <f>12876+29700+438933+16602+30443+129600+122904+40000+15389</f>
        <v>836447</v>
      </c>
      <c r="D108" s="21">
        <v>353782</v>
      </c>
      <c r="E108" s="22">
        <f t="shared" si="2"/>
        <v>42.295805950646006</v>
      </c>
      <c r="F108" s="2"/>
      <c r="G108" s="2"/>
    </row>
    <row r="109" spans="1:7" x14ac:dyDescent="0.2">
      <c r="A109" s="39" t="s">
        <v>34</v>
      </c>
      <c r="B109" s="39"/>
      <c r="C109" s="37">
        <f>C108</f>
        <v>836447</v>
      </c>
      <c r="D109" s="25">
        <f>SUM(D108)</f>
        <v>353782</v>
      </c>
      <c r="E109" s="38">
        <f t="shared" si="2"/>
        <v>42.295805950646006</v>
      </c>
      <c r="F109" s="2"/>
      <c r="G109" s="2"/>
    </row>
    <row r="110" spans="1:7" x14ac:dyDescent="0.2">
      <c r="A110" s="27" t="s">
        <v>12</v>
      </c>
      <c r="B110" s="27"/>
      <c r="C110" s="37">
        <f>C104+C107+C109</f>
        <v>3953751</v>
      </c>
      <c r="D110" s="25">
        <f>D109+D107+D104</f>
        <v>1664069</v>
      </c>
      <c r="E110" s="38">
        <f t="shared" si="2"/>
        <v>42.08836115374995</v>
      </c>
      <c r="F110" s="2"/>
      <c r="G110" s="2"/>
    </row>
    <row r="111" spans="1:7" x14ac:dyDescent="0.2">
      <c r="A111" s="27"/>
      <c r="B111" s="27"/>
      <c r="C111" s="33"/>
      <c r="D111" s="25"/>
      <c r="E111" s="38"/>
      <c r="F111" s="2"/>
      <c r="G111" s="2"/>
    </row>
    <row r="112" spans="1:7" x14ac:dyDescent="0.2">
      <c r="A112" s="28" t="s">
        <v>13</v>
      </c>
      <c r="B112" s="37">
        <f>B98+B94</f>
        <v>8464530</v>
      </c>
      <c r="C112" s="37">
        <f>C98+C94</f>
        <v>33718188</v>
      </c>
      <c r="D112" s="25">
        <f>D94+D98+D110</f>
        <v>33127595</v>
      </c>
      <c r="E112" s="38">
        <f t="shared" si="2"/>
        <v>98.248443836898943</v>
      </c>
      <c r="F112" s="2"/>
      <c r="G112" s="2"/>
    </row>
    <row r="113" spans="1:7" x14ac:dyDescent="0.2">
      <c r="A113" s="28"/>
      <c r="B113" s="28"/>
      <c r="C113" s="37"/>
      <c r="D113" s="3"/>
      <c r="E113" s="3"/>
      <c r="F113" s="2"/>
      <c r="G113" s="2"/>
    </row>
    <row r="114" spans="1:7" x14ac:dyDescent="0.2">
      <c r="A114" s="14" t="s">
        <v>48</v>
      </c>
      <c r="B114" s="15"/>
      <c r="C114" s="15"/>
      <c r="D114" s="15"/>
      <c r="E114" s="30"/>
      <c r="F114" s="2"/>
      <c r="G114" s="2"/>
    </row>
    <row r="115" spans="1:7" x14ac:dyDescent="0.2">
      <c r="A115" s="28"/>
      <c r="B115" s="28"/>
      <c r="C115" s="24"/>
      <c r="D115" s="3"/>
      <c r="E115" s="3"/>
      <c r="F115" s="2"/>
      <c r="G115" s="2"/>
    </row>
    <row r="116" spans="1:7" x14ac:dyDescent="0.2">
      <c r="A116" s="34" t="s">
        <v>49</v>
      </c>
      <c r="B116" s="19">
        <f>1850000-250000</f>
        <v>1600000</v>
      </c>
      <c r="C116" s="19">
        <f>1850000-250000-350000</f>
        <v>1250000</v>
      </c>
      <c r="D116" s="21">
        <v>1120021</v>
      </c>
      <c r="E116" s="22">
        <f t="shared" ref="E116:E123" si="3">D116/C116*100</f>
        <v>89.601679999999988</v>
      </c>
      <c r="F116" s="2"/>
      <c r="G116" s="2"/>
    </row>
    <row r="117" spans="1:7" x14ac:dyDescent="0.2">
      <c r="A117" s="23" t="s">
        <v>32</v>
      </c>
      <c r="B117" s="24">
        <f>SUM(B113:B116)</f>
        <v>1600000</v>
      </c>
      <c r="C117" s="24">
        <f>SUM(C113:C116)</f>
        <v>1250000</v>
      </c>
      <c r="D117" s="25">
        <v>1120021</v>
      </c>
      <c r="E117" s="38">
        <f t="shared" si="3"/>
        <v>89.601679999999988</v>
      </c>
      <c r="F117" s="2"/>
      <c r="G117" s="2"/>
    </row>
    <row r="118" spans="1:7" x14ac:dyDescent="0.2">
      <c r="A118" s="20" t="s">
        <v>10</v>
      </c>
      <c r="B118" s="19">
        <f>(B116)*0.27</f>
        <v>432000</v>
      </c>
      <c r="C118" s="19">
        <f>(C116)*0.27</f>
        <v>337500</v>
      </c>
      <c r="D118" s="21">
        <v>302403</v>
      </c>
      <c r="E118" s="22">
        <f t="shared" si="3"/>
        <v>89.600888888888889</v>
      </c>
      <c r="F118" s="2"/>
      <c r="G118" s="2"/>
    </row>
    <row r="119" spans="1:7" x14ac:dyDescent="0.2">
      <c r="A119" s="39" t="s">
        <v>34</v>
      </c>
      <c r="B119" s="24">
        <f>SUM(B118:B118)</f>
        <v>432000</v>
      </c>
      <c r="C119" s="24">
        <f>SUM(C118:C118)</f>
        <v>337500</v>
      </c>
      <c r="D119" s="25">
        <f>SUM(D118)</f>
        <v>302403</v>
      </c>
      <c r="E119" s="38">
        <f t="shared" si="3"/>
        <v>89.600888888888889</v>
      </c>
      <c r="F119" s="2"/>
      <c r="G119" s="2"/>
    </row>
    <row r="120" spans="1:7" x14ac:dyDescent="0.2">
      <c r="A120" s="39"/>
      <c r="B120" s="19"/>
      <c r="C120" s="19"/>
      <c r="D120" s="21"/>
      <c r="E120" s="38"/>
      <c r="F120" s="2"/>
      <c r="G120" s="2"/>
    </row>
    <row r="121" spans="1:7" x14ac:dyDescent="0.2">
      <c r="A121" s="27" t="s">
        <v>12</v>
      </c>
      <c r="B121" s="24">
        <f>B119+B117</f>
        <v>2032000</v>
      </c>
      <c r="C121" s="24">
        <f>C119+C117</f>
        <v>1587500</v>
      </c>
      <c r="D121" s="25">
        <f>D119+D117</f>
        <v>1422424</v>
      </c>
      <c r="E121" s="38">
        <f t="shared" si="3"/>
        <v>89.601511811023627</v>
      </c>
      <c r="F121" s="2"/>
      <c r="G121" s="2"/>
    </row>
    <row r="122" spans="1:7" x14ac:dyDescent="0.2">
      <c r="A122" s="27"/>
      <c r="B122" s="24"/>
      <c r="C122" s="24"/>
      <c r="D122" s="25"/>
      <c r="E122" s="38"/>
      <c r="F122" s="2"/>
      <c r="G122" s="2"/>
    </row>
    <row r="123" spans="1:7" x14ac:dyDescent="0.2">
      <c r="A123" s="28" t="s">
        <v>13</v>
      </c>
      <c r="B123" s="24">
        <f>B121</f>
        <v>2032000</v>
      </c>
      <c r="C123" s="24">
        <f>C121</f>
        <v>1587500</v>
      </c>
      <c r="D123" s="25">
        <f>D121</f>
        <v>1422424</v>
      </c>
      <c r="E123" s="38">
        <f t="shared" si="3"/>
        <v>89.601511811023627</v>
      </c>
      <c r="F123" s="2"/>
      <c r="G123" s="2"/>
    </row>
    <row r="124" spans="1:7" x14ac:dyDescent="0.2">
      <c r="A124" s="28"/>
      <c r="B124" s="28"/>
      <c r="C124" s="37"/>
      <c r="D124" s="3"/>
      <c r="E124" s="3"/>
      <c r="F124" s="2"/>
      <c r="G124" s="2"/>
    </row>
    <row r="125" spans="1:7" x14ac:dyDescent="0.2">
      <c r="A125" s="50" t="s">
        <v>50</v>
      </c>
      <c r="B125" s="50"/>
      <c r="C125" s="50"/>
      <c r="D125" s="50"/>
      <c r="E125" s="50"/>
      <c r="F125" s="2"/>
      <c r="G125" s="2"/>
    </row>
    <row r="126" spans="1:7" x14ac:dyDescent="0.2">
      <c r="A126" s="28"/>
      <c r="B126" s="28"/>
      <c r="C126" s="37"/>
      <c r="D126" s="3"/>
      <c r="E126" s="3"/>
      <c r="F126" s="2"/>
      <c r="G126" s="2"/>
    </row>
    <row r="127" spans="1:7" x14ac:dyDescent="0.2">
      <c r="A127" s="14" t="s">
        <v>51</v>
      </c>
      <c r="B127" s="15"/>
      <c r="C127" s="15"/>
      <c r="D127" s="15"/>
      <c r="E127" s="30"/>
      <c r="F127" s="2"/>
      <c r="G127" s="2"/>
    </row>
    <row r="128" spans="1:7" x14ac:dyDescent="0.2">
      <c r="A128" s="34" t="s">
        <v>52</v>
      </c>
      <c r="B128" s="32">
        <v>1620000</v>
      </c>
      <c r="C128" s="33">
        <v>1620000</v>
      </c>
      <c r="D128" s="21">
        <v>1620000</v>
      </c>
      <c r="E128" s="22">
        <f t="shared" ref="E128:E144" si="4">D128/C128*100</f>
        <v>100</v>
      </c>
      <c r="F128" s="2"/>
      <c r="G128" s="2"/>
    </row>
    <row r="129" spans="1:7" x14ac:dyDescent="0.2">
      <c r="A129" s="35" t="s">
        <v>17</v>
      </c>
      <c r="B129" s="36">
        <f>SUM(B128:B128)</f>
        <v>1620000</v>
      </c>
      <c r="C129" s="37">
        <f>SUM(C128:C128)</f>
        <v>1620000</v>
      </c>
      <c r="D129" s="25">
        <f>SUM(D128)</f>
        <v>1620000</v>
      </c>
      <c r="E129" s="38">
        <f t="shared" si="4"/>
        <v>100</v>
      </c>
      <c r="F129" s="2"/>
      <c r="G129" s="2"/>
    </row>
    <row r="130" spans="1:7" x14ac:dyDescent="0.2">
      <c r="A130" s="35"/>
      <c r="B130" s="36"/>
      <c r="C130" s="37"/>
      <c r="D130" s="21"/>
      <c r="E130" s="22"/>
      <c r="F130" s="2"/>
      <c r="G130" s="2"/>
    </row>
    <row r="131" spans="1:7" x14ac:dyDescent="0.2">
      <c r="A131" s="20" t="s">
        <v>18</v>
      </c>
      <c r="B131" s="32">
        <v>287348</v>
      </c>
      <c r="C131" s="33">
        <v>287348</v>
      </c>
      <c r="D131" s="21">
        <v>287353</v>
      </c>
      <c r="E131" s="22">
        <f t="shared" si="4"/>
        <v>100.00174005039186</v>
      </c>
      <c r="F131" s="2"/>
      <c r="G131" s="2"/>
    </row>
    <row r="132" spans="1:7" x14ac:dyDescent="0.2">
      <c r="A132" s="35" t="s">
        <v>19</v>
      </c>
      <c r="B132" s="36">
        <f>SUM(B131:B131)</f>
        <v>287348</v>
      </c>
      <c r="C132" s="37">
        <f>SUM(C131:C131)</f>
        <v>287348</v>
      </c>
      <c r="D132" s="25">
        <f>SUM(D131)</f>
        <v>287353</v>
      </c>
      <c r="E132" s="38">
        <f t="shared" si="4"/>
        <v>100.00174005039186</v>
      </c>
      <c r="F132" s="2"/>
      <c r="G132" s="2"/>
    </row>
    <row r="133" spans="1:7" x14ac:dyDescent="0.2">
      <c r="A133" s="35"/>
      <c r="B133" s="36"/>
      <c r="C133" s="37"/>
      <c r="D133" s="21"/>
      <c r="E133" s="22"/>
      <c r="F133" s="2"/>
      <c r="G133" s="2"/>
    </row>
    <row r="134" spans="1:7" x14ac:dyDescent="0.2">
      <c r="A134" s="34" t="s">
        <v>53</v>
      </c>
      <c r="B134" s="32">
        <f>5000000-100000</f>
        <v>4900000</v>
      </c>
      <c r="C134" s="33">
        <f>5000000-100000</f>
        <v>4900000</v>
      </c>
      <c r="D134" s="21">
        <v>3503284</v>
      </c>
      <c r="E134" s="22">
        <f t="shared" si="4"/>
        <v>71.49559183673469</v>
      </c>
      <c r="F134" s="2"/>
      <c r="G134" s="2"/>
    </row>
    <row r="135" spans="1:7" x14ac:dyDescent="0.2">
      <c r="A135" s="40" t="s">
        <v>54</v>
      </c>
      <c r="B135" s="32">
        <v>4700000</v>
      </c>
      <c r="C135" s="33">
        <v>4700000</v>
      </c>
      <c r="D135" s="21">
        <v>4070074</v>
      </c>
      <c r="E135" s="22">
        <f t="shared" si="4"/>
        <v>86.597319148936165</v>
      </c>
      <c r="F135" s="2"/>
      <c r="G135" s="2"/>
    </row>
    <row r="136" spans="1:7" x14ac:dyDescent="0.2">
      <c r="A136" s="40" t="s">
        <v>29</v>
      </c>
      <c r="B136" s="32">
        <v>150000</v>
      </c>
      <c r="C136" s="33">
        <v>150000</v>
      </c>
      <c r="D136" s="21">
        <v>62945</v>
      </c>
      <c r="E136" s="22">
        <f t="shared" si="4"/>
        <v>41.963333333333338</v>
      </c>
      <c r="F136" s="2"/>
      <c r="G136" s="2"/>
    </row>
    <row r="137" spans="1:7" x14ac:dyDescent="0.2">
      <c r="A137" s="20" t="s">
        <v>55</v>
      </c>
      <c r="B137" s="32">
        <v>400000</v>
      </c>
      <c r="C137" s="33">
        <v>400000</v>
      </c>
      <c r="D137" s="21">
        <f>30194+629648</f>
        <v>659842</v>
      </c>
      <c r="E137" s="22">
        <f t="shared" si="4"/>
        <v>164.9605</v>
      </c>
      <c r="F137" s="2"/>
      <c r="G137" s="2"/>
    </row>
    <row r="138" spans="1:7" x14ac:dyDescent="0.2">
      <c r="A138" s="23" t="s">
        <v>32</v>
      </c>
      <c r="B138" s="36">
        <f>SUM(B134:B137)</f>
        <v>10150000</v>
      </c>
      <c r="C138" s="37">
        <f>SUM(C134:C137)</f>
        <v>10150000</v>
      </c>
      <c r="D138" s="25">
        <f>SUM(D134:D137)</f>
        <v>8296145</v>
      </c>
      <c r="E138" s="38">
        <f t="shared" si="4"/>
        <v>81.735418719211822</v>
      </c>
      <c r="F138" s="2"/>
      <c r="G138" s="2"/>
    </row>
    <row r="139" spans="1:7" x14ac:dyDescent="0.2">
      <c r="A139" s="20" t="s">
        <v>10</v>
      </c>
      <c r="B139" s="32">
        <f>(+B137+B135+B136+B134)*0.27</f>
        <v>2740500</v>
      </c>
      <c r="C139" s="33">
        <f>(+C137+C135+C136+C134)*0.27</f>
        <v>2740500</v>
      </c>
      <c r="D139" s="21">
        <f>2016351</f>
        <v>2016351</v>
      </c>
      <c r="E139" s="22">
        <f t="shared" si="4"/>
        <v>73.576026272578005</v>
      </c>
      <c r="F139" s="2"/>
      <c r="G139" s="2"/>
    </row>
    <row r="140" spans="1:7" x14ac:dyDescent="0.2">
      <c r="A140" s="20" t="s">
        <v>56</v>
      </c>
      <c r="B140" s="32">
        <v>250000</v>
      </c>
      <c r="C140" s="33">
        <v>250000</v>
      </c>
      <c r="D140" s="21">
        <v>1111177</v>
      </c>
      <c r="E140" s="22">
        <f t="shared" si="4"/>
        <v>444.47080000000005</v>
      </c>
      <c r="F140" s="2"/>
      <c r="G140" s="2"/>
    </row>
    <row r="141" spans="1:7" x14ac:dyDescent="0.2">
      <c r="A141" s="39" t="s">
        <v>34</v>
      </c>
      <c r="B141" s="36">
        <f>SUM(B139:B140)</f>
        <v>2990500</v>
      </c>
      <c r="C141" s="37">
        <f>SUM(C139:C140)</f>
        <v>2990500</v>
      </c>
      <c r="D141" s="25">
        <f>SUM(D139:D140)</f>
        <v>3127528</v>
      </c>
      <c r="E141" s="38">
        <f t="shared" si="4"/>
        <v>104.58211001504765</v>
      </c>
      <c r="F141" s="2"/>
      <c r="G141" s="2"/>
    </row>
    <row r="142" spans="1:7" x14ac:dyDescent="0.2">
      <c r="A142" s="27" t="s">
        <v>12</v>
      </c>
      <c r="B142" s="37">
        <f>B141+B138</f>
        <v>13140500</v>
      </c>
      <c r="C142" s="37">
        <f>C141+C138</f>
        <v>13140500</v>
      </c>
      <c r="D142" s="25">
        <f>D138+D141</f>
        <v>11423673</v>
      </c>
      <c r="E142" s="38">
        <f t="shared" si="4"/>
        <v>86.93484266199917</v>
      </c>
      <c r="F142" s="2"/>
      <c r="G142" s="2"/>
    </row>
    <row r="143" spans="1:7" x14ac:dyDescent="0.2">
      <c r="A143" s="27"/>
      <c r="B143" s="33"/>
      <c r="C143" s="33"/>
      <c r="D143" s="21"/>
      <c r="E143" s="22"/>
      <c r="F143" s="2"/>
      <c r="G143" s="2"/>
    </row>
    <row r="144" spans="1:7" x14ac:dyDescent="0.2">
      <c r="A144" s="28" t="s">
        <v>13</v>
      </c>
      <c r="B144" s="37">
        <f>B129+B132+B142</f>
        <v>15047848</v>
      </c>
      <c r="C144" s="37">
        <f>C129+C132+C142</f>
        <v>15047848</v>
      </c>
      <c r="D144" s="25">
        <f>D129+D132+D142</f>
        <v>13331026</v>
      </c>
      <c r="E144" s="38">
        <f t="shared" si="4"/>
        <v>88.590913464835637</v>
      </c>
      <c r="F144" s="2"/>
      <c r="G144" s="2"/>
    </row>
    <row r="145" spans="1:7" x14ac:dyDescent="0.2">
      <c r="A145" s="26"/>
      <c r="B145" s="26"/>
      <c r="C145" s="24"/>
      <c r="D145" s="3"/>
      <c r="E145" s="3"/>
      <c r="F145" s="2"/>
      <c r="G145" s="2"/>
    </row>
    <row r="146" spans="1:7" ht="12" customHeight="1" x14ac:dyDescent="0.2">
      <c r="A146" s="51" t="s">
        <v>57</v>
      </c>
      <c r="B146" s="52"/>
      <c r="C146" s="52"/>
      <c r="D146" s="52"/>
      <c r="E146" s="53"/>
      <c r="F146" s="2"/>
      <c r="G146" s="2"/>
    </row>
    <row r="147" spans="1:7" x14ac:dyDescent="0.2">
      <c r="A147" s="20" t="s">
        <v>58</v>
      </c>
      <c r="B147" s="54">
        <v>28212200</v>
      </c>
      <c r="C147" s="19">
        <v>28212200</v>
      </c>
      <c r="D147" s="21">
        <v>31641881</v>
      </c>
      <c r="E147" s="22">
        <f t="shared" ref="E147:E185" si="5">D147/C147*100</f>
        <v>112.15673006713406</v>
      </c>
      <c r="F147" s="2"/>
      <c r="G147" s="2"/>
    </row>
    <row r="148" spans="1:7" x14ac:dyDescent="0.2">
      <c r="A148" s="34" t="s">
        <v>59</v>
      </c>
      <c r="B148" s="54">
        <v>3200000</v>
      </c>
      <c r="C148" s="19">
        <v>3200000</v>
      </c>
      <c r="D148" s="21">
        <v>0</v>
      </c>
      <c r="E148" s="22">
        <f t="shared" si="5"/>
        <v>0</v>
      </c>
      <c r="F148" s="2"/>
      <c r="G148" s="2"/>
    </row>
    <row r="149" spans="1:7" x14ac:dyDescent="0.2">
      <c r="A149" s="34" t="s">
        <v>60</v>
      </c>
      <c r="B149" s="54"/>
      <c r="C149" s="19"/>
      <c r="D149" s="21">
        <v>900000</v>
      </c>
      <c r="E149" s="22"/>
      <c r="F149" s="2"/>
      <c r="G149" s="2"/>
    </row>
    <row r="150" spans="1:7" x14ac:dyDescent="0.2">
      <c r="A150" s="34" t="s">
        <v>61</v>
      </c>
      <c r="B150" s="54">
        <v>260000</v>
      </c>
      <c r="C150" s="19">
        <v>260000</v>
      </c>
      <c r="D150" s="21">
        <v>0</v>
      </c>
      <c r="E150" s="22">
        <f t="shared" si="5"/>
        <v>0</v>
      </c>
      <c r="F150" s="2"/>
      <c r="G150" s="2"/>
    </row>
    <row r="151" spans="1:7" x14ac:dyDescent="0.2">
      <c r="A151" s="34" t="s">
        <v>62</v>
      </c>
      <c r="B151" s="54">
        <v>50000</v>
      </c>
      <c r="C151" s="19">
        <v>50000</v>
      </c>
      <c r="D151" s="21">
        <v>1070982</v>
      </c>
      <c r="E151" s="22">
        <f t="shared" si="5"/>
        <v>2141.9639999999999</v>
      </c>
      <c r="F151" s="2"/>
      <c r="G151" s="2"/>
    </row>
    <row r="152" spans="1:7" x14ac:dyDescent="0.2">
      <c r="A152" s="34" t="s">
        <v>63</v>
      </c>
      <c r="B152" s="54">
        <v>140000</v>
      </c>
      <c r="C152" s="19">
        <v>140000</v>
      </c>
      <c r="D152" s="21">
        <v>313972</v>
      </c>
      <c r="E152" s="22">
        <f t="shared" si="5"/>
        <v>224.2657142857143</v>
      </c>
      <c r="F152" s="2"/>
      <c r="G152" s="2"/>
    </row>
    <row r="153" spans="1:7" x14ac:dyDescent="0.2">
      <c r="A153" s="34" t="s">
        <v>16</v>
      </c>
      <c r="B153" s="54">
        <v>550000</v>
      </c>
      <c r="C153" s="19">
        <v>550000</v>
      </c>
      <c r="D153" s="21">
        <v>884569</v>
      </c>
      <c r="E153" s="22">
        <f t="shared" si="5"/>
        <v>160.83072727272727</v>
      </c>
      <c r="F153" s="2"/>
      <c r="G153" s="2"/>
    </row>
    <row r="154" spans="1:7" x14ac:dyDescent="0.2">
      <c r="A154" s="35" t="s">
        <v>17</v>
      </c>
      <c r="B154" s="55">
        <f>SUM(B147:B153)</f>
        <v>32412200</v>
      </c>
      <c r="C154" s="24">
        <f>SUM(C147:C153)</f>
        <v>32412200</v>
      </c>
      <c r="D154" s="25">
        <f>SUM(D147:D153)</f>
        <v>34811404</v>
      </c>
      <c r="E154" s="38">
        <f t="shared" si="5"/>
        <v>107.40216338292372</v>
      </c>
      <c r="F154" s="2"/>
      <c r="G154" s="2"/>
    </row>
    <row r="155" spans="1:7" x14ac:dyDescent="0.2">
      <c r="A155" s="35"/>
      <c r="B155" s="55"/>
      <c r="C155" s="24"/>
      <c r="D155" s="21"/>
      <c r="E155" s="22"/>
      <c r="F155" s="2"/>
      <c r="G155" s="2"/>
    </row>
    <row r="156" spans="1:7" x14ac:dyDescent="0.2">
      <c r="A156" s="20" t="s">
        <v>18</v>
      </c>
      <c r="B156" s="54">
        <v>6495387</v>
      </c>
      <c r="C156" s="19">
        <v>6495387</v>
      </c>
      <c r="D156" s="21">
        <v>6563851</v>
      </c>
      <c r="E156" s="22">
        <f t="shared" si="5"/>
        <v>101.05404035202214</v>
      </c>
      <c r="F156" s="2"/>
      <c r="G156" s="2"/>
    </row>
    <row r="157" spans="1:7" x14ac:dyDescent="0.2">
      <c r="A157" s="20" t="s">
        <v>44</v>
      </c>
      <c r="B157" s="54">
        <v>59826</v>
      </c>
      <c r="C157" s="19">
        <v>59826</v>
      </c>
      <c r="D157" s="21">
        <v>207096</v>
      </c>
      <c r="E157" s="22">
        <f t="shared" si="5"/>
        <v>346.16387523819077</v>
      </c>
      <c r="F157" s="2"/>
      <c r="G157" s="2"/>
    </row>
    <row r="158" spans="1:7" x14ac:dyDescent="0.2">
      <c r="A158" s="20" t="s">
        <v>64</v>
      </c>
      <c r="B158" s="54">
        <v>20000</v>
      </c>
      <c r="C158" s="19">
        <v>20000</v>
      </c>
      <c r="D158" s="21">
        <v>7943</v>
      </c>
      <c r="E158" s="22">
        <f t="shared" si="5"/>
        <v>39.715000000000003</v>
      </c>
      <c r="F158" s="2"/>
      <c r="G158" s="2"/>
    </row>
    <row r="159" spans="1:7" x14ac:dyDescent="0.2">
      <c r="A159" s="20" t="s">
        <v>65</v>
      </c>
      <c r="B159" s="54">
        <v>46020</v>
      </c>
      <c r="C159" s="19">
        <v>46020</v>
      </c>
      <c r="D159" s="21">
        <v>159300</v>
      </c>
      <c r="E159" s="22">
        <f t="shared" si="5"/>
        <v>346.15384615384619</v>
      </c>
      <c r="F159" s="2"/>
      <c r="G159" s="2"/>
    </row>
    <row r="160" spans="1:7" x14ac:dyDescent="0.2">
      <c r="A160" s="35" t="s">
        <v>19</v>
      </c>
      <c r="B160" s="55">
        <f>SUM(B156:B159)</f>
        <v>6621233</v>
      </c>
      <c r="C160" s="24">
        <f>SUM(C156:C159)</f>
        <v>6621233</v>
      </c>
      <c r="D160" s="25">
        <f>SUM(D156:D159)</f>
        <v>6938190</v>
      </c>
      <c r="E160" s="38">
        <f t="shared" si="5"/>
        <v>104.78697849781152</v>
      </c>
      <c r="F160" s="2"/>
      <c r="G160" s="2"/>
    </row>
    <row r="161" spans="1:7" x14ac:dyDescent="0.2">
      <c r="A161" s="35"/>
      <c r="B161" s="55"/>
      <c r="C161" s="24"/>
      <c r="D161" s="21"/>
      <c r="E161" s="22"/>
      <c r="F161" s="2"/>
      <c r="G161" s="2"/>
    </row>
    <row r="162" spans="1:7" x14ac:dyDescent="0.2">
      <c r="A162" s="20" t="s">
        <v>20</v>
      </c>
      <c r="B162" s="32">
        <v>10000</v>
      </c>
      <c r="C162" s="33">
        <v>10000</v>
      </c>
      <c r="D162" s="21">
        <v>1339</v>
      </c>
      <c r="E162" s="22">
        <f t="shared" si="5"/>
        <v>13.389999999999999</v>
      </c>
      <c r="F162" s="2"/>
      <c r="G162" s="2"/>
    </row>
    <row r="163" spans="1:7" x14ac:dyDescent="0.2">
      <c r="A163" s="39" t="s">
        <v>24</v>
      </c>
      <c r="B163" s="37">
        <f>SUM(B162:B162)</f>
        <v>10000</v>
      </c>
      <c r="C163" s="37">
        <f>SUM(C162:C162)</f>
        <v>10000</v>
      </c>
      <c r="D163" s="25">
        <f>SUM(D162)</f>
        <v>1339</v>
      </c>
      <c r="E163" s="38">
        <f t="shared" si="5"/>
        <v>13.389999999999999</v>
      </c>
      <c r="F163" s="2"/>
      <c r="G163" s="2"/>
    </row>
    <row r="164" spans="1:7" x14ac:dyDescent="0.2">
      <c r="A164" s="20" t="s">
        <v>22</v>
      </c>
      <c r="B164" s="33">
        <f>60000-10000</f>
        <v>50000</v>
      </c>
      <c r="C164" s="33">
        <f>60000-10000</f>
        <v>50000</v>
      </c>
      <c r="D164" s="21"/>
      <c r="E164" s="22">
        <f t="shared" si="5"/>
        <v>0</v>
      </c>
      <c r="F164" s="2"/>
      <c r="G164" s="2"/>
    </row>
    <row r="165" spans="1:7" x14ac:dyDescent="0.2">
      <c r="A165" s="20" t="s">
        <v>66</v>
      </c>
      <c r="B165" s="33">
        <v>30000</v>
      </c>
      <c r="C165" s="33">
        <v>30000</v>
      </c>
      <c r="D165" s="21"/>
      <c r="E165" s="22">
        <f t="shared" si="5"/>
        <v>0</v>
      </c>
      <c r="F165" s="2"/>
      <c r="G165" s="2"/>
    </row>
    <row r="166" spans="1:7" x14ac:dyDescent="0.2">
      <c r="A166" s="20" t="s">
        <v>46</v>
      </c>
      <c r="B166" s="33">
        <v>400000</v>
      </c>
      <c r="C166" s="33">
        <v>400000</v>
      </c>
      <c r="D166" s="21"/>
      <c r="E166" s="22">
        <f t="shared" si="5"/>
        <v>0</v>
      </c>
      <c r="F166" s="2"/>
      <c r="G166" s="2"/>
    </row>
    <row r="167" spans="1:7" x14ac:dyDescent="0.2">
      <c r="A167" s="20" t="s">
        <v>23</v>
      </c>
      <c r="B167" s="33">
        <f>2800000-200000</f>
        <v>2600000</v>
      </c>
      <c r="C167" s="33">
        <f>2800000-200000</f>
        <v>2600000</v>
      </c>
      <c r="D167" s="21">
        <v>5275214</v>
      </c>
      <c r="E167" s="22">
        <f t="shared" si="5"/>
        <v>202.89284615384616</v>
      </c>
      <c r="F167" s="2"/>
      <c r="G167" s="2"/>
    </row>
    <row r="168" spans="1:7" x14ac:dyDescent="0.2">
      <c r="A168" s="39" t="s">
        <v>40</v>
      </c>
      <c r="B168" s="37">
        <f>SUM(B164:B167)</f>
        <v>3080000</v>
      </c>
      <c r="C168" s="37">
        <f>SUM(C164:C167)</f>
        <v>3080000</v>
      </c>
      <c r="D168" s="25">
        <f>SUM(D164:D167)</f>
        <v>5275214</v>
      </c>
      <c r="E168" s="38">
        <f t="shared" si="5"/>
        <v>171.2731818181818</v>
      </c>
      <c r="F168" s="2"/>
      <c r="G168" s="2"/>
    </row>
    <row r="169" spans="1:7" x14ac:dyDescent="0.2">
      <c r="A169" s="40" t="s">
        <v>25</v>
      </c>
      <c r="B169" s="33">
        <v>290000</v>
      </c>
      <c r="C169" s="33">
        <v>290000</v>
      </c>
      <c r="D169" s="21">
        <v>268800</v>
      </c>
      <c r="E169" s="22">
        <f t="shared" si="5"/>
        <v>92.689655172413794</v>
      </c>
      <c r="F169" s="2"/>
      <c r="G169" s="2"/>
    </row>
    <row r="170" spans="1:7" x14ac:dyDescent="0.2">
      <c r="A170" s="23" t="s">
        <v>26</v>
      </c>
      <c r="B170" s="37">
        <f>SUM(B169:B169)</f>
        <v>290000</v>
      </c>
      <c r="C170" s="37">
        <f>SUM(C169:C169)</f>
        <v>290000</v>
      </c>
      <c r="D170" s="25">
        <f>SUM(D169)</f>
        <v>268800</v>
      </c>
      <c r="E170" s="38">
        <f t="shared" si="5"/>
        <v>92.689655172413794</v>
      </c>
      <c r="F170" s="2"/>
      <c r="G170" s="2"/>
    </row>
    <row r="171" spans="1:7" x14ac:dyDescent="0.2">
      <c r="A171" s="34" t="s">
        <v>27</v>
      </c>
      <c r="B171" s="33">
        <f>1089000+2385000+800000-1000000-1100000-100000</f>
        <v>2074000</v>
      </c>
      <c r="C171" s="33">
        <f>1089000+2385000+800000-1000000-1100000-100000</f>
        <v>2074000</v>
      </c>
      <c r="D171" s="21">
        <v>1172680</v>
      </c>
      <c r="E171" s="22">
        <f t="shared" si="5"/>
        <v>56.541947926711664</v>
      </c>
      <c r="F171" s="2"/>
      <c r="G171" s="2"/>
    </row>
    <row r="172" spans="1:7" x14ac:dyDescent="0.2">
      <c r="A172" s="20" t="s">
        <v>9</v>
      </c>
      <c r="B172" s="33">
        <f>10000000-100000</f>
        <v>9900000</v>
      </c>
      <c r="C172" s="33">
        <f>10000000-100000</f>
        <v>9900000</v>
      </c>
      <c r="D172" s="21">
        <v>10805681</v>
      </c>
      <c r="E172" s="22">
        <f t="shared" si="5"/>
        <v>109.14829292929294</v>
      </c>
      <c r="F172" s="2"/>
      <c r="G172" s="2"/>
    </row>
    <row r="173" spans="1:7" x14ac:dyDescent="0.2">
      <c r="A173" s="20" t="s">
        <v>28</v>
      </c>
      <c r="B173" s="33">
        <f>2200000-50000</f>
        <v>2150000</v>
      </c>
      <c r="C173" s="33">
        <f>2200000-50000</f>
        <v>2150000</v>
      </c>
      <c r="D173" s="21">
        <f>14338411-D171-D172</f>
        <v>2360050</v>
      </c>
      <c r="E173" s="22">
        <f t="shared" si="5"/>
        <v>109.76976744186047</v>
      </c>
      <c r="F173" s="2"/>
      <c r="G173" s="2"/>
    </row>
    <row r="174" spans="1:7" x14ac:dyDescent="0.2">
      <c r="A174" s="23" t="s">
        <v>11</v>
      </c>
      <c r="B174" s="37">
        <f>SUM(B171:B173)</f>
        <v>14124000</v>
      </c>
      <c r="C174" s="37">
        <f>SUM(C171:C173)</f>
        <v>14124000</v>
      </c>
      <c r="D174" s="25">
        <f>SUM(D171:D173)</f>
        <v>14338411</v>
      </c>
      <c r="E174" s="38">
        <f t="shared" si="5"/>
        <v>101.51806145567828</v>
      </c>
      <c r="F174" s="2"/>
      <c r="G174" s="2"/>
    </row>
    <row r="175" spans="1:7" x14ac:dyDescent="0.2">
      <c r="A175" s="20" t="s">
        <v>29</v>
      </c>
      <c r="B175" s="33">
        <v>3700000</v>
      </c>
      <c r="C175" s="33">
        <f>3700000+1426000</f>
        <v>5126000</v>
      </c>
      <c r="D175" s="21">
        <v>3578662</v>
      </c>
      <c r="E175" s="22">
        <f t="shared" si="5"/>
        <v>69.813928989465467</v>
      </c>
      <c r="F175" s="2"/>
      <c r="G175" s="2"/>
    </row>
    <row r="176" spans="1:7" x14ac:dyDescent="0.2">
      <c r="A176" s="20" t="s">
        <v>30</v>
      </c>
      <c r="B176" s="33">
        <v>600000</v>
      </c>
      <c r="C176" s="33">
        <v>600000</v>
      </c>
      <c r="D176" s="21">
        <v>1403200</v>
      </c>
      <c r="E176" s="22">
        <f t="shared" si="5"/>
        <v>233.86666666666667</v>
      </c>
      <c r="F176" s="2"/>
      <c r="G176" s="2"/>
    </row>
    <row r="177" spans="1:7" x14ac:dyDescent="0.2">
      <c r="A177" s="20" t="s">
        <v>67</v>
      </c>
      <c r="B177" s="33">
        <v>800000</v>
      </c>
      <c r="C177" s="33">
        <v>800000</v>
      </c>
      <c r="D177" s="21">
        <v>961606</v>
      </c>
      <c r="E177" s="22">
        <f t="shared" si="5"/>
        <v>120.20074999999999</v>
      </c>
      <c r="F177" s="2"/>
      <c r="G177" s="2"/>
    </row>
    <row r="178" spans="1:7" x14ac:dyDescent="0.2">
      <c r="A178" s="20" t="s">
        <v>68</v>
      </c>
      <c r="B178" s="33"/>
      <c r="C178" s="33">
        <v>3500</v>
      </c>
      <c r="D178" s="21">
        <v>3500</v>
      </c>
      <c r="E178" s="22">
        <f t="shared" si="5"/>
        <v>100</v>
      </c>
      <c r="F178" s="2"/>
      <c r="G178" s="2"/>
    </row>
    <row r="179" spans="1:7" x14ac:dyDescent="0.2">
      <c r="A179" s="23" t="s">
        <v>32</v>
      </c>
      <c r="B179" s="37">
        <f>SUM(B175:B177)</f>
        <v>5100000</v>
      </c>
      <c r="C179" s="37">
        <f>SUM(C175:C178)</f>
        <v>6529500</v>
      </c>
      <c r="D179" s="25">
        <f>SUM(D175:D178)</f>
        <v>5946968</v>
      </c>
      <c r="E179" s="38">
        <f t="shared" si="5"/>
        <v>91.078459300099553</v>
      </c>
      <c r="F179" s="2"/>
      <c r="G179" s="2"/>
    </row>
    <row r="180" spans="1:7" x14ac:dyDescent="0.2">
      <c r="A180" s="34" t="s">
        <v>69</v>
      </c>
      <c r="B180" s="33">
        <v>30000</v>
      </c>
      <c r="C180" s="33">
        <v>30000</v>
      </c>
      <c r="D180" s="21">
        <v>13650</v>
      </c>
      <c r="E180" s="22">
        <f t="shared" si="5"/>
        <v>45.5</v>
      </c>
      <c r="F180" s="2"/>
      <c r="G180" s="2"/>
    </row>
    <row r="181" spans="1:7" x14ac:dyDescent="0.2">
      <c r="A181" s="34" t="s">
        <v>70</v>
      </c>
      <c r="B181" s="33">
        <v>800000</v>
      </c>
      <c r="C181" s="33">
        <v>800000</v>
      </c>
      <c r="D181" s="21">
        <v>704044</v>
      </c>
      <c r="E181" s="22">
        <f t="shared" si="5"/>
        <v>88.005499999999998</v>
      </c>
      <c r="F181" s="2"/>
      <c r="G181" s="2"/>
    </row>
    <row r="182" spans="1:7" x14ac:dyDescent="0.2">
      <c r="A182" s="20" t="s">
        <v>10</v>
      </c>
      <c r="B182" s="33">
        <f>(B162+B164+B165+B166+B167+B169+B172+B173+B175+B176+B177+B171)*0.27</f>
        <v>6103080</v>
      </c>
      <c r="C182" s="33">
        <f>(C162+C164+C165+C166+C167+C169+C172+C173+C175+C176+C177+C171)*0.27+945</f>
        <v>6489045</v>
      </c>
      <c r="D182" s="21">
        <v>6544151</v>
      </c>
      <c r="E182" s="22">
        <f t="shared" si="5"/>
        <v>100.84921587074831</v>
      </c>
      <c r="F182" s="2"/>
      <c r="G182" s="2"/>
    </row>
    <row r="183" spans="1:7" x14ac:dyDescent="0.2">
      <c r="A183" s="39" t="s">
        <v>34</v>
      </c>
      <c r="B183" s="37">
        <f>SUM(B180:B182)</f>
        <v>6933080</v>
      </c>
      <c r="C183" s="37">
        <f>SUM(C180:C182)</f>
        <v>7319045</v>
      </c>
      <c r="D183" s="25">
        <f>SUM(D180:D182)</f>
        <v>7261845</v>
      </c>
      <c r="E183" s="38">
        <f t="shared" si="5"/>
        <v>99.218477274015939</v>
      </c>
      <c r="F183" s="2"/>
      <c r="G183" s="2"/>
    </row>
    <row r="184" spans="1:7" x14ac:dyDescent="0.2">
      <c r="A184" s="27" t="s">
        <v>12</v>
      </c>
      <c r="B184" s="37">
        <f>B163+B168+B170+B174+B179+B183</f>
        <v>29537080</v>
      </c>
      <c r="C184" s="37">
        <f>C163+C168+C170+C174+C179+C183</f>
        <v>31352545</v>
      </c>
      <c r="D184" s="25">
        <f>D163+D168+D170+D174+D179+D183</f>
        <v>33092577</v>
      </c>
      <c r="E184" s="38">
        <f t="shared" si="5"/>
        <v>105.54989076644337</v>
      </c>
      <c r="F184" s="2"/>
      <c r="G184" s="2"/>
    </row>
    <row r="185" spans="1:7" x14ac:dyDescent="0.2">
      <c r="A185" s="28" t="s">
        <v>13</v>
      </c>
      <c r="B185" s="56">
        <f>B154+B160+B184</f>
        <v>68570513</v>
      </c>
      <c r="C185" s="56">
        <f>C154+C160+C184</f>
        <v>70385978</v>
      </c>
      <c r="D185" s="25">
        <f>D154+D160+D184</f>
        <v>74842171</v>
      </c>
      <c r="E185" s="38">
        <f t="shared" si="5"/>
        <v>106.33108060244614</v>
      </c>
      <c r="F185" s="2"/>
      <c r="G185" s="2"/>
    </row>
    <row r="186" spans="1:7" x14ac:dyDescent="0.2">
      <c r="A186" s="28"/>
      <c r="B186" s="28"/>
      <c r="C186" s="56"/>
      <c r="D186" s="3"/>
      <c r="E186" s="3"/>
      <c r="F186" s="2"/>
      <c r="G186" s="2"/>
    </row>
    <row r="187" spans="1:7" x14ac:dyDescent="0.2">
      <c r="A187" s="57" t="s">
        <v>71</v>
      </c>
      <c r="B187" s="57"/>
      <c r="C187" s="57"/>
      <c r="D187" s="57"/>
      <c r="E187" s="57"/>
      <c r="F187" s="2"/>
      <c r="G187" s="2"/>
    </row>
    <row r="188" spans="1:7" x14ac:dyDescent="0.2">
      <c r="A188" s="28"/>
      <c r="B188" s="28"/>
      <c r="C188" s="24"/>
      <c r="D188" s="3"/>
      <c r="E188" s="3"/>
      <c r="F188" s="2"/>
      <c r="G188" s="2"/>
    </row>
    <row r="189" spans="1:7" ht="15" customHeight="1" x14ac:dyDescent="0.2">
      <c r="A189" s="51" t="s">
        <v>72</v>
      </c>
      <c r="B189" s="52"/>
      <c r="C189" s="52"/>
      <c r="D189" s="52"/>
      <c r="E189" s="53"/>
      <c r="F189" s="2"/>
      <c r="G189" s="2"/>
    </row>
    <row r="190" spans="1:7" x14ac:dyDescent="0.2">
      <c r="A190" s="31"/>
      <c r="B190" s="31"/>
      <c r="C190" s="48"/>
      <c r="D190" s="3"/>
      <c r="E190" s="3"/>
      <c r="F190" s="2"/>
      <c r="G190" s="2"/>
    </row>
    <row r="191" spans="1:7" ht="22.5" x14ac:dyDescent="0.2">
      <c r="A191" s="58" t="s">
        <v>73</v>
      </c>
      <c r="B191" s="32">
        <v>15903522</v>
      </c>
      <c r="C191" s="33">
        <v>15903522</v>
      </c>
      <c r="D191" s="21">
        <v>16074912</v>
      </c>
      <c r="E191" s="59">
        <f>D191/C191*100</f>
        <v>101.07768581072796</v>
      </c>
      <c r="F191" s="2"/>
      <c r="G191" s="2"/>
    </row>
    <row r="192" spans="1:7" x14ac:dyDescent="0.2">
      <c r="A192" s="34" t="s">
        <v>74</v>
      </c>
      <c r="B192" s="32">
        <v>149009</v>
      </c>
      <c r="C192" s="33">
        <v>149009</v>
      </c>
      <c r="D192" s="21"/>
      <c r="E192" s="59">
        <f t="shared" ref="E192:E218" si="6">D192/C192*100</f>
        <v>0</v>
      </c>
      <c r="F192" s="2"/>
      <c r="G192" s="2"/>
    </row>
    <row r="193" spans="1:7" x14ac:dyDescent="0.2">
      <c r="A193" s="34" t="s">
        <v>75</v>
      </c>
      <c r="B193" s="32">
        <v>9022</v>
      </c>
      <c r="C193" s="33">
        <v>1242005</v>
      </c>
      <c r="D193" s="21">
        <v>1242005</v>
      </c>
      <c r="E193" s="59">
        <f t="shared" si="6"/>
        <v>100</v>
      </c>
      <c r="F193" s="2"/>
      <c r="G193" s="2"/>
    </row>
    <row r="194" spans="1:7" x14ac:dyDescent="0.2">
      <c r="A194" s="34" t="s">
        <v>61</v>
      </c>
      <c r="B194" s="32">
        <v>85211</v>
      </c>
      <c r="C194" s="33">
        <v>9022</v>
      </c>
      <c r="D194" s="21"/>
      <c r="E194" s="59">
        <f t="shared" si="6"/>
        <v>0</v>
      </c>
      <c r="F194" s="2"/>
      <c r="G194" s="2"/>
    </row>
    <row r="195" spans="1:7" x14ac:dyDescent="0.2">
      <c r="A195" s="34" t="s">
        <v>16</v>
      </c>
      <c r="B195" s="32"/>
      <c r="C195" s="33">
        <f>85211+20000</f>
        <v>105211</v>
      </c>
      <c r="D195" s="21">
        <v>485506</v>
      </c>
      <c r="E195" s="59">
        <f t="shared" si="6"/>
        <v>461.45935310946572</v>
      </c>
      <c r="F195" s="2"/>
      <c r="G195" s="2"/>
    </row>
    <row r="196" spans="1:7" x14ac:dyDescent="0.2">
      <c r="A196" s="35" t="s">
        <v>17</v>
      </c>
      <c r="B196" s="36">
        <f>SUM(B191:B194)</f>
        <v>16146764</v>
      </c>
      <c r="C196" s="37">
        <f>SUM(C191:C195)</f>
        <v>17408769</v>
      </c>
      <c r="D196" s="25">
        <f>SUM(D191:D195)</f>
        <v>17802423</v>
      </c>
      <c r="E196" s="60">
        <f t="shared" si="6"/>
        <v>102.26123972349797</v>
      </c>
      <c r="F196" s="2"/>
      <c r="G196" s="2"/>
    </row>
    <row r="197" spans="1:7" x14ac:dyDescent="0.2">
      <c r="A197" s="35"/>
      <c r="B197" s="36"/>
      <c r="C197" s="37"/>
      <c r="D197" s="21"/>
      <c r="E197" s="59"/>
      <c r="F197" s="2"/>
      <c r="G197" s="2"/>
    </row>
    <row r="198" spans="1:7" x14ac:dyDescent="0.2">
      <c r="A198" s="35"/>
      <c r="B198" s="36"/>
      <c r="C198" s="37"/>
      <c r="D198" s="21"/>
      <c r="E198" s="59"/>
      <c r="F198" s="2"/>
      <c r="G198" s="2"/>
    </row>
    <row r="199" spans="1:7" x14ac:dyDescent="0.2">
      <c r="A199" s="20" t="s">
        <v>18</v>
      </c>
      <c r="B199" s="32">
        <v>3152305</v>
      </c>
      <c r="C199" s="33">
        <f>3152305+242191-20000</f>
        <v>3374496</v>
      </c>
      <c r="D199" s="21">
        <v>3136004</v>
      </c>
      <c r="E199" s="59">
        <f t="shared" si="6"/>
        <v>92.932514959270947</v>
      </c>
      <c r="F199" s="2"/>
      <c r="G199" s="2"/>
    </row>
    <row r="200" spans="1:7" x14ac:dyDescent="0.2">
      <c r="A200" s="20" t="s">
        <v>44</v>
      </c>
      <c r="B200" s="32">
        <v>34287</v>
      </c>
      <c r="C200" s="33">
        <v>34287</v>
      </c>
      <c r="D200" s="21">
        <v>163607</v>
      </c>
      <c r="E200" s="59">
        <f t="shared" si="6"/>
        <v>477.16918948872751</v>
      </c>
      <c r="F200" s="2"/>
      <c r="G200" s="2"/>
    </row>
    <row r="201" spans="1:7" x14ac:dyDescent="0.2">
      <c r="A201" s="20" t="s">
        <v>65</v>
      </c>
      <c r="B201" s="32">
        <v>26375</v>
      </c>
      <c r="C201" s="33">
        <v>26375</v>
      </c>
      <c r="D201" s="21">
        <v>26375</v>
      </c>
      <c r="E201" s="59">
        <f t="shared" si="6"/>
        <v>100</v>
      </c>
      <c r="F201" s="2"/>
      <c r="G201" s="2"/>
    </row>
    <row r="202" spans="1:7" x14ac:dyDescent="0.2">
      <c r="A202" s="35" t="s">
        <v>19</v>
      </c>
      <c r="B202" s="36">
        <f>SUM(B199:B201)</f>
        <v>3212967</v>
      </c>
      <c r="C202" s="37">
        <f>SUM(C199:C201)</f>
        <v>3435158</v>
      </c>
      <c r="D202" s="25">
        <f>SUM(D199:D201)</f>
        <v>3325986</v>
      </c>
      <c r="E202" s="60">
        <f t="shared" si="6"/>
        <v>96.821922019307408</v>
      </c>
      <c r="F202" s="2"/>
      <c r="G202" s="2"/>
    </row>
    <row r="203" spans="1:7" x14ac:dyDescent="0.2">
      <c r="A203" s="61"/>
      <c r="B203" s="9"/>
      <c r="C203" s="3"/>
      <c r="D203" s="21"/>
      <c r="E203" s="59"/>
      <c r="F203" s="2"/>
      <c r="G203" s="2"/>
    </row>
    <row r="204" spans="1:7" x14ac:dyDescent="0.2">
      <c r="A204" s="20" t="s">
        <v>23</v>
      </c>
      <c r="B204" s="33">
        <v>120000</v>
      </c>
      <c r="C204" s="33">
        <v>120000</v>
      </c>
      <c r="D204" s="21">
        <v>412082</v>
      </c>
      <c r="E204" s="59">
        <f t="shared" si="6"/>
        <v>343.40166666666664</v>
      </c>
      <c r="F204" s="2"/>
      <c r="G204" s="2"/>
    </row>
    <row r="205" spans="1:7" x14ac:dyDescent="0.2">
      <c r="A205" s="20" t="s">
        <v>76</v>
      </c>
      <c r="B205" s="33">
        <f>300000+2805000</f>
        <v>3105000</v>
      </c>
      <c r="C205" s="33">
        <f>300000+2805000</f>
        <v>3105000</v>
      </c>
      <c r="D205" s="21">
        <f>3244068</f>
        <v>3244068</v>
      </c>
      <c r="E205" s="59">
        <f t="shared" si="6"/>
        <v>104.47884057971015</v>
      </c>
      <c r="F205" s="2"/>
      <c r="G205" s="2"/>
    </row>
    <row r="206" spans="1:7" x14ac:dyDescent="0.2">
      <c r="A206" s="20" t="s">
        <v>77</v>
      </c>
      <c r="B206" s="33">
        <v>3300000</v>
      </c>
      <c r="C206" s="33">
        <f>3300000+4687402+350000</f>
        <v>8337402</v>
      </c>
      <c r="D206" s="21">
        <f>66000+2866025</f>
        <v>2932025</v>
      </c>
      <c r="E206" s="59">
        <f t="shared" si="6"/>
        <v>35.16713000044858</v>
      </c>
      <c r="F206" s="2"/>
      <c r="G206" s="2"/>
    </row>
    <row r="207" spans="1:7" x14ac:dyDescent="0.2">
      <c r="A207" s="23" t="s">
        <v>32</v>
      </c>
      <c r="B207" s="36">
        <f>SUM(B204:B206)</f>
        <v>6525000</v>
      </c>
      <c r="C207" s="37">
        <f>SUM(C204:C206)</f>
        <v>11562402</v>
      </c>
      <c r="D207" s="25">
        <f>SUM(D204:D206)</f>
        <v>6588175</v>
      </c>
      <c r="E207" s="60">
        <f t="shared" si="6"/>
        <v>56.979293748824858</v>
      </c>
      <c r="F207" s="2"/>
      <c r="G207" s="2"/>
    </row>
    <row r="208" spans="1:7" x14ac:dyDescent="0.2">
      <c r="A208" s="20" t="s">
        <v>10</v>
      </c>
      <c r="B208" s="33">
        <f>(B205+B204)*0.27+100000</f>
        <v>970750</v>
      </c>
      <c r="C208" s="33">
        <f>(C205+C204)*0.27+100000+1265599+94500+144000</f>
        <v>2474849</v>
      </c>
      <c r="D208" s="21">
        <v>898277</v>
      </c>
      <c r="E208" s="59">
        <f t="shared" si="6"/>
        <v>36.296234638961813</v>
      </c>
      <c r="F208" s="2"/>
      <c r="G208" s="2"/>
    </row>
    <row r="209" spans="1:7" x14ac:dyDescent="0.2">
      <c r="A209" s="20" t="s">
        <v>78</v>
      </c>
      <c r="B209" s="49">
        <v>151200</v>
      </c>
      <c r="C209" s="21">
        <f>151200+159449</f>
        <v>310649</v>
      </c>
      <c r="D209" s="21">
        <v>0</v>
      </c>
      <c r="E209" s="59">
        <f t="shared" si="6"/>
        <v>0</v>
      </c>
      <c r="F209" s="2"/>
      <c r="G209" s="2"/>
    </row>
    <row r="210" spans="1:7" x14ac:dyDescent="0.2">
      <c r="A210" s="62" t="s">
        <v>79</v>
      </c>
      <c r="B210" s="33">
        <v>9100000</v>
      </c>
      <c r="C210" s="33">
        <v>9100000</v>
      </c>
      <c r="D210" s="21">
        <v>8812951</v>
      </c>
      <c r="E210" s="59">
        <f t="shared" si="6"/>
        <v>96.845615384615385</v>
      </c>
      <c r="F210" s="2"/>
      <c r="G210" s="2"/>
    </row>
    <row r="211" spans="1:7" x14ac:dyDescent="0.2">
      <c r="A211" s="20" t="s">
        <v>80</v>
      </c>
      <c r="B211" s="33">
        <f>500000+500000</f>
        <v>1000000</v>
      </c>
      <c r="C211" s="33">
        <f>500000+500000</f>
        <v>1000000</v>
      </c>
      <c r="D211" s="21">
        <v>1019957</v>
      </c>
      <c r="E211" s="59">
        <f t="shared" si="6"/>
        <v>101.9957</v>
      </c>
      <c r="F211" s="2"/>
      <c r="G211" s="2"/>
    </row>
    <row r="212" spans="1:7" x14ac:dyDescent="0.2">
      <c r="A212" s="20" t="s">
        <v>81</v>
      </c>
      <c r="B212" s="33">
        <v>210000</v>
      </c>
      <c r="C212" s="33">
        <v>210000</v>
      </c>
      <c r="D212" s="21">
        <v>134273</v>
      </c>
      <c r="E212" s="59">
        <f t="shared" si="6"/>
        <v>63.939523809523813</v>
      </c>
      <c r="F212" s="2"/>
      <c r="G212" s="2"/>
    </row>
    <row r="213" spans="1:7" x14ac:dyDescent="0.2">
      <c r="A213" s="20" t="s">
        <v>82</v>
      </c>
      <c r="B213" s="33"/>
      <c r="C213" s="33">
        <v>632887</v>
      </c>
      <c r="D213" s="21"/>
      <c r="E213" s="59">
        <f t="shared" si="6"/>
        <v>0</v>
      </c>
      <c r="F213" s="2"/>
      <c r="G213" s="2"/>
    </row>
    <row r="214" spans="1:7" x14ac:dyDescent="0.2">
      <c r="A214" s="39" t="s">
        <v>34</v>
      </c>
      <c r="B214" s="37">
        <f>SUM(B208:B212)</f>
        <v>11431950</v>
      </c>
      <c r="C214" s="37">
        <f>SUM(C208:C213)</f>
        <v>13728385</v>
      </c>
      <c r="D214" s="25">
        <f>SUM(D208:D213)</f>
        <v>10865458</v>
      </c>
      <c r="E214" s="60">
        <f t="shared" si="6"/>
        <v>79.145930129436209</v>
      </c>
      <c r="F214" s="2"/>
      <c r="G214" s="2"/>
    </row>
    <row r="215" spans="1:7" x14ac:dyDescent="0.2">
      <c r="A215" s="39"/>
      <c r="B215" s="24"/>
      <c r="C215" s="24"/>
      <c r="D215" s="25"/>
      <c r="E215" s="60"/>
      <c r="F215" s="2"/>
      <c r="G215" s="2"/>
    </row>
    <row r="216" spans="1:7" x14ac:dyDescent="0.2">
      <c r="A216" s="27" t="s">
        <v>12</v>
      </c>
      <c r="B216" s="63">
        <f>B214+B207</f>
        <v>17956950</v>
      </c>
      <c r="C216" s="63">
        <f>C214+C207</f>
        <v>25290787</v>
      </c>
      <c r="D216" s="25">
        <f>D207+D214</f>
        <v>17453633</v>
      </c>
      <c r="E216" s="60">
        <f t="shared" si="6"/>
        <v>69.011822368358878</v>
      </c>
      <c r="F216" s="2"/>
      <c r="G216" s="2"/>
    </row>
    <row r="217" spans="1:7" x14ac:dyDescent="0.2">
      <c r="A217" s="27"/>
      <c r="B217" s="63"/>
      <c r="C217" s="63"/>
      <c r="D217" s="25"/>
      <c r="E217" s="60"/>
      <c r="F217" s="2"/>
      <c r="G217" s="2"/>
    </row>
    <row r="218" spans="1:7" x14ac:dyDescent="0.2">
      <c r="A218" s="28" t="s">
        <v>13</v>
      </c>
      <c r="B218" s="63">
        <f>B216+B196+B202</f>
        <v>37316681</v>
      </c>
      <c r="C218" s="63">
        <f>C216+C196+C202</f>
        <v>46134714</v>
      </c>
      <c r="D218" s="25">
        <f>D196+D202+D216</f>
        <v>38582042</v>
      </c>
      <c r="E218" s="60">
        <f t="shared" si="6"/>
        <v>83.629091100467207</v>
      </c>
      <c r="F218" s="2"/>
      <c r="G218" s="2"/>
    </row>
    <row r="219" spans="1:7" x14ac:dyDescent="0.2">
      <c r="A219" s="28"/>
      <c r="B219" s="27"/>
      <c r="C219" s="63"/>
      <c r="D219" s="3"/>
      <c r="E219" s="3"/>
      <c r="F219" s="2"/>
      <c r="G219" s="2"/>
    </row>
    <row r="220" spans="1:7" x14ac:dyDescent="0.2">
      <c r="A220" s="28"/>
      <c r="B220" s="27"/>
      <c r="C220" s="63"/>
      <c r="D220" s="3"/>
      <c r="E220" s="3"/>
      <c r="F220" s="2"/>
      <c r="G220" s="2"/>
    </row>
    <row r="221" spans="1:7" x14ac:dyDescent="0.2">
      <c r="A221" s="28"/>
      <c r="B221" s="27"/>
      <c r="C221" s="63"/>
      <c r="D221" s="3"/>
      <c r="E221" s="3"/>
      <c r="F221" s="2"/>
      <c r="G221" s="2"/>
    </row>
    <row r="222" spans="1:7" x14ac:dyDescent="0.2">
      <c r="A222" s="28"/>
      <c r="B222" s="27"/>
      <c r="C222" s="63"/>
      <c r="D222" s="3"/>
      <c r="E222" s="3"/>
      <c r="F222" s="2"/>
      <c r="G222" s="2"/>
    </row>
    <row r="223" spans="1:7" x14ac:dyDescent="0.2">
      <c r="A223" s="28"/>
      <c r="B223" s="27"/>
      <c r="C223" s="63"/>
      <c r="D223" s="3"/>
      <c r="E223" s="3"/>
      <c r="F223" s="2"/>
      <c r="G223" s="2"/>
    </row>
    <row r="224" spans="1:7" x14ac:dyDescent="0.2">
      <c r="A224" s="64" t="s">
        <v>83</v>
      </c>
      <c r="B224" s="65"/>
      <c r="C224" s="65"/>
      <c r="D224" s="65"/>
      <c r="E224" s="66"/>
      <c r="F224" s="2"/>
      <c r="G224" s="2"/>
    </row>
    <row r="225" spans="1:7" x14ac:dyDescent="0.2">
      <c r="A225" s="28"/>
      <c r="B225" s="28"/>
      <c r="C225" s="63"/>
      <c r="D225" s="3"/>
      <c r="E225" s="3"/>
      <c r="F225" s="2"/>
      <c r="G225" s="2"/>
    </row>
    <row r="226" spans="1:7" x14ac:dyDescent="0.2">
      <c r="A226" s="20" t="s">
        <v>23</v>
      </c>
      <c r="B226" s="20"/>
      <c r="C226" s="67">
        <f>416142+277200-62280</f>
        <v>631062</v>
      </c>
      <c r="D226" s="21">
        <v>362473</v>
      </c>
      <c r="E226" s="59">
        <f>D226/C226*100</f>
        <v>57.438571804355199</v>
      </c>
      <c r="F226" s="2"/>
      <c r="G226" s="2"/>
    </row>
    <row r="227" spans="1:7" x14ac:dyDescent="0.2">
      <c r="A227" s="20" t="s">
        <v>49</v>
      </c>
      <c r="B227" s="20"/>
      <c r="C227" s="67"/>
      <c r="D227" s="21">
        <v>78300</v>
      </c>
      <c r="E227" s="59"/>
      <c r="F227" s="2"/>
      <c r="G227" s="2"/>
    </row>
    <row r="228" spans="1:7" x14ac:dyDescent="0.2">
      <c r="A228" s="20" t="s">
        <v>84</v>
      </c>
      <c r="B228" s="20"/>
      <c r="C228" s="67"/>
      <c r="D228" s="21">
        <v>153298</v>
      </c>
      <c r="E228" s="59"/>
      <c r="F228" s="2"/>
      <c r="G228" s="2"/>
    </row>
    <row r="229" spans="1:7" x14ac:dyDescent="0.2">
      <c r="A229" s="39" t="s">
        <v>40</v>
      </c>
      <c r="B229" s="39"/>
      <c r="C229" s="63">
        <f>C226</f>
        <v>631062</v>
      </c>
      <c r="D229" s="25">
        <f>SUM(D226:D228)</f>
        <v>594071</v>
      </c>
      <c r="E229" s="60">
        <f>D229/C229*100</f>
        <v>94.13829386019124</v>
      </c>
      <c r="F229" s="2"/>
      <c r="G229" s="2"/>
    </row>
    <row r="230" spans="1:7" x14ac:dyDescent="0.2">
      <c r="A230" s="20" t="s">
        <v>78</v>
      </c>
      <c r="B230" s="20"/>
      <c r="C230" s="67">
        <f>112358+74844-16815</f>
        <v>170387</v>
      </c>
      <c r="D230" s="21">
        <v>128554</v>
      </c>
      <c r="E230" s="59">
        <f>D230/C230*100</f>
        <v>75.448244290937694</v>
      </c>
      <c r="F230" s="2"/>
      <c r="G230" s="2"/>
    </row>
    <row r="231" spans="1:7" x14ac:dyDescent="0.2">
      <c r="A231" s="39" t="s">
        <v>34</v>
      </c>
      <c r="B231" s="39"/>
      <c r="C231" s="63">
        <f>C230</f>
        <v>170387</v>
      </c>
      <c r="D231" s="25">
        <f>SUM(D230)</f>
        <v>128554</v>
      </c>
      <c r="E231" s="60">
        <f>D231/C231*100</f>
        <v>75.448244290937694</v>
      </c>
      <c r="F231" s="2"/>
      <c r="G231" s="2"/>
    </row>
    <row r="232" spans="1:7" x14ac:dyDescent="0.2">
      <c r="A232" s="27" t="s">
        <v>12</v>
      </c>
      <c r="B232" s="27"/>
      <c r="C232" s="63">
        <f>C231+C229</f>
        <v>801449</v>
      </c>
      <c r="D232" s="25">
        <f>D229+D231</f>
        <v>722625</v>
      </c>
      <c r="E232" s="60">
        <f>D232/C232*100</f>
        <v>90.164813980677494</v>
      </c>
      <c r="F232" s="2"/>
      <c r="G232" s="2"/>
    </row>
    <row r="233" spans="1:7" x14ac:dyDescent="0.2">
      <c r="A233" s="27"/>
      <c r="B233" s="27"/>
      <c r="C233" s="63"/>
      <c r="D233" s="25"/>
      <c r="E233" s="60"/>
      <c r="F233" s="2"/>
      <c r="G233" s="2"/>
    </row>
    <row r="234" spans="1:7" x14ac:dyDescent="0.2">
      <c r="A234" s="28" t="s">
        <v>13</v>
      </c>
      <c r="B234" s="28"/>
      <c r="C234" s="63">
        <f>C232</f>
        <v>801449</v>
      </c>
      <c r="D234" s="25">
        <f>D232</f>
        <v>722625</v>
      </c>
      <c r="E234" s="60">
        <f>D234/C234*100</f>
        <v>90.164813980677494</v>
      </c>
      <c r="F234" s="2"/>
      <c r="G234" s="2"/>
    </row>
    <row r="235" spans="1:7" x14ac:dyDescent="0.2">
      <c r="A235" s="28"/>
      <c r="B235" s="28"/>
      <c r="C235" s="63"/>
      <c r="D235" s="21"/>
      <c r="E235" s="59"/>
      <c r="F235" s="2"/>
      <c r="G235" s="2"/>
    </row>
    <row r="236" spans="1:7" x14ac:dyDescent="0.2">
      <c r="A236" s="64" t="s">
        <v>85</v>
      </c>
      <c r="B236" s="65"/>
      <c r="C236" s="65"/>
      <c r="D236" s="65"/>
      <c r="E236" s="66"/>
      <c r="F236" s="2"/>
      <c r="G236" s="2"/>
    </row>
    <row r="237" spans="1:7" x14ac:dyDescent="0.2">
      <c r="A237" s="20" t="s">
        <v>86</v>
      </c>
      <c r="B237" s="28"/>
      <c r="C237" s="63"/>
      <c r="D237" s="21">
        <v>4687402</v>
      </c>
      <c r="E237" s="59"/>
      <c r="F237" s="2"/>
      <c r="G237" s="2"/>
    </row>
    <row r="238" spans="1:7" x14ac:dyDescent="0.2">
      <c r="A238" s="23" t="s">
        <v>32</v>
      </c>
      <c r="B238" s="28"/>
      <c r="C238" s="63"/>
      <c r="D238" s="25">
        <f>SUM(D237)</f>
        <v>4687402</v>
      </c>
      <c r="E238" s="59"/>
      <c r="F238" s="2"/>
      <c r="G238" s="2"/>
    </row>
    <row r="239" spans="1:7" x14ac:dyDescent="0.2">
      <c r="A239" s="20" t="s">
        <v>10</v>
      </c>
      <c r="B239" s="28"/>
      <c r="C239" s="63"/>
      <c r="D239" s="21">
        <v>1265599</v>
      </c>
      <c r="E239" s="59"/>
      <c r="F239" s="2"/>
      <c r="G239" s="2"/>
    </row>
    <row r="240" spans="1:7" x14ac:dyDescent="0.2">
      <c r="A240" s="39" t="s">
        <v>34</v>
      </c>
      <c r="B240" s="28"/>
      <c r="C240" s="63"/>
      <c r="D240" s="25">
        <f>SUM(D239)</f>
        <v>1265599</v>
      </c>
      <c r="E240" s="59"/>
      <c r="F240" s="2"/>
      <c r="G240" s="2"/>
    </row>
    <row r="241" spans="1:7" x14ac:dyDescent="0.2">
      <c r="A241" s="27" t="s">
        <v>12</v>
      </c>
      <c r="B241" s="28"/>
      <c r="C241" s="63"/>
      <c r="D241" s="25">
        <f>D238+D240</f>
        <v>5953001</v>
      </c>
      <c r="E241" s="59"/>
      <c r="F241" s="2"/>
      <c r="G241" s="2"/>
    </row>
    <row r="242" spans="1:7" x14ac:dyDescent="0.2">
      <c r="A242" s="27"/>
      <c r="B242" s="28"/>
      <c r="C242" s="63"/>
      <c r="D242" s="25"/>
      <c r="E242" s="59"/>
      <c r="F242" s="2"/>
      <c r="G242" s="2"/>
    </row>
    <row r="243" spans="1:7" x14ac:dyDescent="0.2">
      <c r="A243" s="28" t="s">
        <v>13</v>
      </c>
      <c r="B243" s="28"/>
      <c r="C243" s="63"/>
      <c r="D243" s="25">
        <f>D241</f>
        <v>5953001</v>
      </c>
      <c r="E243" s="59"/>
      <c r="F243" s="2"/>
      <c r="G243" s="2"/>
    </row>
    <row r="244" spans="1:7" x14ac:dyDescent="0.2">
      <c r="A244" s="28"/>
      <c r="B244" s="28"/>
      <c r="C244" s="63"/>
      <c r="D244" s="25"/>
      <c r="E244" s="59"/>
      <c r="F244" s="2"/>
      <c r="G244" s="2"/>
    </row>
    <row r="245" spans="1:7" x14ac:dyDescent="0.2">
      <c r="A245" s="64" t="s">
        <v>87</v>
      </c>
      <c r="B245" s="65"/>
      <c r="C245" s="65"/>
      <c r="D245" s="65"/>
      <c r="E245" s="66"/>
      <c r="F245" s="2"/>
      <c r="G245" s="2"/>
    </row>
    <row r="246" spans="1:7" x14ac:dyDescent="0.2">
      <c r="A246" s="62" t="s">
        <v>86</v>
      </c>
      <c r="B246" s="68"/>
      <c r="C246" s="68"/>
      <c r="D246" s="21">
        <v>350000</v>
      </c>
      <c r="E246" s="68"/>
      <c r="F246" s="2"/>
      <c r="G246" s="2"/>
    </row>
    <row r="247" spans="1:7" x14ac:dyDescent="0.2">
      <c r="A247" s="23" t="s">
        <v>32</v>
      </c>
      <c r="B247" s="28"/>
      <c r="C247" s="63"/>
      <c r="D247" s="25">
        <v>350000</v>
      </c>
      <c r="E247" s="59"/>
      <c r="F247" s="2"/>
      <c r="G247" s="2"/>
    </row>
    <row r="248" spans="1:7" x14ac:dyDescent="0.2">
      <c r="A248" s="20" t="s">
        <v>10</v>
      </c>
      <c r="B248" s="28"/>
      <c r="C248" s="63"/>
      <c r="D248" s="21">
        <v>94500</v>
      </c>
      <c r="E248" s="59"/>
      <c r="F248" s="2"/>
      <c r="G248" s="2"/>
    </row>
    <row r="249" spans="1:7" x14ac:dyDescent="0.2">
      <c r="A249" s="39" t="s">
        <v>34</v>
      </c>
      <c r="B249" s="28"/>
      <c r="C249" s="63"/>
      <c r="D249" s="25">
        <v>94500</v>
      </c>
      <c r="E249" s="59"/>
      <c r="F249" s="2"/>
      <c r="G249" s="2"/>
    </row>
    <row r="250" spans="1:7" x14ac:dyDescent="0.2">
      <c r="A250" s="27" t="s">
        <v>12</v>
      </c>
      <c r="B250" s="28"/>
      <c r="C250" s="63"/>
      <c r="D250" s="25">
        <f>D247+D249</f>
        <v>444500</v>
      </c>
      <c r="E250" s="59"/>
      <c r="F250" s="2"/>
      <c r="G250" s="2"/>
    </row>
    <row r="251" spans="1:7" x14ac:dyDescent="0.2">
      <c r="A251" s="27"/>
      <c r="B251" s="28"/>
      <c r="C251" s="63"/>
      <c r="D251" s="25"/>
      <c r="E251" s="59"/>
      <c r="F251" s="2"/>
      <c r="G251" s="2"/>
    </row>
    <row r="252" spans="1:7" x14ac:dyDescent="0.2">
      <c r="A252" s="28" t="s">
        <v>13</v>
      </c>
      <c r="B252" s="28"/>
      <c r="C252" s="63"/>
      <c r="D252" s="25">
        <f>D250</f>
        <v>444500</v>
      </c>
      <c r="E252" s="59"/>
      <c r="F252" s="2"/>
      <c r="G252" s="2"/>
    </row>
    <row r="253" spans="1:7" x14ac:dyDescent="0.2">
      <c r="A253" s="28"/>
      <c r="B253" s="28"/>
      <c r="C253" s="63"/>
      <c r="D253" s="25"/>
      <c r="E253" s="59"/>
      <c r="F253" s="2"/>
      <c r="G253" s="2"/>
    </row>
    <row r="254" spans="1:7" x14ac:dyDescent="0.2">
      <c r="A254" s="64" t="s">
        <v>88</v>
      </c>
      <c r="B254" s="65"/>
      <c r="C254" s="65"/>
      <c r="D254" s="65"/>
      <c r="E254" s="66"/>
      <c r="F254" s="2"/>
      <c r="G254" s="2"/>
    </row>
    <row r="255" spans="1:7" x14ac:dyDescent="0.2">
      <c r="A255" s="20" t="s">
        <v>23</v>
      </c>
      <c r="B255" s="28"/>
      <c r="C255" s="63"/>
      <c r="D255" s="21">
        <v>743386</v>
      </c>
      <c r="E255" s="59"/>
      <c r="F255" s="2"/>
      <c r="G255" s="2"/>
    </row>
    <row r="256" spans="1:7" x14ac:dyDescent="0.2">
      <c r="A256" s="39" t="s">
        <v>40</v>
      </c>
      <c r="B256" s="28"/>
      <c r="C256" s="63"/>
      <c r="D256" s="25">
        <f>SUM(D255)</f>
        <v>743386</v>
      </c>
      <c r="E256" s="59"/>
      <c r="F256" s="2"/>
      <c r="G256" s="2"/>
    </row>
    <row r="257" spans="1:7" x14ac:dyDescent="0.2">
      <c r="A257" s="20" t="s">
        <v>10</v>
      </c>
      <c r="B257" s="28"/>
      <c r="C257" s="63"/>
      <c r="D257" s="21">
        <v>200714</v>
      </c>
      <c r="E257" s="59"/>
      <c r="F257" s="2"/>
      <c r="G257" s="2"/>
    </row>
    <row r="258" spans="1:7" x14ac:dyDescent="0.2">
      <c r="A258" s="39" t="s">
        <v>34</v>
      </c>
      <c r="B258" s="28"/>
      <c r="C258" s="63"/>
      <c r="D258" s="25">
        <f>SUM(D257)</f>
        <v>200714</v>
      </c>
      <c r="E258" s="59"/>
      <c r="F258" s="2"/>
      <c r="G258" s="2"/>
    </row>
    <row r="259" spans="1:7" x14ac:dyDescent="0.2">
      <c r="A259" s="27" t="s">
        <v>12</v>
      </c>
      <c r="B259" s="28"/>
      <c r="C259" s="63"/>
      <c r="D259" s="25">
        <f>D256+D258</f>
        <v>944100</v>
      </c>
      <c r="E259" s="59"/>
      <c r="F259" s="2"/>
      <c r="G259" s="2"/>
    </row>
    <row r="260" spans="1:7" x14ac:dyDescent="0.2">
      <c r="A260" s="27"/>
      <c r="B260" s="28"/>
      <c r="C260" s="63"/>
      <c r="D260" s="25"/>
      <c r="E260" s="59"/>
      <c r="F260" s="2"/>
      <c r="G260" s="2"/>
    </row>
    <row r="261" spans="1:7" x14ac:dyDescent="0.2">
      <c r="A261" s="28" t="s">
        <v>13</v>
      </c>
      <c r="B261" s="28"/>
      <c r="C261" s="63"/>
      <c r="D261" s="25">
        <f>D259</f>
        <v>944100</v>
      </c>
      <c r="E261" s="59"/>
      <c r="F261" s="2"/>
      <c r="G261" s="2"/>
    </row>
    <row r="262" spans="1:7" x14ac:dyDescent="0.2">
      <c r="A262" s="28"/>
      <c r="B262" s="28"/>
      <c r="C262" s="63"/>
      <c r="D262" s="25"/>
      <c r="E262" s="59"/>
      <c r="F262" s="2"/>
      <c r="G262" s="2"/>
    </row>
    <row r="263" spans="1:7" x14ac:dyDescent="0.2">
      <c r="A263" s="28"/>
      <c r="B263" s="28"/>
      <c r="C263" s="63"/>
      <c r="D263" s="21"/>
      <c r="E263" s="59"/>
      <c r="F263" s="2"/>
      <c r="G263" s="2"/>
    </row>
    <row r="264" spans="1:7" x14ac:dyDescent="0.2">
      <c r="A264" s="28"/>
      <c r="B264" s="28"/>
      <c r="C264" s="63"/>
      <c r="D264" s="21"/>
      <c r="E264" s="59"/>
      <c r="F264" s="2"/>
      <c r="G264" s="2"/>
    </row>
    <row r="265" spans="1:7" x14ac:dyDescent="0.2">
      <c r="A265" s="35" t="s">
        <v>17</v>
      </c>
      <c r="B265" s="24">
        <f>B24+B71+B129+B196+B154+B94</f>
        <v>64375141</v>
      </c>
      <c r="C265" s="24">
        <f>C24+C71+C129+C196+C154+C94</f>
        <v>88598984</v>
      </c>
      <c r="D265" s="24">
        <f>D24+D71+D129+D196+D154+D94</f>
        <v>87889321</v>
      </c>
      <c r="E265" s="59">
        <f>D265/C265*100</f>
        <v>99.199016774278135</v>
      </c>
      <c r="F265" s="2"/>
      <c r="G265" s="2"/>
    </row>
    <row r="266" spans="1:7" x14ac:dyDescent="0.2">
      <c r="A266" s="35" t="s">
        <v>19</v>
      </c>
      <c r="B266" s="24">
        <f>B27+B75+B132+B202+B160+B98</f>
        <v>11667708</v>
      </c>
      <c r="C266" s="24">
        <f>C27+C75+C132+C202+C160+C98</f>
        <v>14201960</v>
      </c>
      <c r="D266" s="24">
        <f>D27+D75+D132+D202+D160+D98</f>
        <v>14156424</v>
      </c>
      <c r="E266" s="59">
        <f>D266/C266*100</f>
        <v>99.679368199882262</v>
      </c>
      <c r="F266" s="2"/>
      <c r="G266" s="2"/>
    </row>
    <row r="267" spans="1:7" x14ac:dyDescent="0.2">
      <c r="A267" s="27" t="s">
        <v>89</v>
      </c>
      <c r="B267" s="24">
        <f>+B17+B48+B63+B142+B216+B184+B121+B110+B232</f>
        <v>79678530</v>
      </c>
      <c r="C267" s="24">
        <f>+C17+C48+C63+C142+C216+C184+C121+C110+C232</f>
        <v>99448632</v>
      </c>
      <c r="D267" s="24">
        <f>+D17+D48+D63+D142+D216+D184+D121+D110+D232+D86+D241+D250+D259</f>
        <v>98290705</v>
      </c>
      <c r="E267" s="59">
        <f>D267/C267*100</f>
        <v>98.835653164138051</v>
      </c>
      <c r="F267" s="2"/>
      <c r="G267" s="2"/>
    </row>
    <row r="268" spans="1:7" x14ac:dyDescent="0.2">
      <c r="A268" s="27" t="s">
        <v>90</v>
      </c>
      <c r="B268" s="24">
        <f>'[1]4_ melléklet'!B7</f>
        <v>87450424</v>
      </c>
      <c r="C268" s="24">
        <f>'[1]4_ melléklet'!C7</f>
        <v>89978949</v>
      </c>
      <c r="D268" s="24">
        <f>'[1]4_ melléklet'!D7</f>
        <v>84072637</v>
      </c>
      <c r="E268" s="59">
        <f>D268/C268*100</f>
        <v>93.435895767131043</v>
      </c>
      <c r="F268" s="2"/>
      <c r="G268" s="2"/>
    </row>
    <row r="269" spans="1:7" ht="33.75" x14ac:dyDescent="0.2">
      <c r="A269" s="69" t="s">
        <v>91</v>
      </c>
      <c r="B269" s="24">
        <f>SUM(B265:B268)</f>
        <v>243171803</v>
      </c>
      <c r="C269" s="24">
        <f>SUM(C265:C268)</f>
        <v>292228525</v>
      </c>
      <c r="D269" s="24">
        <f>SUM(D265:D268)</f>
        <v>284409087</v>
      </c>
      <c r="E269" s="59">
        <f>D269/C269*100</f>
        <v>97.324204404754809</v>
      </c>
      <c r="F269" s="70"/>
      <c r="G269" s="70"/>
    </row>
    <row r="270" spans="1:7" x14ac:dyDescent="0.2">
      <c r="A270" s="69"/>
      <c r="B270" s="69"/>
      <c r="C270" s="24"/>
      <c r="D270" s="3"/>
      <c r="E270" s="3"/>
      <c r="F270" s="2"/>
      <c r="G270" s="2"/>
    </row>
    <row r="271" spans="1:7" x14ac:dyDescent="0.2">
      <c r="A271" s="69"/>
      <c r="B271" s="69"/>
      <c r="C271" s="24"/>
      <c r="D271" s="3"/>
      <c r="E271" s="3"/>
      <c r="F271" s="2"/>
      <c r="G271" s="2"/>
    </row>
    <row r="272" spans="1:7" x14ac:dyDescent="0.2">
      <c r="A272" s="69"/>
      <c r="B272" s="69"/>
      <c r="C272" s="24"/>
      <c r="D272" s="3"/>
      <c r="E272" s="3"/>
      <c r="F272" s="2"/>
      <c r="G272" s="2"/>
    </row>
    <row r="273" spans="1:7" x14ac:dyDescent="0.2">
      <c r="A273" s="69"/>
      <c r="B273" s="69"/>
      <c r="C273" s="24"/>
      <c r="D273" s="3"/>
      <c r="E273" s="3"/>
      <c r="F273" s="2"/>
      <c r="G273" s="2"/>
    </row>
    <row r="274" spans="1:7" x14ac:dyDescent="0.2">
      <c r="A274" s="69"/>
      <c r="B274" s="69"/>
      <c r="C274" s="24"/>
      <c r="D274" s="3"/>
      <c r="E274" s="3"/>
      <c r="F274" s="2"/>
      <c r="G274" s="2"/>
    </row>
    <row r="275" spans="1:7" x14ac:dyDescent="0.2">
      <c r="A275" s="69"/>
      <c r="B275" s="69"/>
      <c r="C275" s="24"/>
      <c r="D275" s="3"/>
      <c r="E275" s="3"/>
      <c r="F275" s="2"/>
      <c r="G275" s="2"/>
    </row>
    <row r="276" spans="1:7" x14ac:dyDescent="0.2">
      <c r="A276" s="69"/>
      <c r="B276" s="69"/>
      <c r="C276" s="24"/>
      <c r="D276" s="3"/>
      <c r="E276" s="3"/>
      <c r="F276" s="2"/>
      <c r="G276" s="2"/>
    </row>
    <row r="277" spans="1:7" x14ac:dyDescent="0.2">
      <c r="A277" s="69"/>
      <c r="B277" s="69"/>
      <c r="C277" s="24"/>
      <c r="D277" s="3"/>
      <c r="E277" s="3"/>
      <c r="F277" s="2"/>
      <c r="G277" s="2"/>
    </row>
    <row r="278" spans="1:7" x14ac:dyDescent="0.2">
      <c r="A278" s="57" t="s">
        <v>92</v>
      </c>
      <c r="B278" s="57"/>
      <c r="C278" s="57"/>
      <c r="D278" s="57"/>
      <c r="E278" s="57"/>
      <c r="F278" s="2"/>
      <c r="G278" s="2"/>
    </row>
    <row r="279" spans="1:7" x14ac:dyDescent="0.2">
      <c r="A279" s="71"/>
      <c r="B279" s="71"/>
      <c r="C279" s="24"/>
      <c r="D279" s="3"/>
      <c r="E279" s="3"/>
      <c r="F279" s="2"/>
      <c r="G279" s="2"/>
    </row>
    <row r="280" spans="1:7" x14ac:dyDescent="0.2">
      <c r="A280" s="6" t="s">
        <v>2</v>
      </c>
      <c r="B280" s="6"/>
      <c r="C280" s="6"/>
      <c r="D280" s="6"/>
      <c r="E280" s="6"/>
      <c r="F280" s="2"/>
      <c r="G280" s="2"/>
    </row>
    <row r="281" spans="1:7" x14ac:dyDescent="0.2">
      <c r="A281" s="28"/>
      <c r="B281" s="28"/>
      <c r="C281" s="63"/>
      <c r="D281" s="3"/>
      <c r="E281" s="3"/>
      <c r="F281" s="2"/>
      <c r="G281" s="2"/>
    </row>
    <row r="282" spans="1:7" x14ac:dyDescent="0.2">
      <c r="A282" s="14" t="s">
        <v>93</v>
      </c>
      <c r="B282" s="15"/>
      <c r="C282" s="15"/>
      <c r="D282" s="15"/>
      <c r="E282" s="30"/>
      <c r="F282" s="2"/>
      <c r="G282" s="2"/>
    </row>
    <row r="283" spans="1:7" x14ac:dyDescent="0.2">
      <c r="A283" s="31"/>
      <c r="B283" s="31"/>
      <c r="C283" s="63"/>
      <c r="D283" s="3"/>
      <c r="E283" s="3"/>
      <c r="F283" s="2"/>
      <c r="G283" s="2"/>
    </row>
    <row r="284" spans="1:7" x14ac:dyDescent="0.2">
      <c r="A284" s="20" t="s">
        <v>94</v>
      </c>
      <c r="B284" s="32">
        <v>1200000</v>
      </c>
      <c r="C284" s="33">
        <v>1200000</v>
      </c>
      <c r="D284" s="72">
        <f>1223398-D285</f>
        <v>876722</v>
      </c>
      <c r="E284" s="59">
        <f t="shared" ref="E284:E299" si="7">D284/C284*100</f>
        <v>73.060166666666674</v>
      </c>
      <c r="F284" s="2"/>
      <c r="G284" s="2"/>
    </row>
    <row r="285" spans="1:7" x14ac:dyDescent="0.2">
      <c r="A285" s="20" t="s">
        <v>23</v>
      </c>
      <c r="B285" s="32">
        <v>150000</v>
      </c>
      <c r="C285" s="33">
        <v>150000</v>
      </c>
      <c r="D285" s="72">
        <v>346676</v>
      </c>
      <c r="E285" s="59">
        <f t="shared" si="7"/>
        <v>231.11733333333336</v>
      </c>
      <c r="F285" s="2"/>
      <c r="G285" s="2"/>
    </row>
    <row r="286" spans="1:7" x14ac:dyDescent="0.2">
      <c r="A286" s="39" t="s">
        <v>40</v>
      </c>
      <c r="B286" s="36">
        <f>SUM(B284:B285)</f>
        <v>1350000</v>
      </c>
      <c r="C286" s="37">
        <f>SUM(C284:C285)</f>
        <v>1350000</v>
      </c>
      <c r="D286" s="73">
        <f>SUM(D284:D285)</f>
        <v>1223398</v>
      </c>
      <c r="E286" s="60">
        <f t="shared" si="7"/>
        <v>90.622074074074078</v>
      </c>
      <c r="F286" s="2"/>
      <c r="G286" s="2"/>
    </row>
    <row r="287" spans="1:7" x14ac:dyDescent="0.2">
      <c r="A287" s="20" t="s">
        <v>27</v>
      </c>
      <c r="B287" s="32">
        <f>500000+3274000-100000-100000</f>
        <v>3574000</v>
      </c>
      <c r="C287" s="33">
        <f>500000+3274000-100000-100000+41230</f>
        <v>3615230</v>
      </c>
      <c r="D287" s="72">
        <v>3292889</v>
      </c>
      <c r="E287" s="59">
        <f t="shared" si="7"/>
        <v>91.083803796715557</v>
      </c>
      <c r="F287" s="2"/>
      <c r="G287" s="2"/>
    </row>
    <row r="288" spans="1:7" x14ac:dyDescent="0.2">
      <c r="A288" s="20" t="s">
        <v>9</v>
      </c>
      <c r="B288" s="32">
        <f>1000000-100000</f>
        <v>900000</v>
      </c>
      <c r="C288" s="33">
        <f>1000000-100000</f>
        <v>900000</v>
      </c>
      <c r="D288" s="72">
        <v>895695</v>
      </c>
      <c r="E288" s="59">
        <f t="shared" si="7"/>
        <v>99.521666666666661</v>
      </c>
      <c r="F288" s="2"/>
      <c r="G288" s="2"/>
    </row>
    <row r="289" spans="1:7" x14ac:dyDescent="0.2">
      <c r="A289" s="20" t="s">
        <v>28</v>
      </c>
      <c r="B289" s="32">
        <f>300000-50000</f>
        <v>250000</v>
      </c>
      <c r="C289" s="33">
        <f>300000-50000</f>
        <v>250000</v>
      </c>
      <c r="D289" s="72">
        <f>392842+108</f>
        <v>392950</v>
      </c>
      <c r="E289" s="59">
        <f t="shared" si="7"/>
        <v>157.18</v>
      </c>
      <c r="F289" s="2"/>
      <c r="G289" s="2"/>
    </row>
    <row r="290" spans="1:7" x14ac:dyDescent="0.2">
      <c r="A290" s="23" t="s">
        <v>11</v>
      </c>
      <c r="B290" s="37">
        <f>SUM(B287:B289)</f>
        <v>4724000</v>
      </c>
      <c r="C290" s="37">
        <f>SUM(C287:C289)</f>
        <v>4765230</v>
      </c>
      <c r="D290" s="73">
        <f>SUM(D287:D289)</f>
        <v>4581534</v>
      </c>
      <c r="E290" s="60">
        <f t="shared" si="7"/>
        <v>96.145075893503559</v>
      </c>
      <c r="F290" s="2"/>
      <c r="G290" s="2"/>
    </row>
    <row r="291" spans="1:7" x14ac:dyDescent="0.2">
      <c r="A291" s="20" t="s">
        <v>29</v>
      </c>
      <c r="B291" s="33">
        <f>200000-50000</f>
        <v>150000</v>
      </c>
      <c r="C291" s="33">
        <f>200000-50000</f>
        <v>150000</v>
      </c>
      <c r="D291" s="72">
        <v>134901</v>
      </c>
      <c r="E291" s="59">
        <f t="shared" si="7"/>
        <v>89.933999999999997</v>
      </c>
      <c r="F291" s="2"/>
      <c r="G291" s="2"/>
    </row>
    <row r="292" spans="1:7" x14ac:dyDescent="0.2">
      <c r="A292" s="20" t="s">
        <v>95</v>
      </c>
      <c r="B292" s="33">
        <v>600000</v>
      </c>
      <c r="C292" s="33">
        <v>600000</v>
      </c>
      <c r="D292" s="72">
        <f>353415+787</f>
        <v>354202</v>
      </c>
      <c r="E292" s="59">
        <f t="shared" si="7"/>
        <v>59.033666666666662</v>
      </c>
      <c r="F292" s="2"/>
      <c r="G292" s="2"/>
    </row>
    <row r="293" spans="1:7" x14ac:dyDescent="0.2">
      <c r="A293" s="23" t="s">
        <v>32</v>
      </c>
      <c r="B293" s="37">
        <f>SUM(B291:B292)</f>
        <v>750000</v>
      </c>
      <c r="C293" s="37">
        <f>SUM(C291:C292)</f>
        <v>750000</v>
      </c>
      <c r="D293" s="73">
        <f>SUM(D291:D292)</f>
        <v>489103</v>
      </c>
      <c r="E293" s="60">
        <f t="shared" si="7"/>
        <v>65.213733333333337</v>
      </c>
      <c r="F293" s="2"/>
      <c r="G293" s="2"/>
    </row>
    <row r="294" spans="1:7" x14ac:dyDescent="0.2">
      <c r="A294" s="20" t="s">
        <v>10</v>
      </c>
      <c r="B294" s="33">
        <f>(+B284+B287+B288+B289+B291+B285+B292)*0.27</f>
        <v>1842480.0000000002</v>
      </c>
      <c r="C294" s="33">
        <f>(+C284+C287+C288+C289+C291+C285+C292)*0.27-41230*0.27+11132-100000*0.27</f>
        <v>1826612</v>
      </c>
      <c r="D294" s="72">
        <v>1651615</v>
      </c>
      <c r="E294" s="59">
        <f t="shared" si="7"/>
        <v>90.41958554964053</v>
      </c>
      <c r="F294" s="2"/>
      <c r="G294" s="2"/>
    </row>
    <row r="295" spans="1:7" x14ac:dyDescent="0.2">
      <c r="A295" s="20" t="s">
        <v>80</v>
      </c>
      <c r="B295" s="33">
        <v>550000</v>
      </c>
      <c r="C295" s="33">
        <v>550000</v>
      </c>
      <c r="D295" s="72">
        <v>351000</v>
      </c>
      <c r="E295" s="59">
        <f t="shared" si="7"/>
        <v>63.81818181818182</v>
      </c>
      <c r="F295" s="2"/>
      <c r="G295" s="2"/>
    </row>
    <row r="296" spans="1:7" x14ac:dyDescent="0.2">
      <c r="A296" s="39" t="s">
        <v>34</v>
      </c>
      <c r="B296" s="37">
        <f>SUM(B294:B295)</f>
        <v>2392480</v>
      </c>
      <c r="C296" s="37">
        <f>SUM(C294:C295)</f>
        <v>2376612</v>
      </c>
      <c r="D296" s="73">
        <f>SUM(D294:D295)</f>
        <v>2002615</v>
      </c>
      <c r="E296" s="60">
        <f t="shared" si="7"/>
        <v>84.263438878538025</v>
      </c>
      <c r="F296" s="2"/>
      <c r="G296" s="2"/>
    </row>
    <row r="297" spans="1:7" x14ac:dyDescent="0.2">
      <c r="A297" s="39"/>
      <c r="B297" s="37"/>
      <c r="C297" s="37"/>
      <c r="D297" s="72"/>
      <c r="E297" s="59"/>
      <c r="F297" s="2"/>
      <c r="G297" s="2"/>
    </row>
    <row r="298" spans="1:7" x14ac:dyDescent="0.2">
      <c r="A298" s="27" t="s">
        <v>12</v>
      </c>
      <c r="B298" s="37">
        <f>+B286+B290+B293+B296</f>
        <v>9216480</v>
      </c>
      <c r="C298" s="37">
        <f>+C286+C290+C293+C296</f>
        <v>9241842</v>
      </c>
      <c r="D298" s="73">
        <f>D286+D290+D293+D296</f>
        <v>8296650</v>
      </c>
      <c r="E298" s="60">
        <f t="shared" si="7"/>
        <v>89.772688171903397</v>
      </c>
      <c r="F298" s="2"/>
      <c r="G298" s="2"/>
    </row>
    <row r="299" spans="1:7" x14ac:dyDescent="0.2">
      <c r="A299" s="28" t="s">
        <v>13</v>
      </c>
      <c r="B299" s="37">
        <f>B298</f>
        <v>9216480</v>
      </c>
      <c r="C299" s="37">
        <f>C298</f>
        <v>9241842</v>
      </c>
      <c r="D299" s="73">
        <f>D298</f>
        <v>8296650</v>
      </c>
      <c r="E299" s="60">
        <f t="shared" si="7"/>
        <v>89.772688171903397</v>
      </c>
      <c r="F299" s="2"/>
      <c r="G299" s="2"/>
    </row>
    <row r="300" spans="1:7" x14ac:dyDescent="0.2">
      <c r="A300" s="28"/>
      <c r="B300" s="28"/>
      <c r="C300" s="24"/>
      <c r="D300" s="3"/>
      <c r="E300" s="3"/>
      <c r="F300" s="2"/>
      <c r="G300" s="2"/>
    </row>
    <row r="301" spans="1:7" x14ac:dyDescent="0.2">
      <c r="A301" s="57" t="s">
        <v>71</v>
      </c>
      <c r="B301" s="57"/>
      <c r="C301" s="57"/>
      <c r="D301" s="57"/>
      <c r="E301" s="57"/>
      <c r="F301" s="2"/>
      <c r="G301" s="2"/>
    </row>
    <row r="302" spans="1:7" x14ac:dyDescent="0.2">
      <c r="A302" s="28"/>
      <c r="B302" s="28"/>
      <c r="C302" s="24"/>
      <c r="D302" s="3"/>
      <c r="E302" s="3"/>
      <c r="F302" s="2"/>
      <c r="G302" s="2"/>
    </row>
    <row r="303" spans="1:7" ht="24.75" customHeight="1" x14ac:dyDescent="0.2">
      <c r="A303" s="51" t="s">
        <v>72</v>
      </c>
      <c r="B303" s="52"/>
      <c r="C303" s="52"/>
      <c r="D303" s="52"/>
      <c r="E303" s="53"/>
      <c r="F303" s="2"/>
      <c r="G303" s="2"/>
    </row>
    <row r="304" spans="1:7" x14ac:dyDescent="0.2">
      <c r="A304" s="20"/>
      <c r="B304" s="54"/>
      <c r="C304" s="19"/>
      <c r="D304" s="3"/>
      <c r="E304" s="3"/>
      <c r="F304" s="2"/>
      <c r="G304" s="2"/>
    </row>
    <row r="305" spans="1:7" x14ac:dyDescent="0.2">
      <c r="A305" s="20" t="s">
        <v>96</v>
      </c>
      <c r="B305" s="54">
        <v>61512192</v>
      </c>
      <c r="C305" s="19">
        <f>61512192+315000</f>
        <v>61827192</v>
      </c>
      <c r="D305" s="21">
        <v>58940775</v>
      </c>
      <c r="E305" s="59">
        <f t="shared" ref="E305:E352" si="8">D305/C305*100</f>
        <v>95.331476480445687</v>
      </c>
      <c r="F305" s="2"/>
      <c r="G305" s="2"/>
    </row>
    <row r="306" spans="1:7" x14ac:dyDescent="0.2">
      <c r="A306" s="34" t="s">
        <v>97</v>
      </c>
      <c r="B306" s="54">
        <f>[2]ÖSSZESÍTÉS!$C$8</f>
        <v>0</v>
      </c>
      <c r="C306" s="19">
        <v>528000</v>
      </c>
      <c r="D306" s="21">
        <v>528000</v>
      </c>
      <c r="E306" s="59">
        <f t="shared" si="8"/>
        <v>100</v>
      </c>
      <c r="F306" s="2"/>
      <c r="G306" s="2"/>
    </row>
    <row r="307" spans="1:7" x14ac:dyDescent="0.2">
      <c r="A307" s="34" t="s">
        <v>74</v>
      </c>
      <c r="B307" s="54">
        <v>2682144</v>
      </c>
      <c r="C307" s="19">
        <v>2682144</v>
      </c>
      <c r="D307" s="21">
        <v>2669743</v>
      </c>
      <c r="E307" s="59">
        <f t="shared" si="8"/>
        <v>99.537646002600894</v>
      </c>
      <c r="F307" s="2"/>
      <c r="G307" s="2"/>
    </row>
    <row r="308" spans="1:7" x14ac:dyDescent="0.2">
      <c r="A308" s="34" t="s">
        <v>61</v>
      </c>
      <c r="B308" s="54">
        <v>800000</v>
      </c>
      <c r="C308" s="19">
        <v>800000</v>
      </c>
      <c r="D308" s="21">
        <v>222328</v>
      </c>
      <c r="E308" s="59">
        <f t="shared" si="8"/>
        <v>27.791</v>
      </c>
      <c r="F308" s="2"/>
      <c r="G308" s="2"/>
    </row>
    <row r="309" spans="1:7" x14ac:dyDescent="0.2">
      <c r="A309" s="34" t="s">
        <v>62</v>
      </c>
      <c r="B309" s="54">
        <v>96000</v>
      </c>
      <c r="C309" s="19">
        <f>96000+107600+539914+26400</f>
        <v>769914</v>
      </c>
      <c r="D309" s="21">
        <v>1071756</v>
      </c>
      <c r="E309" s="59">
        <f t="shared" si="8"/>
        <v>139.20463844013747</v>
      </c>
      <c r="F309" s="2"/>
      <c r="G309" s="2"/>
    </row>
    <row r="310" spans="1:7" x14ac:dyDescent="0.2">
      <c r="A310" s="34" t="s">
        <v>63</v>
      </c>
      <c r="B310" s="54">
        <v>200000</v>
      </c>
      <c r="C310" s="19">
        <v>200000</v>
      </c>
      <c r="D310" s="21">
        <v>182624</v>
      </c>
      <c r="E310" s="59">
        <f t="shared" si="8"/>
        <v>91.311999999999998</v>
      </c>
      <c r="F310" s="2"/>
      <c r="G310" s="2"/>
    </row>
    <row r="311" spans="1:7" x14ac:dyDescent="0.2">
      <c r="A311" s="34" t="s">
        <v>98</v>
      </c>
      <c r="B311" s="54">
        <v>1500000</v>
      </c>
      <c r="C311" s="19">
        <v>1500000</v>
      </c>
      <c r="D311" s="21">
        <v>975502</v>
      </c>
      <c r="E311" s="59">
        <f t="shared" si="8"/>
        <v>65.033466666666655</v>
      </c>
      <c r="F311" s="2"/>
      <c r="G311" s="2"/>
    </row>
    <row r="312" spans="1:7" x14ac:dyDescent="0.2">
      <c r="A312" s="34" t="s">
        <v>99</v>
      </c>
      <c r="B312" s="54"/>
      <c r="C312" s="19"/>
      <c r="D312" s="21">
        <v>1887914</v>
      </c>
      <c r="E312" s="59"/>
      <c r="F312" s="2"/>
      <c r="G312" s="2"/>
    </row>
    <row r="313" spans="1:7" x14ac:dyDescent="0.2">
      <c r="A313" s="34" t="s">
        <v>100</v>
      </c>
      <c r="B313" s="54"/>
      <c r="C313" s="19"/>
      <c r="D313" s="21">
        <v>277926</v>
      </c>
      <c r="E313" s="59"/>
      <c r="F313" s="2"/>
      <c r="G313" s="2"/>
    </row>
    <row r="314" spans="1:7" x14ac:dyDescent="0.2">
      <c r="A314" s="34" t="s">
        <v>16</v>
      </c>
      <c r="B314" s="54">
        <v>500000</v>
      </c>
      <c r="C314" s="19">
        <v>500000</v>
      </c>
      <c r="D314" s="21">
        <v>965149</v>
      </c>
      <c r="E314" s="59">
        <f t="shared" si="8"/>
        <v>193.02979999999999</v>
      </c>
      <c r="F314" s="2"/>
      <c r="G314" s="2"/>
    </row>
    <row r="315" spans="1:7" x14ac:dyDescent="0.2">
      <c r="A315" s="35" t="s">
        <v>17</v>
      </c>
      <c r="B315" s="55">
        <f>SUM(B305:B314)</f>
        <v>67290336</v>
      </c>
      <c r="C315" s="24">
        <f>SUM(C305:C314)</f>
        <v>68807250</v>
      </c>
      <c r="D315" s="25">
        <f>SUM(D305:D314)</f>
        <v>67721717</v>
      </c>
      <c r="E315" s="60">
        <f t="shared" si="8"/>
        <v>98.422356655730312</v>
      </c>
      <c r="F315" s="2"/>
      <c r="G315" s="2"/>
    </row>
    <row r="316" spans="1:7" x14ac:dyDescent="0.2">
      <c r="A316" s="35"/>
      <c r="B316" s="55"/>
      <c r="C316" s="24"/>
      <c r="D316" s="21"/>
      <c r="E316" s="59"/>
      <c r="F316" s="2"/>
      <c r="G316" s="2"/>
    </row>
    <row r="317" spans="1:7" x14ac:dyDescent="0.2">
      <c r="A317" s="20" t="s">
        <v>18</v>
      </c>
      <c r="B317" s="54">
        <v>13126994</v>
      </c>
      <c r="C317" s="19">
        <f>13126994+22352+105286+102960+61425+5148+1796</f>
        <v>13425961</v>
      </c>
      <c r="D317" s="21">
        <v>12556233</v>
      </c>
      <c r="E317" s="59">
        <f t="shared" si="8"/>
        <v>93.522042854139087</v>
      </c>
      <c r="F317" s="2"/>
      <c r="G317" s="2"/>
    </row>
    <row r="318" spans="1:7" x14ac:dyDescent="0.2">
      <c r="A318" s="20" t="s">
        <v>44</v>
      </c>
      <c r="B318" s="54">
        <v>1018340</v>
      </c>
      <c r="C318" s="19">
        <v>1018340</v>
      </c>
      <c r="D318" s="21">
        <v>714739</v>
      </c>
      <c r="E318" s="59">
        <f t="shared" si="8"/>
        <v>70.186676355637616</v>
      </c>
      <c r="F318" s="2"/>
      <c r="G318" s="2"/>
    </row>
    <row r="319" spans="1:7" x14ac:dyDescent="0.2">
      <c r="A319" s="20" t="s">
        <v>39</v>
      </c>
      <c r="B319" s="54">
        <v>100000</v>
      </c>
      <c r="C319" s="19">
        <v>100000</v>
      </c>
      <c r="D319" s="21">
        <v>104759</v>
      </c>
      <c r="E319" s="59">
        <f t="shared" si="8"/>
        <v>104.759</v>
      </c>
      <c r="F319" s="2"/>
      <c r="G319" s="2"/>
    </row>
    <row r="320" spans="1:7" x14ac:dyDescent="0.2">
      <c r="A320" s="20" t="s">
        <v>65</v>
      </c>
      <c r="B320" s="54">
        <v>881839</v>
      </c>
      <c r="C320" s="19">
        <v>881839</v>
      </c>
      <c r="D320" s="21">
        <f>635720+18347</f>
        <v>654067</v>
      </c>
      <c r="E320" s="59">
        <f t="shared" si="8"/>
        <v>74.170795349264438</v>
      </c>
      <c r="F320" s="2"/>
      <c r="G320" s="2"/>
    </row>
    <row r="321" spans="1:7" x14ac:dyDescent="0.2">
      <c r="A321" s="35" t="s">
        <v>19</v>
      </c>
      <c r="B321" s="55">
        <f>SUM(B317:B320)</f>
        <v>15127173</v>
      </c>
      <c r="C321" s="24">
        <f>SUM(C317:C320)</f>
        <v>15426140</v>
      </c>
      <c r="D321" s="25">
        <f>SUM(D317:D320)</f>
        <v>14029798</v>
      </c>
      <c r="E321" s="60">
        <f t="shared" si="8"/>
        <v>90.948208689925025</v>
      </c>
      <c r="F321" s="2"/>
      <c r="G321" s="2"/>
    </row>
    <row r="322" spans="1:7" x14ac:dyDescent="0.2">
      <c r="A322" s="35"/>
      <c r="B322" s="55"/>
      <c r="C322" s="24"/>
      <c r="D322" s="21"/>
      <c r="E322" s="59"/>
      <c r="F322" s="2"/>
      <c r="G322" s="2"/>
    </row>
    <row r="323" spans="1:7" x14ac:dyDescent="0.2">
      <c r="A323" s="20" t="s">
        <v>101</v>
      </c>
      <c r="B323" s="32">
        <v>150000</v>
      </c>
      <c r="C323" s="33">
        <v>150000</v>
      </c>
      <c r="D323" s="21">
        <v>0</v>
      </c>
      <c r="E323" s="59">
        <f t="shared" si="8"/>
        <v>0</v>
      </c>
      <c r="F323" s="2"/>
      <c r="G323" s="2"/>
    </row>
    <row r="324" spans="1:7" x14ac:dyDescent="0.2">
      <c r="A324" s="20" t="s">
        <v>102</v>
      </c>
      <c r="B324" s="32">
        <v>550000</v>
      </c>
      <c r="C324" s="33">
        <v>550000</v>
      </c>
      <c r="D324" s="21">
        <f>631731-D325</f>
        <v>500761</v>
      </c>
      <c r="E324" s="59">
        <f t="shared" si="8"/>
        <v>91.047454545454542</v>
      </c>
      <c r="F324" s="2"/>
      <c r="G324" s="2"/>
    </row>
    <row r="325" spans="1:7" x14ac:dyDescent="0.2">
      <c r="A325" s="20" t="s">
        <v>21</v>
      </c>
      <c r="B325" s="33">
        <f>200000-50000</f>
        <v>150000</v>
      </c>
      <c r="C325" s="33">
        <f>200000-50000</f>
        <v>150000</v>
      </c>
      <c r="D325" s="21">
        <v>130970</v>
      </c>
      <c r="E325" s="59">
        <f t="shared" si="8"/>
        <v>87.313333333333333</v>
      </c>
      <c r="F325" s="2"/>
      <c r="G325" s="2"/>
    </row>
    <row r="326" spans="1:7" x14ac:dyDescent="0.2">
      <c r="A326" s="39" t="s">
        <v>24</v>
      </c>
      <c r="B326" s="37">
        <f>SUM(B323:B325)</f>
        <v>850000</v>
      </c>
      <c r="C326" s="37">
        <f>SUM(C323:C325)</f>
        <v>850000</v>
      </c>
      <c r="D326" s="25">
        <f>SUM(D323:D325)</f>
        <v>631731</v>
      </c>
      <c r="E326" s="59">
        <f t="shared" si="8"/>
        <v>74.321294117647057</v>
      </c>
      <c r="F326" s="2"/>
      <c r="G326" s="2"/>
    </row>
    <row r="327" spans="1:7" x14ac:dyDescent="0.2">
      <c r="A327" s="20" t="s">
        <v>22</v>
      </c>
      <c r="B327" s="33">
        <v>900000</v>
      </c>
      <c r="C327" s="33">
        <v>900000</v>
      </c>
      <c r="D327" s="21">
        <v>618587</v>
      </c>
      <c r="E327" s="59">
        <f t="shared" si="8"/>
        <v>68.731888888888889</v>
      </c>
      <c r="F327" s="2"/>
      <c r="G327" s="2"/>
    </row>
    <row r="328" spans="1:7" x14ac:dyDescent="0.2">
      <c r="A328" s="20" t="s">
        <v>23</v>
      </c>
      <c r="B328" s="33">
        <v>700000</v>
      </c>
      <c r="C328" s="33">
        <v>700000</v>
      </c>
      <c r="D328" s="21">
        <f>1475943-D327</f>
        <v>857356</v>
      </c>
      <c r="E328" s="59">
        <f t="shared" si="8"/>
        <v>122.47942857142857</v>
      </c>
      <c r="F328" s="2"/>
      <c r="G328" s="2"/>
    </row>
    <row r="329" spans="1:7" x14ac:dyDescent="0.2">
      <c r="A329" s="39" t="s">
        <v>40</v>
      </c>
      <c r="B329" s="37">
        <f>SUM(B327:B328)</f>
        <v>1600000</v>
      </c>
      <c r="C329" s="37">
        <f>SUM(C327:C328)</f>
        <v>1600000</v>
      </c>
      <c r="D329" s="25">
        <f>SUM(D327:D328)</f>
        <v>1475943</v>
      </c>
      <c r="E329" s="60">
        <f t="shared" si="8"/>
        <v>92.246437499999999</v>
      </c>
      <c r="F329" s="2"/>
      <c r="G329" s="2"/>
    </row>
    <row r="330" spans="1:7" x14ac:dyDescent="0.2">
      <c r="A330" s="40" t="s">
        <v>25</v>
      </c>
      <c r="B330" s="33">
        <v>2900000</v>
      </c>
      <c r="C330" s="33">
        <v>2900000</v>
      </c>
      <c r="D330" s="21">
        <f>3104282-D331</f>
        <v>2731022</v>
      </c>
      <c r="E330" s="59">
        <f t="shared" si="8"/>
        <v>94.173172413793111</v>
      </c>
      <c r="F330" s="2"/>
      <c r="G330" s="2"/>
    </row>
    <row r="331" spans="1:7" x14ac:dyDescent="0.2">
      <c r="A331" s="40" t="s">
        <v>103</v>
      </c>
      <c r="B331" s="33">
        <v>365000</v>
      </c>
      <c r="C331" s="33">
        <v>365000</v>
      </c>
      <c r="D331" s="21">
        <v>373260</v>
      </c>
      <c r="E331" s="59">
        <f t="shared" si="8"/>
        <v>102.26301369863013</v>
      </c>
      <c r="F331" s="2"/>
      <c r="G331" s="2"/>
    </row>
    <row r="332" spans="1:7" x14ac:dyDescent="0.2">
      <c r="A332" s="20" t="s">
        <v>104</v>
      </c>
      <c r="B332" s="33">
        <v>280000</v>
      </c>
      <c r="C332" s="33">
        <v>280000</v>
      </c>
      <c r="D332" s="21">
        <v>370897</v>
      </c>
      <c r="E332" s="59">
        <f t="shared" si="8"/>
        <v>132.46321428571429</v>
      </c>
      <c r="F332" s="2"/>
      <c r="G332" s="2"/>
    </row>
    <row r="333" spans="1:7" x14ac:dyDescent="0.2">
      <c r="A333" s="23" t="s">
        <v>26</v>
      </c>
      <c r="B333" s="37">
        <f>SUM(B330:B332)</f>
        <v>3545000</v>
      </c>
      <c r="C333" s="37">
        <f>SUM(C330:C332)</f>
        <v>3545000</v>
      </c>
      <c r="D333" s="25">
        <f>SUM(D330:D332)</f>
        <v>3475179</v>
      </c>
      <c r="E333" s="60">
        <f t="shared" si="8"/>
        <v>98.030437235543019</v>
      </c>
      <c r="F333" s="2"/>
      <c r="G333" s="2"/>
    </row>
    <row r="334" spans="1:7" x14ac:dyDescent="0.2">
      <c r="A334" s="20" t="s">
        <v>105</v>
      </c>
      <c r="B334" s="33">
        <f>700000</f>
        <v>700000</v>
      </c>
      <c r="C334" s="33">
        <f>700000</f>
        <v>700000</v>
      </c>
      <c r="D334" s="21">
        <f>715663+125</f>
        <v>715788</v>
      </c>
      <c r="E334" s="59">
        <f t="shared" si="8"/>
        <v>102.25542857142858</v>
      </c>
      <c r="F334" s="2"/>
      <c r="G334" s="2"/>
    </row>
    <row r="335" spans="1:7" x14ac:dyDescent="0.2">
      <c r="A335" s="20" t="s">
        <v>9</v>
      </c>
      <c r="B335" s="33">
        <v>600000</v>
      </c>
      <c r="C335" s="33">
        <v>600000</v>
      </c>
      <c r="D335" s="21">
        <v>528149</v>
      </c>
      <c r="E335" s="59">
        <f t="shared" si="8"/>
        <v>88.024833333333333</v>
      </c>
      <c r="F335" s="2"/>
      <c r="G335" s="2"/>
    </row>
    <row r="336" spans="1:7" x14ac:dyDescent="0.2">
      <c r="A336" s="20" t="s">
        <v>28</v>
      </c>
      <c r="B336" s="33">
        <v>100000</v>
      </c>
      <c r="C336" s="33">
        <v>100000</v>
      </c>
      <c r="D336" s="21">
        <v>133286</v>
      </c>
      <c r="E336" s="59">
        <f t="shared" si="8"/>
        <v>133.286</v>
      </c>
      <c r="F336" s="2"/>
      <c r="G336" s="2"/>
    </row>
    <row r="337" spans="1:7" x14ac:dyDescent="0.2">
      <c r="A337" s="20" t="s">
        <v>106</v>
      </c>
      <c r="B337" s="33"/>
      <c r="C337" s="33"/>
      <c r="D337" s="21">
        <v>165682</v>
      </c>
      <c r="E337" s="59"/>
      <c r="F337" s="2"/>
      <c r="G337" s="2"/>
    </row>
    <row r="338" spans="1:7" x14ac:dyDescent="0.2">
      <c r="A338" s="23" t="s">
        <v>11</v>
      </c>
      <c r="B338" s="37">
        <f>SUM(B334:B336)</f>
        <v>1400000</v>
      </c>
      <c r="C338" s="37">
        <f>SUM(C334:C336)</f>
        <v>1400000</v>
      </c>
      <c r="D338" s="25">
        <f>SUM(D334:D337)</f>
        <v>1542905</v>
      </c>
      <c r="E338" s="60">
        <f t="shared" si="8"/>
        <v>110.2075</v>
      </c>
      <c r="F338" s="2"/>
      <c r="G338" s="2"/>
    </row>
    <row r="339" spans="1:7" x14ac:dyDescent="0.2">
      <c r="A339" s="20" t="s">
        <v>107</v>
      </c>
      <c r="B339" s="33">
        <v>600000</v>
      </c>
      <c r="C339" s="33">
        <v>600000</v>
      </c>
      <c r="D339" s="21">
        <v>536970</v>
      </c>
      <c r="E339" s="59">
        <f t="shared" si="8"/>
        <v>89.495000000000005</v>
      </c>
      <c r="F339" s="2"/>
      <c r="G339" s="2"/>
    </row>
    <row r="340" spans="1:7" x14ac:dyDescent="0.2">
      <c r="A340" s="20" t="s">
        <v>29</v>
      </c>
      <c r="B340" s="33">
        <v>500000</v>
      </c>
      <c r="C340" s="33">
        <v>500000</v>
      </c>
      <c r="D340" s="21">
        <v>414292</v>
      </c>
      <c r="E340" s="59">
        <f t="shared" si="8"/>
        <v>82.858400000000003</v>
      </c>
      <c r="F340" s="2"/>
      <c r="G340" s="2"/>
    </row>
    <row r="341" spans="1:7" x14ac:dyDescent="0.2">
      <c r="A341" s="20" t="s">
        <v>108</v>
      </c>
      <c r="B341" s="19">
        <v>2600000</v>
      </c>
      <c r="C341" s="19">
        <f>2600000-159000</f>
        <v>2441000</v>
      </c>
      <c r="D341" s="21">
        <v>1909291</v>
      </c>
      <c r="E341" s="59">
        <f t="shared" si="8"/>
        <v>78.217574764440798</v>
      </c>
      <c r="F341" s="2"/>
      <c r="G341" s="2"/>
    </row>
    <row r="342" spans="1:7" x14ac:dyDescent="0.2">
      <c r="A342" s="20" t="s">
        <v>30</v>
      </c>
      <c r="B342" s="19">
        <f>1410000-200000</f>
        <v>1210000</v>
      </c>
      <c r="C342" s="19">
        <f>1410000-100000</f>
        <v>1310000</v>
      </c>
      <c r="D342" s="21">
        <v>463996</v>
      </c>
      <c r="E342" s="59">
        <f t="shared" si="8"/>
        <v>35.419541984732824</v>
      </c>
      <c r="F342" s="2"/>
      <c r="G342" s="2"/>
    </row>
    <row r="343" spans="1:7" x14ac:dyDescent="0.2">
      <c r="A343" s="20" t="s">
        <v>109</v>
      </c>
      <c r="B343" s="19">
        <v>2100000</v>
      </c>
      <c r="C343" s="19">
        <f>2100000-54000</f>
        <v>2046000</v>
      </c>
      <c r="D343" s="21">
        <v>2198459</v>
      </c>
      <c r="E343" s="59">
        <f t="shared" si="8"/>
        <v>107.45156402737048</v>
      </c>
      <c r="F343" s="2"/>
      <c r="G343" s="2"/>
    </row>
    <row r="344" spans="1:7" x14ac:dyDescent="0.2">
      <c r="A344" s="23" t="s">
        <v>32</v>
      </c>
      <c r="B344" s="24">
        <f>SUM(B339:B343)</f>
        <v>7010000</v>
      </c>
      <c r="C344" s="24">
        <f>SUM(C339:C343)</f>
        <v>6897000</v>
      </c>
      <c r="D344" s="21">
        <f>SUM(D339:D343)</f>
        <v>5523008</v>
      </c>
      <c r="E344" s="59">
        <f t="shared" si="8"/>
        <v>80.078410903291285</v>
      </c>
      <c r="F344" s="2"/>
      <c r="G344" s="2"/>
    </row>
    <row r="345" spans="1:7" x14ac:dyDescent="0.2">
      <c r="A345" s="23"/>
      <c r="B345" s="24"/>
      <c r="C345" s="24"/>
      <c r="D345" s="21"/>
      <c r="E345" s="59"/>
      <c r="F345" s="2"/>
      <c r="G345" s="2"/>
    </row>
    <row r="346" spans="1:7" x14ac:dyDescent="0.2">
      <c r="A346" s="20" t="s">
        <v>10</v>
      </c>
      <c r="B346" s="19">
        <f>(B323+B324+B325+B327+B330+B332+B335+B336+B339+B340+B341+B342+B343+B328)*0.27+B334*0.05-167000-176338</f>
        <v>3293462.0000000005</v>
      </c>
      <c r="C346" s="19">
        <f>(C323+C324+C325+C327+C330+C332+C335+C336+C339+C340+C341+C342+C343+C328)*0.27+C334*0.05-167000-176338+54000*0.27+159000*0.27-42740-2780-1796</f>
        <v>3273146.0000000005</v>
      </c>
      <c r="D346" s="21">
        <v>2443478</v>
      </c>
      <c r="E346" s="59">
        <f t="shared" si="8"/>
        <v>74.652276433742941</v>
      </c>
      <c r="F346" s="2"/>
      <c r="G346" s="2"/>
    </row>
    <row r="347" spans="1:7" x14ac:dyDescent="0.2">
      <c r="A347" s="20" t="s">
        <v>78</v>
      </c>
      <c r="B347" s="19">
        <v>351000</v>
      </c>
      <c r="C347" s="19">
        <f>'[1]3_melléklet'!C74*0.27+'[1]3_melléklet'!C80*0.27</f>
        <v>351000</v>
      </c>
      <c r="D347" s="21"/>
      <c r="E347" s="59">
        <f t="shared" si="8"/>
        <v>0</v>
      </c>
      <c r="F347" s="2"/>
      <c r="G347" s="2"/>
    </row>
    <row r="348" spans="1:7" x14ac:dyDescent="0.2">
      <c r="A348" s="20" t="s">
        <v>80</v>
      </c>
      <c r="B348" s="19">
        <v>1300000</v>
      </c>
      <c r="C348" s="19">
        <f>1300000-100000</f>
        <v>1200000</v>
      </c>
      <c r="D348" s="21">
        <v>1103325</v>
      </c>
      <c r="E348" s="59">
        <f t="shared" si="8"/>
        <v>91.943750000000009</v>
      </c>
      <c r="F348" s="2"/>
      <c r="G348" s="2"/>
    </row>
    <row r="349" spans="1:7" x14ac:dyDescent="0.2">
      <c r="A349" s="39" t="s">
        <v>34</v>
      </c>
      <c r="B349" s="37">
        <f>SUM(B346:B348)</f>
        <v>4944462</v>
      </c>
      <c r="C349" s="37">
        <f>SUM(C346:C348)</f>
        <v>4824146</v>
      </c>
      <c r="D349" s="25">
        <f>SUM(D346:D348)</f>
        <v>3546803</v>
      </c>
      <c r="E349" s="60">
        <f t="shared" si="8"/>
        <v>73.521883458751034</v>
      </c>
      <c r="F349" s="2"/>
      <c r="G349" s="2"/>
    </row>
    <row r="350" spans="1:7" x14ac:dyDescent="0.2">
      <c r="A350" s="27" t="s">
        <v>12</v>
      </c>
      <c r="B350" s="37">
        <f>B326+B329+B333+B338+B344+B349</f>
        <v>19349462</v>
      </c>
      <c r="C350" s="37">
        <f>C326+C329+C333+C338+C344+C349</f>
        <v>19116146</v>
      </c>
      <c r="D350" s="25">
        <f>D326+D329+D333+D338+D344+D349</f>
        <v>16195569</v>
      </c>
      <c r="E350" s="60">
        <f t="shared" si="8"/>
        <v>84.721936105740141</v>
      </c>
      <c r="F350" s="2"/>
      <c r="G350" s="2"/>
    </row>
    <row r="351" spans="1:7" x14ac:dyDescent="0.2">
      <c r="A351" s="27"/>
      <c r="B351" s="24"/>
      <c r="C351" s="24"/>
      <c r="D351" s="21"/>
      <c r="E351" s="59"/>
      <c r="F351" s="2"/>
      <c r="G351" s="2"/>
    </row>
    <row r="352" spans="1:7" x14ac:dyDescent="0.2">
      <c r="A352" s="28" t="s">
        <v>13</v>
      </c>
      <c r="B352" s="63">
        <f>B315+B321+B350</f>
        <v>101766971</v>
      </c>
      <c r="C352" s="63">
        <f>C315+C321+C350</f>
        <v>103349536</v>
      </c>
      <c r="D352" s="25">
        <f>D315+D321+D350</f>
        <v>97947084</v>
      </c>
      <c r="E352" s="60">
        <f t="shared" si="8"/>
        <v>94.772640295163015</v>
      </c>
      <c r="F352" s="2"/>
      <c r="G352" s="2"/>
    </row>
    <row r="353" spans="1:7" x14ac:dyDescent="0.2">
      <c r="A353" s="28"/>
      <c r="B353" s="28"/>
      <c r="C353" s="63"/>
      <c r="D353" s="3"/>
      <c r="E353" s="3"/>
      <c r="F353" s="2"/>
      <c r="G353" s="2"/>
    </row>
    <row r="354" spans="1:7" x14ac:dyDescent="0.2">
      <c r="A354" s="14" t="s">
        <v>110</v>
      </c>
      <c r="B354" s="15"/>
      <c r="C354" s="15"/>
      <c r="D354" s="15"/>
      <c r="E354" s="30"/>
      <c r="F354" s="2"/>
      <c r="G354" s="2"/>
    </row>
    <row r="355" spans="1:7" x14ac:dyDescent="0.2">
      <c r="A355" s="34" t="s">
        <v>111</v>
      </c>
      <c r="B355" s="54">
        <v>700000</v>
      </c>
      <c r="C355" s="19">
        <v>700000</v>
      </c>
      <c r="D355" s="21">
        <v>700000</v>
      </c>
      <c r="E355" s="59">
        <f>D355/C355*100</f>
        <v>100</v>
      </c>
      <c r="F355" s="2"/>
      <c r="G355" s="2"/>
    </row>
    <row r="356" spans="1:7" x14ac:dyDescent="0.2">
      <c r="A356" s="35" t="s">
        <v>17</v>
      </c>
      <c r="B356" s="55">
        <f>SUM(B355:B355)</f>
        <v>700000</v>
      </c>
      <c r="C356" s="24">
        <f>SUM(C355:C355)</f>
        <v>700000</v>
      </c>
      <c r="D356" s="25">
        <f>SUM(D355)</f>
        <v>700000</v>
      </c>
      <c r="E356" s="60">
        <f>D356/C356*100</f>
        <v>100</v>
      </c>
      <c r="F356" s="2"/>
      <c r="G356" s="2"/>
    </row>
    <row r="357" spans="1:7" x14ac:dyDescent="0.2">
      <c r="A357" s="35"/>
      <c r="B357" s="55"/>
      <c r="C357" s="24"/>
      <c r="D357" s="21"/>
      <c r="E357" s="59"/>
      <c r="F357" s="2"/>
      <c r="G357" s="2"/>
    </row>
    <row r="358" spans="1:7" x14ac:dyDescent="0.2">
      <c r="A358" s="20" t="s">
        <v>18</v>
      </c>
      <c r="B358" s="54">
        <v>122850</v>
      </c>
      <c r="C358" s="19">
        <v>122850</v>
      </c>
      <c r="D358" s="21">
        <v>122850</v>
      </c>
      <c r="E358" s="59">
        <f>D358/C358*100</f>
        <v>100</v>
      </c>
      <c r="F358" s="2"/>
      <c r="G358" s="2"/>
    </row>
    <row r="359" spans="1:7" x14ac:dyDescent="0.2">
      <c r="A359" s="35" t="s">
        <v>19</v>
      </c>
      <c r="B359" s="55">
        <f>SUM(B358:B358)</f>
        <v>122850</v>
      </c>
      <c r="C359" s="24">
        <f>SUM(C358:C358)</f>
        <v>122850</v>
      </c>
      <c r="D359" s="25">
        <f>SUM(D358)</f>
        <v>122850</v>
      </c>
      <c r="E359" s="60">
        <f>D359/C359*100</f>
        <v>100</v>
      </c>
      <c r="F359" s="2"/>
      <c r="G359" s="2"/>
    </row>
    <row r="360" spans="1:7" x14ac:dyDescent="0.2">
      <c r="A360" s="35"/>
      <c r="B360" s="55"/>
      <c r="C360" s="24"/>
      <c r="D360" s="21"/>
      <c r="E360" s="59"/>
      <c r="F360" s="2"/>
      <c r="G360" s="2"/>
    </row>
    <row r="361" spans="1:7" x14ac:dyDescent="0.2">
      <c r="A361" s="28" t="s">
        <v>13</v>
      </c>
      <c r="B361" s="55">
        <f>B356+B359</f>
        <v>822850</v>
      </c>
      <c r="C361" s="24">
        <f>C356+C359</f>
        <v>822850</v>
      </c>
      <c r="D361" s="25">
        <f>D359+D356</f>
        <v>822850</v>
      </c>
      <c r="E361" s="60">
        <f>D361/C361*100</f>
        <v>100</v>
      </c>
      <c r="F361" s="2"/>
      <c r="G361" s="2"/>
    </row>
    <row r="362" spans="1:7" x14ac:dyDescent="0.2">
      <c r="A362" s="35"/>
      <c r="B362" s="35"/>
      <c r="C362" s="24"/>
      <c r="D362" s="3"/>
      <c r="E362" s="3"/>
      <c r="F362" s="2"/>
      <c r="G362" s="2"/>
    </row>
    <row r="363" spans="1:7" x14ac:dyDescent="0.2">
      <c r="A363" s="14" t="s">
        <v>112</v>
      </c>
      <c r="B363" s="15"/>
      <c r="C363" s="15"/>
      <c r="D363" s="15"/>
      <c r="E363" s="30"/>
      <c r="F363" s="2"/>
      <c r="G363" s="2"/>
    </row>
    <row r="364" spans="1:7" x14ac:dyDescent="0.2">
      <c r="A364" s="20" t="s">
        <v>113</v>
      </c>
      <c r="B364" s="54">
        <v>639659</v>
      </c>
      <c r="C364" s="19">
        <v>639659</v>
      </c>
      <c r="D364" s="21">
        <v>637646</v>
      </c>
      <c r="E364" s="59">
        <f t="shared" ref="E364:E370" si="9">D364/C364*100</f>
        <v>99.685301074478744</v>
      </c>
      <c r="F364" s="2"/>
      <c r="G364" s="2"/>
    </row>
    <row r="365" spans="1:7" x14ac:dyDescent="0.2">
      <c r="A365" s="35" t="s">
        <v>17</v>
      </c>
      <c r="B365" s="55">
        <f>SUM(B364:B364)</f>
        <v>639659</v>
      </c>
      <c r="C365" s="24">
        <f>SUM(C364:C364)</f>
        <v>639659</v>
      </c>
      <c r="D365" s="25">
        <f>SUM(D364)</f>
        <v>637646</v>
      </c>
      <c r="E365" s="60">
        <f t="shared" si="9"/>
        <v>99.685301074478744</v>
      </c>
      <c r="F365" s="2"/>
      <c r="G365" s="2"/>
    </row>
    <row r="366" spans="1:7" x14ac:dyDescent="0.2">
      <c r="A366" s="35"/>
      <c r="B366" s="55"/>
      <c r="C366" s="24"/>
      <c r="D366" s="21"/>
      <c r="E366" s="59"/>
      <c r="F366" s="2"/>
      <c r="G366" s="2"/>
    </row>
    <row r="367" spans="1:7" x14ac:dyDescent="0.2">
      <c r="A367" s="20" t="s">
        <v>18</v>
      </c>
      <c r="B367" s="54">
        <v>125974</v>
      </c>
      <c r="C367" s="19">
        <v>125974</v>
      </c>
      <c r="D367" s="21">
        <v>128483</v>
      </c>
      <c r="E367" s="59">
        <f t="shared" si="9"/>
        <v>101.99168082302697</v>
      </c>
      <c r="F367" s="2"/>
      <c r="G367" s="2"/>
    </row>
    <row r="368" spans="1:7" x14ac:dyDescent="0.2">
      <c r="A368" s="35" t="s">
        <v>19</v>
      </c>
      <c r="B368" s="55">
        <f>SUM(B367:B367)</f>
        <v>125974</v>
      </c>
      <c r="C368" s="24">
        <f>SUM(C367:C367)</f>
        <v>125974</v>
      </c>
      <c r="D368" s="25">
        <f>SUM(D367)</f>
        <v>128483</v>
      </c>
      <c r="E368" s="60">
        <f t="shared" si="9"/>
        <v>101.99168082302697</v>
      </c>
      <c r="F368" s="2"/>
      <c r="G368" s="2"/>
    </row>
    <row r="369" spans="1:7" x14ac:dyDescent="0.2">
      <c r="A369" s="28"/>
      <c r="B369" s="63"/>
      <c r="C369" s="63"/>
      <c r="D369" s="25"/>
      <c r="E369" s="60"/>
      <c r="F369" s="2"/>
      <c r="G369" s="2"/>
    </row>
    <row r="370" spans="1:7" x14ac:dyDescent="0.2">
      <c r="A370" s="28" t="s">
        <v>13</v>
      </c>
      <c r="B370" s="55">
        <f>B365+B368</f>
        <v>765633</v>
      </c>
      <c r="C370" s="24">
        <f>C365+C368</f>
        <v>765633</v>
      </c>
      <c r="D370" s="25">
        <f>D365+D368</f>
        <v>766129</v>
      </c>
      <c r="E370" s="60">
        <f t="shared" si="9"/>
        <v>100.06478299655316</v>
      </c>
      <c r="F370" s="2"/>
      <c r="G370" s="2"/>
    </row>
    <row r="371" spans="1:7" x14ac:dyDescent="0.2">
      <c r="A371" s="27"/>
      <c r="B371" s="27"/>
      <c r="C371" s="3"/>
      <c r="D371" s="3"/>
      <c r="E371" s="3"/>
      <c r="F371" s="2"/>
      <c r="G371" s="2"/>
    </row>
    <row r="372" spans="1:7" x14ac:dyDescent="0.2">
      <c r="A372" s="27"/>
      <c r="B372" s="27"/>
      <c r="C372" s="3"/>
      <c r="D372" s="3"/>
      <c r="E372" s="3"/>
      <c r="F372" s="2"/>
      <c r="G372" s="2"/>
    </row>
    <row r="373" spans="1:7" x14ac:dyDescent="0.2">
      <c r="A373" s="44" t="s">
        <v>114</v>
      </c>
      <c r="B373" s="45"/>
      <c r="C373" s="45"/>
      <c r="D373" s="45"/>
      <c r="E373" s="46"/>
      <c r="F373" s="2"/>
      <c r="G373" s="2"/>
    </row>
    <row r="374" spans="1:7" x14ac:dyDescent="0.2">
      <c r="A374" s="47"/>
      <c r="B374" s="47"/>
      <c r="C374" s="48"/>
      <c r="D374" s="3"/>
      <c r="E374" s="3"/>
      <c r="F374" s="2"/>
      <c r="G374" s="2"/>
    </row>
    <row r="375" spans="1:7" x14ac:dyDescent="0.2">
      <c r="A375" s="20" t="s">
        <v>115</v>
      </c>
      <c r="B375" s="33">
        <v>532775</v>
      </c>
      <c r="C375" s="33">
        <f>532775+532775</f>
        <v>1065550</v>
      </c>
      <c r="D375" s="21">
        <v>1065551</v>
      </c>
      <c r="E375" s="59">
        <f>D375/C375*100</f>
        <v>100.00009384824737</v>
      </c>
      <c r="F375" s="2"/>
      <c r="G375" s="2"/>
    </row>
    <row r="376" spans="1:7" x14ac:dyDescent="0.2">
      <c r="A376" s="35" t="s">
        <v>17</v>
      </c>
      <c r="B376" s="37">
        <f>B375</f>
        <v>532775</v>
      </c>
      <c r="C376" s="37">
        <f>C375</f>
        <v>1065550</v>
      </c>
      <c r="D376" s="25">
        <f>SUM(D375)</f>
        <v>1065551</v>
      </c>
      <c r="E376" s="60">
        <f>D376/C376*100</f>
        <v>100.00009384824737</v>
      </c>
      <c r="F376" s="2"/>
      <c r="G376" s="2"/>
    </row>
    <row r="377" spans="1:7" x14ac:dyDescent="0.2">
      <c r="A377" s="35"/>
      <c r="B377" s="37"/>
      <c r="C377" s="37"/>
      <c r="D377" s="21"/>
      <c r="E377" s="59"/>
      <c r="F377" s="2"/>
      <c r="G377" s="2"/>
    </row>
    <row r="378" spans="1:7" x14ac:dyDescent="0.2">
      <c r="A378" s="20" t="s">
        <v>18</v>
      </c>
      <c r="B378" s="33">
        <v>51946</v>
      </c>
      <c r="C378" s="33">
        <f>51946+51946</f>
        <v>103892</v>
      </c>
      <c r="D378" s="21">
        <v>103892</v>
      </c>
      <c r="E378" s="59">
        <f>D378/C378*100</f>
        <v>100</v>
      </c>
      <c r="F378" s="2"/>
      <c r="G378" s="2"/>
    </row>
    <row r="379" spans="1:7" x14ac:dyDescent="0.2">
      <c r="A379" s="35" t="s">
        <v>19</v>
      </c>
      <c r="B379" s="37">
        <f>SUM(B378:B378)</f>
        <v>51946</v>
      </c>
      <c r="C379" s="37">
        <f>SUM(C378:C378)</f>
        <v>103892</v>
      </c>
      <c r="D379" s="25">
        <f>SUM(D378)</f>
        <v>103892</v>
      </c>
      <c r="E379" s="60">
        <f>D379/C379*100</f>
        <v>100</v>
      </c>
      <c r="F379" s="2"/>
      <c r="G379" s="2"/>
    </row>
    <row r="380" spans="1:7" x14ac:dyDescent="0.2">
      <c r="A380" s="35"/>
      <c r="B380" s="37"/>
      <c r="C380" s="37"/>
      <c r="D380" s="21"/>
      <c r="E380" s="59"/>
      <c r="F380" s="2"/>
      <c r="G380" s="2"/>
    </row>
    <row r="381" spans="1:7" x14ac:dyDescent="0.2">
      <c r="A381" s="20" t="s">
        <v>109</v>
      </c>
      <c r="B381" s="37"/>
      <c r="C381" s="37"/>
      <c r="D381" s="21">
        <v>1900</v>
      </c>
      <c r="E381" s="59"/>
      <c r="F381" s="2"/>
      <c r="G381" s="2"/>
    </row>
    <row r="382" spans="1:7" x14ac:dyDescent="0.2">
      <c r="A382" s="23" t="s">
        <v>32</v>
      </c>
      <c r="B382" s="37"/>
      <c r="C382" s="37"/>
      <c r="D382" s="25">
        <f>SUM(D381)</f>
        <v>1900</v>
      </c>
      <c r="E382" s="59"/>
      <c r="F382" s="2"/>
      <c r="G382" s="2"/>
    </row>
    <row r="383" spans="1:7" x14ac:dyDescent="0.2">
      <c r="A383" s="27" t="s">
        <v>12</v>
      </c>
      <c r="B383" s="37"/>
      <c r="C383" s="37"/>
      <c r="D383" s="25">
        <f>D382</f>
        <v>1900</v>
      </c>
      <c r="E383" s="59"/>
      <c r="F383" s="2"/>
      <c r="G383" s="2"/>
    </row>
    <row r="384" spans="1:7" x14ac:dyDescent="0.2">
      <c r="A384" s="27"/>
      <c r="B384" s="37"/>
      <c r="C384" s="37"/>
      <c r="D384" s="21"/>
      <c r="E384" s="59"/>
      <c r="F384" s="2"/>
      <c r="G384" s="2"/>
    </row>
    <row r="385" spans="1:7" x14ac:dyDescent="0.2">
      <c r="A385" s="28" t="s">
        <v>13</v>
      </c>
      <c r="B385" s="37">
        <f>B376+B379</f>
        <v>584721</v>
      </c>
      <c r="C385" s="37">
        <f>C376+C379</f>
        <v>1169442</v>
      </c>
      <c r="D385" s="25">
        <f>D376+D379+D383</f>
        <v>1171343</v>
      </c>
      <c r="E385" s="60">
        <f>D385/C385*100</f>
        <v>100.16255615926228</v>
      </c>
      <c r="F385" s="2"/>
      <c r="G385" s="2"/>
    </row>
    <row r="386" spans="1:7" x14ac:dyDescent="0.2">
      <c r="A386" s="27"/>
      <c r="B386" s="27"/>
      <c r="C386" s="3"/>
      <c r="D386" s="3"/>
      <c r="E386" s="3"/>
      <c r="F386" s="2"/>
      <c r="G386" s="2"/>
    </row>
    <row r="387" spans="1:7" x14ac:dyDescent="0.2">
      <c r="A387" s="27"/>
      <c r="B387" s="27"/>
      <c r="C387" s="3"/>
      <c r="D387" s="3"/>
      <c r="E387" s="3"/>
      <c r="F387" s="2"/>
      <c r="G387" s="2"/>
    </row>
    <row r="388" spans="1:7" x14ac:dyDescent="0.2">
      <c r="A388" s="27"/>
      <c r="B388" s="27"/>
      <c r="C388" s="3"/>
      <c r="D388" s="3"/>
      <c r="E388" s="3"/>
      <c r="F388" s="2"/>
      <c r="G388" s="2"/>
    </row>
    <row r="389" spans="1:7" ht="13.5" customHeight="1" x14ac:dyDescent="0.2">
      <c r="A389" s="74" t="s">
        <v>116</v>
      </c>
      <c r="B389" s="75"/>
      <c r="C389" s="75"/>
      <c r="D389" s="75"/>
      <c r="E389" s="76"/>
      <c r="F389" s="2"/>
      <c r="G389" s="2"/>
    </row>
    <row r="390" spans="1:7" x14ac:dyDescent="0.2">
      <c r="A390" s="77"/>
      <c r="B390" s="77"/>
      <c r="C390" s="77"/>
      <c r="D390" s="78"/>
      <c r="E390" s="3"/>
      <c r="F390" s="2"/>
      <c r="G390" s="2"/>
    </row>
    <row r="391" spans="1:7" x14ac:dyDescent="0.2">
      <c r="A391" s="79" t="s">
        <v>117</v>
      </c>
      <c r="B391" s="79"/>
      <c r="C391" s="79">
        <v>920000</v>
      </c>
      <c r="D391" s="80">
        <f>509000+441531-D392</f>
        <v>928451</v>
      </c>
      <c r="E391" s="59">
        <f>D391/C391*100</f>
        <v>100.91858695652174</v>
      </c>
      <c r="F391" s="2"/>
      <c r="G391" s="2"/>
    </row>
    <row r="392" spans="1:7" x14ac:dyDescent="0.2">
      <c r="A392" s="79" t="s">
        <v>118</v>
      </c>
      <c r="B392" s="79"/>
      <c r="C392" s="79">
        <v>18708</v>
      </c>
      <c r="D392" s="80">
        <f>22080</f>
        <v>22080</v>
      </c>
      <c r="E392" s="59">
        <f>D392/C392*100</f>
        <v>118.02437459910198</v>
      </c>
      <c r="F392" s="2"/>
      <c r="G392" s="2"/>
    </row>
    <row r="393" spans="1:7" x14ac:dyDescent="0.2">
      <c r="A393" s="81" t="s">
        <v>17</v>
      </c>
      <c r="B393" s="81"/>
      <c r="C393" s="81">
        <f>SUM(C391:C392)</f>
        <v>938708</v>
      </c>
      <c r="D393" s="82">
        <f>SUM(D391:D392)</f>
        <v>950531</v>
      </c>
      <c r="E393" s="59">
        <f>D393/C393*100</f>
        <v>101.25949709600857</v>
      </c>
      <c r="F393" s="2"/>
      <c r="G393" s="2"/>
    </row>
    <row r="394" spans="1:7" x14ac:dyDescent="0.2">
      <c r="A394" s="81"/>
      <c r="B394" s="81"/>
      <c r="C394" s="81"/>
      <c r="D394" s="82"/>
      <c r="E394" s="59"/>
      <c r="F394" s="2"/>
      <c r="G394" s="2"/>
    </row>
    <row r="395" spans="1:7" x14ac:dyDescent="0.2">
      <c r="A395" s="83" t="s">
        <v>18</v>
      </c>
      <c r="B395" s="83"/>
      <c r="C395" s="83">
        <v>169650</v>
      </c>
      <c r="D395" s="84">
        <v>171234</v>
      </c>
      <c r="E395" s="59">
        <f>D395/C395*100</f>
        <v>100.93368700265253</v>
      </c>
      <c r="F395" s="2"/>
      <c r="G395" s="2"/>
    </row>
    <row r="396" spans="1:7" x14ac:dyDescent="0.2">
      <c r="A396" s="83" t="s">
        <v>44</v>
      </c>
      <c r="B396" s="83"/>
      <c r="C396" s="83"/>
      <c r="D396" s="84">
        <v>4955</v>
      </c>
      <c r="E396" s="59"/>
      <c r="F396" s="2"/>
      <c r="G396" s="2"/>
    </row>
    <row r="397" spans="1:7" x14ac:dyDescent="0.2">
      <c r="A397" s="20" t="s">
        <v>65</v>
      </c>
      <c r="B397" s="20"/>
      <c r="C397" s="83">
        <v>8765</v>
      </c>
      <c r="D397" s="84">
        <v>3810</v>
      </c>
      <c r="E397" s="59">
        <f>D397/C397*100</f>
        <v>43.468339988590984</v>
      </c>
      <c r="F397" s="2"/>
      <c r="G397" s="2"/>
    </row>
    <row r="398" spans="1:7" x14ac:dyDescent="0.2">
      <c r="A398" s="81" t="s">
        <v>19</v>
      </c>
      <c r="B398" s="81"/>
      <c r="C398" s="81">
        <f>SUM(C395:C397)</f>
        <v>178415</v>
      </c>
      <c r="D398" s="85">
        <f>SUM(D395:D397)</f>
        <v>179999</v>
      </c>
      <c r="E398" s="59">
        <f>D398/C398*100</f>
        <v>100.88781772833002</v>
      </c>
      <c r="F398" s="2"/>
      <c r="G398" s="2"/>
    </row>
    <row r="399" spans="1:7" x14ac:dyDescent="0.2">
      <c r="A399" s="81"/>
      <c r="B399" s="81"/>
      <c r="C399" s="83"/>
      <c r="D399" s="21"/>
      <c r="E399" s="59"/>
      <c r="F399" s="2"/>
      <c r="G399" s="2"/>
    </row>
    <row r="400" spans="1:7" x14ac:dyDescent="0.2">
      <c r="A400" s="20" t="s">
        <v>21</v>
      </c>
      <c r="B400" s="20"/>
      <c r="C400" s="83">
        <v>31300</v>
      </c>
      <c r="D400" s="21">
        <f>35833+1085</f>
        <v>36918</v>
      </c>
      <c r="E400" s="59">
        <f>D400/C400*100</f>
        <v>117.94888178913739</v>
      </c>
      <c r="F400" s="2"/>
      <c r="G400" s="2"/>
    </row>
    <row r="401" spans="1:7" x14ac:dyDescent="0.2">
      <c r="A401" s="39" t="s">
        <v>24</v>
      </c>
      <c r="B401" s="39"/>
      <c r="C401" s="86">
        <f>SUM(C400)</f>
        <v>31300</v>
      </c>
      <c r="D401" s="25">
        <f>SUM(D400)</f>
        <v>36918</v>
      </c>
      <c r="E401" s="60">
        <f>D401/C401*100</f>
        <v>117.94888178913739</v>
      </c>
      <c r="F401" s="2"/>
      <c r="G401" s="2"/>
    </row>
    <row r="402" spans="1:7" x14ac:dyDescent="0.2">
      <c r="A402" s="20" t="s">
        <v>10</v>
      </c>
      <c r="B402" s="20"/>
      <c r="C402" s="83">
        <f>8450</f>
        <v>8450</v>
      </c>
      <c r="D402" s="21">
        <v>9676</v>
      </c>
      <c r="E402" s="59">
        <f>D402/C402*100</f>
        <v>114.50887573964496</v>
      </c>
      <c r="F402" s="2"/>
      <c r="G402" s="2"/>
    </row>
    <row r="403" spans="1:7" x14ac:dyDescent="0.2">
      <c r="A403" s="39" t="s">
        <v>34</v>
      </c>
      <c r="B403" s="39"/>
      <c r="C403" s="86">
        <f>SUM(C402)</f>
        <v>8450</v>
      </c>
      <c r="D403" s="25">
        <f>SUM(D402)</f>
        <v>9676</v>
      </c>
      <c r="E403" s="60">
        <f>D403/C403*100</f>
        <v>114.50887573964496</v>
      </c>
      <c r="F403" s="2"/>
      <c r="G403" s="2"/>
    </row>
    <row r="404" spans="1:7" x14ac:dyDescent="0.2">
      <c r="A404" s="27" t="s">
        <v>12</v>
      </c>
      <c r="B404" s="27"/>
      <c r="C404" s="86">
        <f>C401+C403</f>
        <v>39750</v>
      </c>
      <c r="D404" s="25">
        <f>D401+D403</f>
        <v>46594</v>
      </c>
      <c r="E404" s="60">
        <f>D404/C404*100</f>
        <v>117.21761006289309</v>
      </c>
      <c r="F404" s="2"/>
      <c r="G404" s="2"/>
    </row>
    <row r="405" spans="1:7" x14ac:dyDescent="0.2">
      <c r="A405" s="81"/>
      <c r="B405" s="81"/>
      <c r="C405" s="81"/>
      <c r="D405" s="21"/>
      <c r="E405" s="59"/>
      <c r="F405" s="2"/>
      <c r="G405" s="2"/>
    </row>
    <row r="406" spans="1:7" x14ac:dyDescent="0.2">
      <c r="A406" s="87" t="s">
        <v>13</v>
      </c>
      <c r="B406" s="87"/>
      <c r="C406" s="87">
        <f>C393+C398+C404</f>
        <v>1156873</v>
      </c>
      <c r="D406" s="85">
        <f>D393+D398+D404</f>
        <v>1177124</v>
      </c>
      <c r="E406" s="60">
        <f>D406/C406*100</f>
        <v>101.75049465239485</v>
      </c>
      <c r="F406" s="2"/>
      <c r="G406" s="2"/>
    </row>
    <row r="407" spans="1:7" x14ac:dyDescent="0.2">
      <c r="A407" s="27"/>
      <c r="B407" s="27"/>
      <c r="C407" s="3"/>
      <c r="D407" s="3"/>
      <c r="E407" s="59"/>
      <c r="F407" s="2"/>
      <c r="G407" s="2"/>
    </row>
    <row r="408" spans="1:7" x14ac:dyDescent="0.2">
      <c r="A408" s="27"/>
      <c r="B408" s="27"/>
      <c r="C408" s="3"/>
      <c r="D408" s="3"/>
      <c r="E408" s="59"/>
      <c r="F408" s="2"/>
      <c r="G408" s="2"/>
    </row>
    <row r="409" spans="1:7" x14ac:dyDescent="0.2">
      <c r="A409" s="35" t="s">
        <v>17</v>
      </c>
      <c r="B409" s="37">
        <f>B315+B365+B355+B376+B393</f>
        <v>69162770</v>
      </c>
      <c r="C409" s="37">
        <f>C315+C365+C355+C376+C393</f>
        <v>72151167</v>
      </c>
      <c r="D409" s="37">
        <f>D315+D365+D355+D376+D393</f>
        <v>71075445</v>
      </c>
      <c r="E409" s="60">
        <f>D409/C409*100</f>
        <v>98.509071932266878</v>
      </c>
      <c r="F409" s="2"/>
      <c r="G409" s="2"/>
    </row>
    <row r="410" spans="1:7" x14ac:dyDescent="0.2">
      <c r="A410" s="35" t="s">
        <v>19</v>
      </c>
      <c r="B410" s="24">
        <f>B321+B368+B359+B379+B398</f>
        <v>15427943</v>
      </c>
      <c r="C410" s="24">
        <f>C321+C368+C359+C379+C398</f>
        <v>15957271</v>
      </c>
      <c r="D410" s="24">
        <f>D321+D368+D359+D379+D398</f>
        <v>14565022</v>
      </c>
      <c r="E410" s="60">
        <f>D410/C410*100</f>
        <v>91.275143475347392</v>
      </c>
      <c r="F410" s="2"/>
      <c r="G410" s="2"/>
    </row>
    <row r="411" spans="1:7" x14ac:dyDescent="0.2">
      <c r="A411" s="27" t="s">
        <v>89</v>
      </c>
      <c r="B411" s="24">
        <f>B298+B350+B404</f>
        <v>28565942</v>
      </c>
      <c r="C411" s="24">
        <f>C298+C350+C404</f>
        <v>28397738</v>
      </c>
      <c r="D411" s="24">
        <f>D298+D350+D404+D383</f>
        <v>24540713</v>
      </c>
      <c r="E411" s="60">
        <f>D411/C411*100</f>
        <v>86.41784426632853</v>
      </c>
      <c r="F411" s="2"/>
      <c r="G411" s="2"/>
    </row>
    <row r="412" spans="1:7" ht="22.5" x14ac:dyDescent="0.2">
      <c r="A412" s="69" t="s">
        <v>119</v>
      </c>
      <c r="B412" s="24">
        <f>SUM(B409:B411)</f>
        <v>113156655</v>
      </c>
      <c r="C412" s="24">
        <f>SUM(C409:C411)</f>
        <v>116506176</v>
      </c>
      <c r="D412" s="25">
        <f>SUM(D409:D411)</f>
        <v>110181180</v>
      </c>
      <c r="E412" s="60">
        <f>D412/C412*100</f>
        <v>94.571106685365763</v>
      </c>
      <c r="F412" s="70"/>
      <c r="G412" s="70"/>
    </row>
    <row r="413" spans="1:7" x14ac:dyDescent="0.2">
      <c r="A413" s="69"/>
      <c r="B413" s="69"/>
      <c r="C413" s="24"/>
      <c r="D413" s="3"/>
      <c r="E413" s="3"/>
      <c r="F413" s="2"/>
      <c r="G413" s="2"/>
    </row>
    <row r="414" spans="1:7" ht="12.75" customHeight="1" x14ac:dyDescent="0.2">
      <c r="A414" s="69"/>
      <c r="B414" s="69"/>
      <c r="C414" s="24"/>
      <c r="D414" s="3"/>
      <c r="E414" s="3"/>
      <c r="F414" s="2"/>
      <c r="G414" s="2"/>
    </row>
    <row r="415" spans="1:7" x14ac:dyDescent="0.2">
      <c r="A415" s="69"/>
      <c r="B415" s="69"/>
      <c r="C415" s="24"/>
      <c r="D415" s="3"/>
      <c r="E415" s="3"/>
      <c r="F415" s="2"/>
      <c r="G415" s="2"/>
    </row>
    <row r="416" spans="1:7" x14ac:dyDescent="0.2">
      <c r="A416" s="88" t="s">
        <v>120</v>
      </c>
      <c r="B416" s="88"/>
      <c r="C416" s="88"/>
      <c r="D416" s="88"/>
      <c r="E416" s="88"/>
      <c r="F416" s="2"/>
      <c r="G416" s="2"/>
    </row>
    <row r="417" spans="1:7" x14ac:dyDescent="0.2">
      <c r="A417" s="89"/>
      <c r="B417" s="89"/>
      <c r="C417" s="19"/>
      <c r="D417" s="3"/>
      <c r="E417" s="3"/>
      <c r="F417" s="2"/>
      <c r="G417" s="2"/>
    </row>
    <row r="418" spans="1:7" x14ac:dyDescent="0.2">
      <c r="A418" s="6" t="s">
        <v>2</v>
      </c>
      <c r="B418" s="6"/>
      <c r="C418" s="6"/>
      <c r="D418" s="6"/>
      <c r="E418" s="6"/>
      <c r="F418" s="2"/>
      <c r="G418" s="2"/>
    </row>
    <row r="419" spans="1:7" x14ac:dyDescent="0.2">
      <c r="A419" s="7"/>
      <c r="B419" s="7"/>
      <c r="C419" s="7"/>
      <c r="D419" s="3"/>
      <c r="E419" s="3"/>
      <c r="F419" s="2"/>
      <c r="G419" s="2"/>
    </row>
    <row r="420" spans="1:7" x14ac:dyDescent="0.2">
      <c r="A420" s="44" t="s">
        <v>114</v>
      </c>
      <c r="B420" s="45"/>
      <c r="C420" s="45"/>
      <c r="D420" s="45"/>
      <c r="E420" s="46"/>
      <c r="F420" s="2"/>
      <c r="G420" s="2"/>
    </row>
    <row r="421" spans="1:7" x14ac:dyDescent="0.2">
      <c r="A421" s="47"/>
      <c r="B421" s="47"/>
      <c r="C421" s="48"/>
      <c r="D421" s="3"/>
      <c r="E421" s="3"/>
      <c r="F421" s="2"/>
      <c r="G421" s="2"/>
    </row>
    <row r="422" spans="1:7" ht="12.75" customHeight="1" x14ac:dyDescent="0.2">
      <c r="A422" s="20" t="s">
        <v>121</v>
      </c>
      <c r="B422" s="33">
        <v>14095835</v>
      </c>
      <c r="C422" s="33">
        <f>14095835+426220+9327522</f>
        <v>23849577</v>
      </c>
      <c r="D422" s="21">
        <v>19678622</v>
      </c>
      <c r="E422" s="59">
        <f>D422/C422*100</f>
        <v>82.511408902556212</v>
      </c>
      <c r="F422" s="2"/>
      <c r="G422" s="2"/>
    </row>
    <row r="423" spans="1:7" ht="12.75" customHeight="1" x14ac:dyDescent="0.2">
      <c r="A423" s="34" t="s">
        <v>122</v>
      </c>
      <c r="B423" s="33"/>
      <c r="C423" s="33"/>
      <c r="D423" s="21">
        <f>760837+1605</f>
        <v>762442</v>
      </c>
      <c r="E423" s="59"/>
      <c r="F423" s="2"/>
      <c r="G423" s="2"/>
    </row>
    <row r="424" spans="1:7" x14ac:dyDescent="0.2">
      <c r="A424" s="35" t="s">
        <v>17</v>
      </c>
      <c r="B424" s="37">
        <f>B422</f>
        <v>14095835</v>
      </c>
      <c r="C424" s="37">
        <f>C422</f>
        <v>23849577</v>
      </c>
      <c r="D424" s="25">
        <f>SUM(D422:D423)</f>
        <v>20441064</v>
      </c>
      <c r="E424" s="60">
        <f>D424/C424*100</f>
        <v>85.708287404845791</v>
      </c>
      <c r="F424" s="2"/>
      <c r="G424" s="2"/>
    </row>
    <row r="425" spans="1:7" x14ac:dyDescent="0.2">
      <c r="A425" s="35"/>
      <c r="B425" s="37"/>
      <c r="C425" s="37"/>
      <c r="D425" s="21"/>
      <c r="E425" s="59"/>
      <c r="F425" s="2"/>
      <c r="G425" s="2"/>
    </row>
    <row r="426" spans="1:7" x14ac:dyDescent="0.2">
      <c r="A426" s="20" t="s">
        <v>18</v>
      </c>
      <c r="B426" s="33">
        <v>1403818</v>
      </c>
      <c r="C426" s="33">
        <f>1403818+41556+909433</f>
        <v>2354807</v>
      </c>
      <c r="D426" s="21">
        <v>2019137</v>
      </c>
      <c r="E426" s="59">
        <f>D426/C426*100</f>
        <v>85.745328598054954</v>
      </c>
      <c r="F426" s="2"/>
      <c r="G426" s="2"/>
    </row>
    <row r="427" spans="1:7" x14ac:dyDescent="0.2">
      <c r="A427" s="20" t="s">
        <v>44</v>
      </c>
      <c r="B427" s="33"/>
      <c r="C427" s="33"/>
      <c r="D427" s="21">
        <v>62453</v>
      </c>
      <c r="E427" s="59"/>
      <c r="F427" s="2"/>
      <c r="G427" s="2"/>
    </row>
    <row r="428" spans="1:7" x14ac:dyDescent="0.2">
      <c r="A428" s="20" t="s">
        <v>39</v>
      </c>
      <c r="B428" s="33">
        <v>20000</v>
      </c>
      <c r="C428" s="33">
        <v>20000</v>
      </c>
      <c r="D428" s="21">
        <v>58226</v>
      </c>
      <c r="E428" s="59">
        <f>D428/C428*100</f>
        <v>291.13</v>
      </c>
      <c r="F428" s="2"/>
      <c r="G428" s="2"/>
    </row>
    <row r="429" spans="1:7" x14ac:dyDescent="0.2">
      <c r="A429" s="20" t="s">
        <v>65</v>
      </c>
      <c r="B429" s="33"/>
      <c r="C429" s="33"/>
      <c r="D429" s="21">
        <v>43719</v>
      </c>
      <c r="E429" s="59"/>
      <c r="F429" s="2"/>
      <c r="G429" s="2"/>
    </row>
    <row r="430" spans="1:7" x14ac:dyDescent="0.2">
      <c r="A430" s="35" t="s">
        <v>19</v>
      </c>
      <c r="B430" s="37">
        <f>SUM(B426:B428)</f>
        <v>1423818</v>
      </c>
      <c r="C430" s="37">
        <f>SUM(C426:C428)</f>
        <v>2374807</v>
      </c>
      <c r="D430" s="25">
        <f>SUM(D426:D429)</f>
        <v>2183535</v>
      </c>
      <c r="E430" s="59">
        <f>D430/C430*100</f>
        <v>91.945787594528738</v>
      </c>
      <c r="F430" s="2"/>
      <c r="G430" s="2"/>
    </row>
    <row r="431" spans="1:7" x14ac:dyDescent="0.2">
      <c r="A431" s="35"/>
      <c r="B431" s="37"/>
      <c r="C431" s="37"/>
      <c r="D431" s="25"/>
      <c r="E431" s="59"/>
      <c r="F431" s="2"/>
      <c r="G431" s="2"/>
    </row>
    <row r="432" spans="1:7" x14ac:dyDescent="0.2">
      <c r="A432" s="20" t="s">
        <v>41</v>
      </c>
      <c r="B432" s="37"/>
      <c r="C432" s="37"/>
      <c r="D432" s="21">
        <v>50100</v>
      </c>
      <c r="E432" s="59"/>
      <c r="F432" s="2"/>
      <c r="G432" s="2"/>
    </row>
    <row r="433" spans="1:7" x14ac:dyDescent="0.2">
      <c r="A433" s="23" t="s">
        <v>32</v>
      </c>
      <c r="B433" s="37"/>
      <c r="C433" s="37"/>
      <c r="D433" s="25">
        <f>SUM(D432)</f>
        <v>50100</v>
      </c>
      <c r="E433" s="59"/>
      <c r="F433" s="2"/>
      <c r="G433" s="2"/>
    </row>
    <row r="434" spans="1:7" x14ac:dyDescent="0.2">
      <c r="A434" s="27" t="s">
        <v>12</v>
      </c>
      <c r="B434" s="37"/>
      <c r="C434" s="37"/>
      <c r="D434" s="25">
        <f>SUM(D433)</f>
        <v>50100</v>
      </c>
      <c r="E434" s="59"/>
      <c r="F434" s="2"/>
      <c r="G434" s="2"/>
    </row>
    <row r="435" spans="1:7" x14ac:dyDescent="0.2">
      <c r="A435" s="27"/>
      <c r="B435" s="37"/>
      <c r="C435" s="37"/>
      <c r="D435" s="21"/>
      <c r="E435" s="59"/>
      <c r="F435" s="2"/>
      <c r="G435" s="2"/>
    </row>
    <row r="436" spans="1:7" x14ac:dyDescent="0.2">
      <c r="A436" s="28" t="s">
        <v>13</v>
      </c>
      <c r="B436" s="37">
        <f>B424+B430</f>
        <v>15519653</v>
      </c>
      <c r="C436" s="37">
        <f>C424+C430</f>
        <v>26224384</v>
      </c>
      <c r="D436" s="25">
        <f>D424+D430+D434</f>
        <v>22674699</v>
      </c>
      <c r="E436" s="60">
        <f>D436/C436*100</f>
        <v>86.464181580013459</v>
      </c>
      <c r="F436" s="2"/>
      <c r="G436" s="2"/>
    </row>
    <row r="437" spans="1:7" x14ac:dyDescent="0.2">
      <c r="A437" s="35"/>
      <c r="B437" s="35"/>
      <c r="C437" s="19"/>
      <c r="D437" s="3"/>
      <c r="E437" s="3"/>
      <c r="F437" s="2"/>
      <c r="G437" s="2"/>
    </row>
    <row r="438" spans="1:7" x14ac:dyDescent="0.2">
      <c r="A438" s="35"/>
      <c r="B438" s="35"/>
      <c r="C438" s="19"/>
      <c r="D438" s="3"/>
      <c r="E438" s="3"/>
      <c r="F438" s="2"/>
      <c r="G438" s="2"/>
    </row>
    <row r="439" spans="1:7" ht="12.75" customHeight="1" x14ac:dyDescent="0.2">
      <c r="A439" s="44" t="s">
        <v>123</v>
      </c>
      <c r="B439" s="45"/>
      <c r="C439" s="45"/>
      <c r="D439" s="45"/>
      <c r="E439" s="46"/>
      <c r="F439" s="2"/>
      <c r="G439" s="2"/>
    </row>
    <row r="440" spans="1:7" x14ac:dyDescent="0.2">
      <c r="A440" s="47"/>
      <c r="B440" s="47"/>
      <c r="C440" s="48"/>
      <c r="D440" s="3"/>
      <c r="E440" s="3"/>
      <c r="F440" s="2"/>
      <c r="G440" s="2"/>
    </row>
    <row r="441" spans="1:7" x14ac:dyDescent="0.2">
      <c r="A441" s="20" t="s">
        <v>124</v>
      </c>
      <c r="B441" s="33">
        <v>2348250</v>
      </c>
      <c r="C441" s="33">
        <v>2348250</v>
      </c>
      <c r="D441" s="3"/>
      <c r="E441" s="59">
        <f>D441/C441*100</f>
        <v>0</v>
      </c>
      <c r="F441" s="2"/>
      <c r="G441" s="2"/>
    </row>
    <row r="442" spans="1:7" x14ac:dyDescent="0.2">
      <c r="A442" s="35" t="s">
        <v>17</v>
      </c>
      <c r="B442" s="37">
        <f>B441</f>
        <v>2348250</v>
      </c>
      <c r="C442" s="37">
        <f>C441</f>
        <v>2348250</v>
      </c>
      <c r="D442" s="3"/>
      <c r="E442" s="59">
        <f>D442/C442*100</f>
        <v>0</v>
      </c>
      <c r="F442" s="2"/>
      <c r="G442" s="2"/>
    </row>
    <row r="443" spans="1:7" x14ac:dyDescent="0.2">
      <c r="A443" s="35"/>
      <c r="B443" s="37"/>
      <c r="C443" s="37"/>
      <c r="D443" s="3"/>
      <c r="E443" s="59"/>
      <c r="F443" s="2"/>
      <c r="G443" s="2"/>
    </row>
    <row r="444" spans="1:7" x14ac:dyDescent="0.2">
      <c r="A444" s="20" t="s">
        <v>18</v>
      </c>
      <c r="B444" s="33">
        <v>190006</v>
      </c>
      <c r="C444" s="33">
        <v>190006</v>
      </c>
      <c r="D444" s="3"/>
      <c r="E444" s="59">
        <f>D444/C444*100</f>
        <v>0</v>
      </c>
      <c r="F444" s="2"/>
      <c r="G444" s="2"/>
    </row>
    <row r="445" spans="1:7" x14ac:dyDescent="0.2">
      <c r="A445" s="20" t="s">
        <v>39</v>
      </c>
      <c r="B445" s="33">
        <v>55000</v>
      </c>
      <c r="C445" s="33">
        <v>55000</v>
      </c>
      <c r="D445" s="3"/>
      <c r="E445" s="59">
        <f>D445/C445*100</f>
        <v>0</v>
      </c>
      <c r="F445" s="2"/>
      <c r="G445" s="2"/>
    </row>
    <row r="446" spans="1:7" x14ac:dyDescent="0.2">
      <c r="A446" s="35" t="s">
        <v>19</v>
      </c>
      <c r="B446" s="37">
        <f>SUM(B444:B445)</f>
        <v>245006</v>
      </c>
      <c r="C446" s="37">
        <f>SUM(C444:C445)</f>
        <v>245006</v>
      </c>
      <c r="D446" s="3"/>
      <c r="E446" s="59">
        <f>D446/C446*100</f>
        <v>0</v>
      </c>
      <c r="F446" s="2"/>
      <c r="G446" s="2"/>
    </row>
    <row r="447" spans="1:7" x14ac:dyDescent="0.2">
      <c r="A447" s="35"/>
      <c r="B447" s="37"/>
      <c r="C447" s="37"/>
      <c r="D447" s="3"/>
      <c r="E447" s="59"/>
      <c r="F447" s="2"/>
      <c r="G447" s="2"/>
    </row>
    <row r="448" spans="1:7" x14ac:dyDescent="0.2">
      <c r="A448" s="28" t="s">
        <v>13</v>
      </c>
      <c r="B448" s="37">
        <f>B442+B446</f>
        <v>2593256</v>
      </c>
      <c r="C448" s="37">
        <f>C442+C446</f>
        <v>2593256</v>
      </c>
      <c r="D448" s="3"/>
      <c r="E448" s="59">
        <f>D448/C448*100</f>
        <v>0</v>
      </c>
      <c r="F448" s="2"/>
      <c r="G448" s="2"/>
    </row>
    <row r="449" spans="1:7" x14ac:dyDescent="0.2">
      <c r="A449" s="35"/>
      <c r="B449" s="35"/>
      <c r="C449" s="19"/>
      <c r="D449" s="3"/>
      <c r="E449" s="3"/>
      <c r="F449" s="2"/>
      <c r="G449" s="2"/>
    </row>
    <row r="450" spans="1:7" x14ac:dyDescent="0.2">
      <c r="A450" s="14" t="s">
        <v>125</v>
      </c>
      <c r="B450" s="15"/>
      <c r="C450" s="15"/>
      <c r="D450" s="15"/>
      <c r="E450" s="30"/>
      <c r="F450" s="2"/>
      <c r="G450" s="2"/>
    </row>
    <row r="451" spans="1:7" x14ac:dyDescent="0.2">
      <c r="A451" s="20"/>
      <c r="B451" s="20"/>
      <c r="C451" s="48"/>
      <c r="D451" s="3"/>
      <c r="E451" s="3"/>
      <c r="F451" s="2"/>
      <c r="G451" s="2"/>
    </row>
    <row r="452" spans="1:7" x14ac:dyDescent="0.2">
      <c r="A452" s="20" t="s">
        <v>126</v>
      </c>
      <c r="B452" s="54">
        <v>7646100</v>
      </c>
      <c r="C452" s="19">
        <f>7646100-46300</f>
        <v>7599800</v>
      </c>
      <c r="D452" s="21">
        <v>7097578</v>
      </c>
      <c r="E452" s="59">
        <f>D452/C452*100</f>
        <v>93.391641885312765</v>
      </c>
      <c r="F452" s="2"/>
      <c r="G452" s="2"/>
    </row>
    <row r="453" spans="1:7" x14ac:dyDescent="0.2">
      <c r="A453" s="34" t="s">
        <v>99</v>
      </c>
      <c r="B453" s="54">
        <v>152922</v>
      </c>
      <c r="C453" s="19">
        <v>152922</v>
      </c>
      <c r="D453" s="21">
        <v>190000</v>
      </c>
      <c r="E453" s="59">
        <f>D453/C453*100</f>
        <v>124.2463478113025</v>
      </c>
      <c r="F453" s="2"/>
      <c r="G453" s="2"/>
    </row>
    <row r="454" spans="1:7" x14ac:dyDescent="0.2">
      <c r="A454" s="34" t="s">
        <v>122</v>
      </c>
      <c r="B454" s="54">
        <v>86090</v>
      </c>
      <c r="C454" s="19">
        <f>43900+48000+3</f>
        <v>91903</v>
      </c>
      <c r="D454" s="21">
        <v>662426</v>
      </c>
      <c r="E454" s="59">
        <f>D454/C454*100</f>
        <v>720.78822236488475</v>
      </c>
      <c r="F454" s="2"/>
      <c r="G454" s="2"/>
    </row>
    <row r="455" spans="1:7" x14ac:dyDescent="0.2">
      <c r="A455" s="34" t="s">
        <v>127</v>
      </c>
      <c r="B455" s="9"/>
      <c r="C455" s="19">
        <v>86090</v>
      </c>
      <c r="D455" s="21">
        <f>1736+18044</f>
        <v>19780</v>
      </c>
      <c r="E455" s="59">
        <f>D455/C455*100</f>
        <v>22.975955395516319</v>
      </c>
      <c r="F455" s="2"/>
      <c r="G455" s="2"/>
    </row>
    <row r="456" spans="1:7" x14ac:dyDescent="0.2">
      <c r="A456" s="35" t="s">
        <v>17</v>
      </c>
      <c r="B456" s="55">
        <f>SUM(B452:B454)</f>
        <v>7885112</v>
      </c>
      <c r="C456" s="24">
        <f>SUM(C452:C455)</f>
        <v>7930715</v>
      </c>
      <c r="D456" s="25">
        <f>SUM(D452:D455)</f>
        <v>7969784</v>
      </c>
      <c r="E456" s="60">
        <f>D456/C456*100</f>
        <v>100.49262897481501</v>
      </c>
      <c r="F456" s="2"/>
      <c r="G456" s="2"/>
    </row>
    <row r="457" spans="1:7" x14ac:dyDescent="0.2">
      <c r="A457" s="35"/>
      <c r="B457" s="55"/>
      <c r="C457" s="24"/>
      <c r="D457" s="21"/>
      <c r="E457" s="59"/>
      <c r="F457" s="2"/>
      <c r="G457" s="2"/>
    </row>
    <row r="458" spans="1:7" x14ac:dyDescent="0.2">
      <c r="A458" s="20" t="s">
        <v>18</v>
      </c>
      <c r="B458" s="54">
        <v>1631329</v>
      </c>
      <c r="C458" s="19">
        <f>1631329+8658+9360</f>
        <v>1649347</v>
      </c>
      <c r="D458" s="21">
        <v>1532108</v>
      </c>
      <c r="E458" s="59">
        <f>D458/C458*100</f>
        <v>92.891792933809555</v>
      </c>
      <c r="F458" s="2"/>
      <c r="G458" s="2"/>
    </row>
    <row r="459" spans="1:7" x14ac:dyDescent="0.2">
      <c r="A459" s="20" t="s">
        <v>44</v>
      </c>
      <c r="B459" s="54">
        <v>35187</v>
      </c>
      <c r="C459" s="19">
        <v>35187</v>
      </c>
      <c r="D459" s="21">
        <v>43719</v>
      </c>
      <c r="E459" s="59">
        <f>D459/C459*100</f>
        <v>124.24759144002047</v>
      </c>
      <c r="F459" s="2"/>
      <c r="G459" s="2"/>
    </row>
    <row r="460" spans="1:7" x14ac:dyDescent="0.2">
      <c r="A460" s="20" t="s">
        <v>39</v>
      </c>
      <c r="B460" s="54">
        <v>20000</v>
      </c>
      <c r="C460" s="19">
        <v>20000</v>
      </c>
      <c r="D460" s="21">
        <v>0</v>
      </c>
      <c r="E460" s="59">
        <f>D460/C460*100</f>
        <v>0</v>
      </c>
      <c r="F460" s="2"/>
      <c r="G460" s="2"/>
    </row>
    <row r="461" spans="1:7" x14ac:dyDescent="0.2">
      <c r="A461" s="20" t="s">
        <v>65</v>
      </c>
      <c r="B461" s="54">
        <v>27067</v>
      </c>
      <c r="C461" s="19">
        <v>27067</v>
      </c>
      <c r="D461" s="21">
        <v>33630</v>
      </c>
      <c r="E461" s="59">
        <f>D461/C461*100</f>
        <v>124.24723833450327</v>
      </c>
      <c r="F461" s="2"/>
      <c r="G461" s="2"/>
    </row>
    <row r="462" spans="1:7" x14ac:dyDescent="0.2">
      <c r="A462" s="35" t="s">
        <v>19</v>
      </c>
      <c r="B462" s="55">
        <f>SUM(B458:B461)</f>
        <v>1713583</v>
      </c>
      <c r="C462" s="24">
        <f>SUM(C458:C461)</f>
        <v>1731601</v>
      </c>
      <c r="D462" s="25">
        <f>SUM(D458:D461)</f>
        <v>1609457</v>
      </c>
      <c r="E462" s="60">
        <f>D462/C462*100</f>
        <v>92.946181019761482</v>
      </c>
      <c r="F462" s="2"/>
      <c r="G462" s="2"/>
    </row>
    <row r="463" spans="1:7" x14ac:dyDescent="0.2">
      <c r="A463" s="35"/>
      <c r="B463" s="55"/>
      <c r="C463" s="24"/>
      <c r="D463" s="21"/>
      <c r="E463" s="59"/>
      <c r="F463" s="2"/>
      <c r="G463" s="2"/>
    </row>
    <row r="464" spans="1:7" x14ac:dyDescent="0.2">
      <c r="A464" s="34" t="s">
        <v>20</v>
      </c>
      <c r="B464" s="32">
        <v>20000</v>
      </c>
      <c r="C464" s="33">
        <v>20000</v>
      </c>
      <c r="D464" s="21">
        <v>0</v>
      </c>
      <c r="E464" s="59">
        <f t="shared" ref="E464:E489" si="10">D464/C464*100</f>
        <v>0</v>
      </c>
      <c r="F464" s="2"/>
      <c r="G464" s="2"/>
    </row>
    <row r="465" spans="1:7" x14ac:dyDescent="0.2">
      <c r="A465" s="20" t="s">
        <v>101</v>
      </c>
      <c r="B465" s="32">
        <v>5000</v>
      </c>
      <c r="C465" s="33">
        <v>5000</v>
      </c>
      <c r="D465" s="21">
        <v>0</v>
      </c>
      <c r="E465" s="59">
        <f t="shared" si="10"/>
        <v>0</v>
      </c>
      <c r="F465" s="2"/>
      <c r="G465" s="2"/>
    </row>
    <row r="466" spans="1:7" x14ac:dyDescent="0.2">
      <c r="A466" s="20" t="s">
        <v>21</v>
      </c>
      <c r="B466" s="33">
        <v>20000</v>
      </c>
      <c r="C466" s="33">
        <v>20000</v>
      </c>
      <c r="D466" s="21">
        <v>0</v>
      </c>
      <c r="E466" s="59">
        <f t="shared" si="10"/>
        <v>0</v>
      </c>
      <c r="F466" s="2"/>
      <c r="G466" s="2"/>
    </row>
    <row r="467" spans="1:7" x14ac:dyDescent="0.2">
      <c r="A467" s="39" t="s">
        <v>24</v>
      </c>
      <c r="B467" s="37">
        <f>SUM(B464:B466)</f>
        <v>45000</v>
      </c>
      <c r="C467" s="37">
        <f>SUM(C464:C466)</f>
        <v>45000</v>
      </c>
      <c r="D467" s="25">
        <f>SUM(D464:D466)</f>
        <v>0</v>
      </c>
      <c r="E467" s="60">
        <f t="shared" si="10"/>
        <v>0</v>
      </c>
      <c r="F467" s="2"/>
      <c r="G467" s="2"/>
    </row>
    <row r="468" spans="1:7" x14ac:dyDescent="0.2">
      <c r="A468" s="20" t="s">
        <v>22</v>
      </c>
      <c r="B468" s="33">
        <v>50000</v>
      </c>
      <c r="C468" s="33">
        <v>50000</v>
      </c>
      <c r="D468" s="21">
        <v>42163</v>
      </c>
      <c r="E468" s="59">
        <f t="shared" si="10"/>
        <v>84.326000000000008</v>
      </c>
      <c r="F468" s="2"/>
      <c r="G468" s="2"/>
    </row>
    <row r="469" spans="1:7" x14ac:dyDescent="0.2">
      <c r="A469" s="20" t="s">
        <v>128</v>
      </c>
      <c r="B469" s="33">
        <v>24000</v>
      </c>
      <c r="C469" s="33">
        <v>24000</v>
      </c>
      <c r="D469" s="21">
        <v>35433</v>
      </c>
      <c r="E469" s="59">
        <f t="shared" si="10"/>
        <v>147.63749999999999</v>
      </c>
      <c r="F469" s="2"/>
      <c r="G469" s="2"/>
    </row>
    <row r="470" spans="1:7" x14ac:dyDescent="0.2">
      <c r="A470" s="20" t="s">
        <v>23</v>
      </c>
      <c r="B470" s="33">
        <v>150000</v>
      </c>
      <c r="C470" s="33">
        <v>150000</v>
      </c>
      <c r="D470" s="21">
        <f>254163-D468-D469</f>
        <v>176567</v>
      </c>
      <c r="E470" s="59">
        <f t="shared" si="10"/>
        <v>117.71133333333333</v>
      </c>
      <c r="F470" s="2"/>
      <c r="G470" s="2"/>
    </row>
    <row r="471" spans="1:7" x14ac:dyDescent="0.2">
      <c r="A471" s="39" t="s">
        <v>40</v>
      </c>
      <c r="B471" s="37">
        <f>SUM(B468:B470)</f>
        <v>224000</v>
      </c>
      <c r="C471" s="37">
        <f>SUM(C468:C470)</f>
        <v>224000</v>
      </c>
      <c r="D471" s="25">
        <f>SUM(D468:D470)</f>
        <v>254163</v>
      </c>
      <c r="E471" s="60">
        <f t="shared" si="10"/>
        <v>113.46562499999999</v>
      </c>
      <c r="F471" s="2"/>
      <c r="G471" s="2"/>
    </row>
    <row r="472" spans="1:7" x14ac:dyDescent="0.2">
      <c r="A472" s="40" t="s">
        <v>25</v>
      </c>
      <c r="B472" s="33">
        <v>247000</v>
      </c>
      <c r="C472" s="33">
        <v>247000</v>
      </c>
      <c r="D472" s="21">
        <v>250100</v>
      </c>
      <c r="E472" s="59">
        <f t="shared" si="10"/>
        <v>101.25506072874495</v>
      </c>
      <c r="F472" s="2"/>
      <c r="G472" s="2"/>
    </row>
    <row r="473" spans="1:7" x14ac:dyDescent="0.2">
      <c r="A473" s="20" t="s">
        <v>104</v>
      </c>
      <c r="B473" s="33">
        <v>120000</v>
      </c>
      <c r="C473" s="33">
        <v>120000</v>
      </c>
      <c r="D473" s="21">
        <v>65757</v>
      </c>
      <c r="E473" s="59">
        <f t="shared" si="10"/>
        <v>54.797499999999999</v>
      </c>
      <c r="F473" s="2"/>
      <c r="G473" s="2"/>
    </row>
    <row r="474" spans="1:7" x14ac:dyDescent="0.2">
      <c r="A474" s="23" t="s">
        <v>26</v>
      </c>
      <c r="B474" s="37">
        <f>SUM(B472:B473)</f>
        <v>367000</v>
      </c>
      <c r="C474" s="37">
        <f>SUM(C472:C473)</f>
        <v>367000</v>
      </c>
      <c r="D474" s="25">
        <f>SUM(D472:D473)</f>
        <v>315857</v>
      </c>
      <c r="E474" s="60">
        <f t="shared" si="10"/>
        <v>86.064577656675738</v>
      </c>
      <c r="F474" s="2"/>
      <c r="G474" s="2"/>
    </row>
    <row r="475" spans="1:7" x14ac:dyDescent="0.2">
      <c r="A475" s="34" t="s">
        <v>105</v>
      </c>
      <c r="B475" s="33">
        <f>340000-40000</f>
        <v>300000</v>
      </c>
      <c r="C475" s="33">
        <f>340000-40000</f>
        <v>300000</v>
      </c>
      <c r="D475" s="21">
        <f>666541-D476-D477-D478</f>
        <v>335198</v>
      </c>
      <c r="E475" s="59">
        <f t="shared" si="10"/>
        <v>111.73266666666666</v>
      </c>
      <c r="F475" s="2"/>
      <c r="G475" s="2"/>
    </row>
    <row r="476" spans="1:7" x14ac:dyDescent="0.2">
      <c r="A476" s="20" t="s">
        <v>27</v>
      </c>
      <c r="B476" s="33">
        <f>160000-60000</f>
        <v>100000</v>
      </c>
      <c r="C476" s="33">
        <f>160000-60000</f>
        <v>100000</v>
      </c>
      <c r="D476" s="21">
        <v>230634</v>
      </c>
      <c r="E476" s="59">
        <f t="shared" si="10"/>
        <v>230.63400000000001</v>
      </c>
      <c r="F476" s="2"/>
      <c r="G476" s="2"/>
    </row>
    <row r="477" spans="1:7" x14ac:dyDescent="0.2">
      <c r="A477" s="20" t="s">
        <v>9</v>
      </c>
      <c r="B477" s="33">
        <v>130000</v>
      </c>
      <c r="C477" s="33">
        <v>130000</v>
      </c>
      <c r="D477" s="21">
        <v>88674</v>
      </c>
      <c r="E477" s="59">
        <f t="shared" si="10"/>
        <v>68.21076923076923</v>
      </c>
      <c r="F477" s="2"/>
      <c r="G477" s="2"/>
    </row>
    <row r="478" spans="1:7" x14ac:dyDescent="0.2">
      <c r="A478" s="20" t="s">
        <v>28</v>
      </c>
      <c r="B478" s="33">
        <v>15000</v>
      </c>
      <c r="C478" s="33">
        <v>15000</v>
      </c>
      <c r="D478" s="21">
        <v>12035</v>
      </c>
      <c r="E478" s="59">
        <f t="shared" si="10"/>
        <v>80.233333333333334</v>
      </c>
      <c r="F478" s="2"/>
      <c r="G478" s="2"/>
    </row>
    <row r="479" spans="1:7" x14ac:dyDescent="0.2">
      <c r="A479" s="23" t="s">
        <v>11</v>
      </c>
      <c r="B479" s="37">
        <f>SUM(B475:B478)</f>
        <v>545000</v>
      </c>
      <c r="C479" s="37">
        <f>SUM(C475:C478)</f>
        <v>545000</v>
      </c>
      <c r="D479" s="25">
        <f>SUM(D475:D478)</f>
        <v>666541</v>
      </c>
      <c r="E479" s="59">
        <f t="shared" si="10"/>
        <v>122.30110091743119</v>
      </c>
      <c r="F479" s="2"/>
      <c r="G479" s="2"/>
    </row>
    <row r="480" spans="1:7" x14ac:dyDescent="0.2">
      <c r="A480" s="20" t="s">
        <v>29</v>
      </c>
      <c r="B480" s="33">
        <v>50000</v>
      </c>
      <c r="C480" s="33">
        <v>50000</v>
      </c>
      <c r="D480" s="21">
        <v>0</v>
      </c>
      <c r="E480" s="59">
        <f t="shared" si="10"/>
        <v>0</v>
      </c>
      <c r="F480" s="2"/>
      <c r="G480" s="2"/>
    </row>
    <row r="481" spans="1:7" x14ac:dyDescent="0.2">
      <c r="A481" s="20" t="s">
        <v>30</v>
      </c>
      <c r="B481" s="33"/>
      <c r="C481" s="33"/>
      <c r="D481" s="21">
        <v>72101</v>
      </c>
      <c r="E481" s="59"/>
      <c r="F481" s="2"/>
      <c r="G481" s="2"/>
    </row>
    <row r="482" spans="1:7" x14ac:dyDescent="0.2">
      <c r="A482" s="20" t="s">
        <v>108</v>
      </c>
      <c r="B482" s="33">
        <v>2200000</v>
      </c>
      <c r="C482" s="33">
        <v>2200000</v>
      </c>
      <c r="D482" s="21">
        <v>2048855</v>
      </c>
      <c r="E482" s="59">
        <f t="shared" si="10"/>
        <v>93.129772727272737</v>
      </c>
      <c r="F482" s="2"/>
      <c r="G482" s="2"/>
    </row>
    <row r="483" spans="1:7" x14ac:dyDescent="0.2">
      <c r="A483" s="20" t="s">
        <v>31</v>
      </c>
      <c r="B483" s="33">
        <v>500000</v>
      </c>
      <c r="C483" s="33">
        <v>500000</v>
      </c>
      <c r="D483" s="21">
        <f>666449+27813</f>
        <v>694262</v>
      </c>
      <c r="E483" s="59">
        <f t="shared" si="10"/>
        <v>138.85240000000002</v>
      </c>
      <c r="F483" s="2"/>
      <c r="G483" s="2"/>
    </row>
    <row r="484" spans="1:7" x14ac:dyDescent="0.2">
      <c r="A484" s="20" t="s">
        <v>129</v>
      </c>
      <c r="B484" s="33"/>
      <c r="C484" s="33">
        <v>20000</v>
      </c>
      <c r="D484" s="21">
        <v>4998</v>
      </c>
      <c r="E484" s="59">
        <f t="shared" si="10"/>
        <v>24.990000000000002</v>
      </c>
      <c r="F484" s="2"/>
      <c r="G484" s="2"/>
    </row>
    <row r="485" spans="1:7" x14ac:dyDescent="0.2">
      <c r="A485" s="23" t="s">
        <v>32</v>
      </c>
      <c r="B485" s="37">
        <f>SUM(B480:B483)</f>
        <v>2750000</v>
      </c>
      <c r="C485" s="37">
        <f>SUM(C480:C484)</f>
        <v>2770000</v>
      </c>
      <c r="D485" s="25">
        <f>SUM(D480:D484)</f>
        <v>2820216</v>
      </c>
      <c r="E485" s="60">
        <f t="shared" si="10"/>
        <v>101.81285198555956</v>
      </c>
      <c r="F485" s="2"/>
      <c r="G485" s="2"/>
    </row>
    <row r="486" spans="1:7" x14ac:dyDescent="0.2">
      <c r="A486" s="20" t="s">
        <v>130</v>
      </c>
      <c r="B486" s="33">
        <f>B482*0.27</f>
        <v>594000</v>
      </c>
      <c r="C486" s="33">
        <f>C482*0.27</f>
        <v>594000</v>
      </c>
      <c r="D486" s="21"/>
      <c r="E486" s="59">
        <f t="shared" si="10"/>
        <v>0</v>
      </c>
      <c r="F486" s="2"/>
      <c r="G486" s="2"/>
    </row>
    <row r="487" spans="1:7" x14ac:dyDescent="0.2">
      <c r="A487" s="20" t="s">
        <v>131</v>
      </c>
      <c r="B487" s="33">
        <f>(B464+B465+B466+B468+B469+B470+B472+B473+B476+B477+B478+B480+B483)*0.27+B475*0.05</f>
        <v>401370</v>
      </c>
      <c r="C487" s="33">
        <f>(C464+C465+C466+C468+C469+C470+C472+C473+C476+C477+C478+C480+C483)*0.27+C475*0.05+46300</f>
        <v>447670</v>
      </c>
      <c r="D487" s="21">
        <v>829423</v>
      </c>
      <c r="E487" s="59">
        <f t="shared" si="10"/>
        <v>185.27553778452878</v>
      </c>
      <c r="F487" s="2"/>
      <c r="G487" s="2"/>
    </row>
    <row r="488" spans="1:7" x14ac:dyDescent="0.2">
      <c r="A488" s="39" t="s">
        <v>34</v>
      </c>
      <c r="B488" s="37">
        <f>SUM(B486:B487)</f>
        <v>995370</v>
      </c>
      <c r="C488" s="37">
        <f>SUM(C486:C487)</f>
        <v>1041670</v>
      </c>
      <c r="D488" s="25">
        <f>SUM(D487)</f>
        <v>829423</v>
      </c>
      <c r="E488" s="60">
        <f t="shared" si="10"/>
        <v>79.624353202069756</v>
      </c>
      <c r="F488" s="2"/>
      <c r="G488" s="2"/>
    </row>
    <row r="489" spans="1:7" x14ac:dyDescent="0.2">
      <c r="A489" s="27" t="s">
        <v>12</v>
      </c>
      <c r="B489" s="37">
        <f>B467+B471+B474+B479+B485+B488</f>
        <v>4926370</v>
      </c>
      <c r="C489" s="37">
        <f>C467+C471+C474+C479+C485+C488</f>
        <v>4992670</v>
      </c>
      <c r="D489" s="25">
        <f>D467+D471+D474+D479+D485+D488</f>
        <v>4886200</v>
      </c>
      <c r="E489" s="60">
        <f t="shared" si="10"/>
        <v>97.867473716468339</v>
      </c>
      <c r="F489" s="2"/>
      <c r="G489" s="2"/>
    </row>
    <row r="490" spans="1:7" x14ac:dyDescent="0.2">
      <c r="A490" s="28" t="s">
        <v>13</v>
      </c>
      <c r="B490" s="37">
        <f>B456+B462+B489</f>
        <v>14525065</v>
      </c>
      <c r="C490" s="37">
        <f>C456+C462+C489</f>
        <v>14654986</v>
      </c>
      <c r="D490" s="21"/>
      <c r="E490" s="59">
        <f>D490/C490*100</f>
        <v>0</v>
      </c>
      <c r="F490" s="2"/>
      <c r="G490" s="2"/>
    </row>
    <row r="491" spans="1:7" x14ac:dyDescent="0.2">
      <c r="A491" s="28"/>
      <c r="B491" s="28"/>
      <c r="C491" s="24"/>
      <c r="D491" s="3"/>
      <c r="E491" s="3"/>
      <c r="F491" s="2"/>
      <c r="G491" s="2"/>
    </row>
    <row r="492" spans="1:7" x14ac:dyDescent="0.2">
      <c r="A492" s="14" t="s">
        <v>132</v>
      </c>
      <c r="B492" s="15"/>
      <c r="C492" s="15"/>
      <c r="D492" s="15"/>
      <c r="E492" s="30"/>
      <c r="F492" s="2"/>
      <c r="G492" s="2"/>
    </row>
    <row r="493" spans="1:7" x14ac:dyDescent="0.2">
      <c r="A493" s="20"/>
      <c r="B493" s="20"/>
      <c r="C493" s="90"/>
      <c r="D493" s="91"/>
      <c r="E493" s="3"/>
      <c r="F493" s="2"/>
      <c r="G493" s="2"/>
    </row>
    <row r="494" spans="1:7" x14ac:dyDescent="0.2">
      <c r="A494" s="20" t="s">
        <v>133</v>
      </c>
      <c r="B494" s="92">
        <v>3245700</v>
      </c>
      <c r="C494" s="93">
        <v>3245700</v>
      </c>
      <c r="D494" s="21">
        <f>2971435</f>
        <v>2971435</v>
      </c>
      <c r="E494" s="59">
        <f>D494/C494*100</f>
        <v>91.54989678651755</v>
      </c>
      <c r="F494" s="2"/>
      <c r="G494" s="2"/>
    </row>
    <row r="495" spans="1:7" x14ac:dyDescent="0.2">
      <c r="A495" s="34" t="s">
        <v>99</v>
      </c>
      <c r="B495" s="92">
        <v>64914</v>
      </c>
      <c r="C495" s="93">
        <v>64914</v>
      </c>
      <c r="D495" s="21">
        <v>70000</v>
      </c>
      <c r="E495" s="59">
        <f>D495/C495*100</f>
        <v>107.83498166805312</v>
      </c>
      <c r="F495" s="2"/>
      <c r="G495" s="2"/>
    </row>
    <row r="496" spans="1:7" x14ac:dyDescent="0.2">
      <c r="A496" s="34" t="s">
        <v>122</v>
      </c>
      <c r="B496" s="92">
        <v>20000</v>
      </c>
      <c r="C496" s="93">
        <f>51800+55800</f>
        <v>107600</v>
      </c>
      <c r="D496" s="21">
        <f>20000+392863</f>
        <v>412863</v>
      </c>
      <c r="E496" s="59">
        <f>D496/C496*100</f>
        <v>383.70167286245351</v>
      </c>
      <c r="F496" s="2"/>
      <c r="G496" s="2"/>
    </row>
    <row r="497" spans="1:7" x14ac:dyDescent="0.2">
      <c r="A497" s="34" t="s">
        <v>134</v>
      </c>
      <c r="B497" s="92"/>
      <c r="C497" s="93"/>
      <c r="D497" s="21">
        <v>1726</v>
      </c>
      <c r="E497" s="59"/>
      <c r="F497" s="2"/>
      <c r="G497" s="2"/>
    </row>
    <row r="498" spans="1:7" x14ac:dyDescent="0.2">
      <c r="A498" s="34" t="s">
        <v>127</v>
      </c>
      <c r="B498" s="92"/>
      <c r="C498" s="93">
        <v>20000</v>
      </c>
      <c r="D498" s="21">
        <v>9022</v>
      </c>
      <c r="E498" s="59">
        <f>D498/C498*100</f>
        <v>45.11</v>
      </c>
      <c r="F498" s="2"/>
      <c r="G498" s="2"/>
    </row>
    <row r="499" spans="1:7" x14ac:dyDescent="0.2">
      <c r="A499" s="35" t="s">
        <v>17</v>
      </c>
      <c r="B499" s="94">
        <f>SUM(B494:B496)</f>
        <v>3330614</v>
      </c>
      <c r="C499" s="95">
        <f>SUM(C494:C498)</f>
        <v>3438214</v>
      </c>
      <c r="D499" s="25">
        <f>SUM(D494:D498)</f>
        <v>3465046</v>
      </c>
      <c r="E499" s="60">
        <f>D499/C499*100</f>
        <v>100.78040517547772</v>
      </c>
      <c r="F499" s="2"/>
      <c r="G499" s="2"/>
    </row>
    <row r="500" spans="1:7" x14ac:dyDescent="0.2">
      <c r="A500" s="35"/>
      <c r="B500" s="94"/>
      <c r="C500" s="95"/>
      <c r="D500" s="21"/>
      <c r="E500" s="59"/>
      <c r="F500" s="2"/>
      <c r="G500" s="2"/>
    </row>
    <row r="501" spans="1:7" x14ac:dyDescent="0.2">
      <c r="A501" s="20" t="s">
        <v>18</v>
      </c>
      <c r="B501" s="92">
        <v>692384</v>
      </c>
      <c r="C501" s="93">
        <f>692384+10234+10881</f>
        <v>713499</v>
      </c>
      <c r="D501" s="21">
        <v>664244</v>
      </c>
      <c r="E501" s="59">
        <f>D501/C501*100</f>
        <v>93.096696701747305</v>
      </c>
      <c r="F501" s="2"/>
      <c r="G501" s="2"/>
    </row>
    <row r="502" spans="1:7" x14ac:dyDescent="0.2">
      <c r="A502" s="20" t="s">
        <v>44</v>
      </c>
      <c r="B502" s="92">
        <v>14937</v>
      </c>
      <c r="C502" s="93">
        <v>14937</v>
      </c>
      <c r="D502" s="21">
        <v>16107</v>
      </c>
      <c r="E502" s="59">
        <f>D502/C502*100</f>
        <v>107.83289817232375</v>
      </c>
      <c r="F502" s="2"/>
      <c r="G502" s="2"/>
    </row>
    <row r="503" spans="1:7" x14ac:dyDescent="0.2">
      <c r="A503" s="20" t="s">
        <v>39</v>
      </c>
      <c r="B503" s="92">
        <v>10000</v>
      </c>
      <c r="C503" s="93">
        <v>10000</v>
      </c>
      <c r="D503" s="21">
        <v>0</v>
      </c>
      <c r="E503" s="59">
        <f>D503/C503*100</f>
        <v>0</v>
      </c>
      <c r="F503" s="2"/>
      <c r="G503" s="2"/>
    </row>
    <row r="504" spans="1:7" x14ac:dyDescent="0.2">
      <c r="A504" s="20" t="s">
        <v>65</v>
      </c>
      <c r="B504" s="92">
        <v>11490</v>
      </c>
      <c r="C504" s="93">
        <v>11490</v>
      </c>
      <c r="D504" s="21">
        <v>12390</v>
      </c>
      <c r="E504" s="59">
        <f>D504/C504*100</f>
        <v>107.83289817232375</v>
      </c>
      <c r="F504" s="2"/>
      <c r="G504" s="2"/>
    </row>
    <row r="505" spans="1:7" x14ac:dyDescent="0.2">
      <c r="A505" s="35" t="s">
        <v>19</v>
      </c>
      <c r="B505" s="94">
        <f>SUM(B501:B504)</f>
        <v>728811</v>
      </c>
      <c r="C505" s="95">
        <f>SUM(C501:C504)</f>
        <v>749926</v>
      </c>
      <c r="D505" s="25">
        <f>SUM(D501:D504)</f>
        <v>692741</v>
      </c>
      <c r="E505" s="59">
        <f>D505/C505*100</f>
        <v>92.37458095865459</v>
      </c>
      <c r="F505" s="2"/>
      <c r="G505" s="2"/>
    </row>
    <row r="506" spans="1:7" x14ac:dyDescent="0.2">
      <c r="A506" s="35"/>
      <c r="B506" s="96"/>
      <c r="C506" s="97"/>
      <c r="D506" s="21"/>
      <c r="E506" s="59"/>
      <c r="F506" s="2"/>
      <c r="G506" s="2"/>
    </row>
    <row r="507" spans="1:7" x14ac:dyDescent="0.2">
      <c r="A507" s="20" t="s">
        <v>128</v>
      </c>
      <c r="B507" s="92">
        <v>12000</v>
      </c>
      <c r="C507" s="93">
        <v>12000</v>
      </c>
      <c r="D507" s="21">
        <v>12000</v>
      </c>
      <c r="E507" s="59">
        <f>D507/C507*100</f>
        <v>100</v>
      </c>
      <c r="F507" s="2"/>
      <c r="G507" s="2"/>
    </row>
    <row r="508" spans="1:7" x14ac:dyDescent="0.2">
      <c r="A508" s="39" t="s">
        <v>40</v>
      </c>
      <c r="B508" s="94">
        <f>B507</f>
        <v>12000</v>
      </c>
      <c r="C508" s="95">
        <f>C507</f>
        <v>12000</v>
      </c>
      <c r="D508" s="25">
        <f>SUM(D507)</f>
        <v>12000</v>
      </c>
      <c r="E508" s="60">
        <f>D508/C508*100</f>
        <v>100</v>
      </c>
      <c r="F508" s="2"/>
      <c r="G508" s="2"/>
    </row>
    <row r="509" spans="1:7" x14ac:dyDescent="0.2">
      <c r="A509" s="20" t="s">
        <v>10</v>
      </c>
      <c r="B509" s="92">
        <f>B507*0.27</f>
        <v>3240</v>
      </c>
      <c r="C509" s="93">
        <f>C507*0.27</f>
        <v>3240</v>
      </c>
      <c r="D509" s="21">
        <v>3240</v>
      </c>
      <c r="E509" s="59">
        <f>D509/C509*100</f>
        <v>100</v>
      </c>
      <c r="F509" s="2"/>
      <c r="G509" s="2"/>
    </row>
    <row r="510" spans="1:7" x14ac:dyDescent="0.2">
      <c r="A510" s="39" t="s">
        <v>34</v>
      </c>
      <c r="B510" s="94">
        <f>B509</f>
        <v>3240</v>
      </c>
      <c r="C510" s="95">
        <f>C509</f>
        <v>3240</v>
      </c>
      <c r="D510" s="25">
        <f>SUM(D509)</f>
        <v>3240</v>
      </c>
      <c r="E510" s="60">
        <f>D510/C510*100</f>
        <v>100</v>
      </c>
      <c r="F510" s="2"/>
      <c r="G510" s="2"/>
    </row>
    <row r="511" spans="1:7" x14ac:dyDescent="0.2">
      <c r="A511" s="27" t="s">
        <v>12</v>
      </c>
      <c r="B511" s="94">
        <f>B508+B510</f>
        <v>15240</v>
      </c>
      <c r="C511" s="95">
        <f>C508+C510</f>
        <v>15240</v>
      </c>
      <c r="D511" s="25">
        <f>D508+D510</f>
        <v>15240</v>
      </c>
      <c r="E511" s="60">
        <f>D511/C511*100</f>
        <v>100</v>
      </c>
      <c r="F511" s="2"/>
      <c r="G511" s="2"/>
    </row>
    <row r="512" spans="1:7" x14ac:dyDescent="0.2">
      <c r="A512" s="28"/>
      <c r="B512" s="55"/>
      <c r="C512" s="24"/>
      <c r="D512" s="25"/>
      <c r="E512" s="60"/>
      <c r="F512" s="2"/>
      <c r="G512" s="2"/>
    </row>
    <row r="513" spans="1:7" x14ac:dyDescent="0.2">
      <c r="A513" s="28" t="s">
        <v>13</v>
      </c>
      <c r="B513" s="55">
        <f>B499+B505+B511</f>
        <v>4074665</v>
      </c>
      <c r="C513" s="24">
        <f>C499+C505+C511</f>
        <v>4203380</v>
      </c>
      <c r="D513" s="25">
        <f>D499+D505+D511</f>
        <v>4173027</v>
      </c>
      <c r="E513" s="60">
        <f>D513/C513*100</f>
        <v>99.277890649905558</v>
      </c>
      <c r="F513" s="2"/>
      <c r="G513" s="2"/>
    </row>
    <row r="514" spans="1:7" x14ac:dyDescent="0.2">
      <c r="A514" s="28"/>
      <c r="B514" s="20"/>
      <c r="C514" s="24"/>
      <c r="D514" s="3"/>
      <c r="E514" s="3"/>
      <c r="F514" s="2"/>
      <c r="G514" s="2"/>
    </row>
    <row r="515" spans="1:7" x14ac:dyDescent="0.2">
      <c r="A515" s="14" t="s">
        <v>135</v>
      </c>
      <c r="B515" s="15"/>
      <c r="C515" s="15"/>
      <c r="D515" s="15"/>
      <c r="E515" s="30"/>
      <c r="F515" s="2"/>
      <c r="G515" s="2"/>
    </row>
    <row r="516" spans="1:7" x14ac:dyDescent="0.2">
      <c r="A516" s="20"/>
      <c r="B516" s="20"/>
      <c r="C516" s="19"/>
      <c r="D516" s="3"/>
      <c r="E516" s="3"/>
      <c r="F516" s="2"/>
      <c r="G516" s="2"/>
    </row>
    <row r="517" spans="1:7" x14ac:dyDescent="0.2">
      <c r="A517" s="20" t="s">
        <v>136</v>
      </c>
      <c r="B517" s="54">
        <v>14932357</v>
      </c>
      <c r="C517" s="19">
        <f>14932357+190900</f>
        <v>15123257</v>
      </c>
      <c r="D517" s="21">
        <v>14980884</v>
      </c>
      <c r="E517" s="59">
        <f t="shared" ref="E517:E525" si="11">D517/C517*100</f>
        <v>99.05858242044026</v>
      </c>
      <c r="F517" s="2"/>
      <c r="G517" s="2"/>
    </row>
    <row r="518" spans="1:7" x14ac:dyDescent="0.2">
      <c r="A518" s="20" t="s">
        <v>75</v>
      </c>
      <c r="B518" s="54"/>
      <c r="C518" s="19">
        <v>724500</v>
      </c>
      <c r="D518" s="21"/>
      <c r="E518" s="59">
        <f t="shared" si="11"/>
        <v>0</v>
      </c>
      <c r="F518" s="2"/>
      <c r="G518" s="2"/>
    </row>
    <row r="519" spans="1:7" x14ac:dyDescent="0.2">
      <c r="A519" s="34" t="s">
        <v>99</v>
      </c>
      <c r="B519" s="54">
        <v>298647</v>
      </c>
      <c r="C519" s="19">
        <v>298647</v>
      </c>
      <c r="D519" s="21">
        <v>436000</v>
      </c>
      <c r="E519" s="59">
        <f t="shared" si="11"/>
        <v>145.99175615358601</v>
      </c>
      <c r="F519" s="2"/>
      <c r="G519" s="2"/>
    </row>
    <row r="520" spans="1:7" x14ac:dyDescent="0.2">
      <c r="A520" s="34" t="s">
        <v>122</v>
      </c>
      <c r="B520" s="54"/>
      <c r="C520" s="19">
        <f>58100+55800</f>
        <v>113900</v>
      </c>
      <c r="D520" s="21">
        <f>139300</f>
        <v>139300</v>
      </c>
      <c r="E520" s="59">
        <f t="shared" si="11"/>
        <v>122.30026338893767</v>
      </c>
      <c r="F520" s="2"/>
      <c r="G520" s="2"/>
    </row>
    <row r="521" spans="1:7" x14ac:dyDescent="0.2">
      <c r="A521" s="34" t="s">
        <v>137</v>
      </c>
      <c r="B521" s="32">
        <v>138315</v>
      </c>
      <c r="C521" s="33">
        <v>138315</v>
      </c>
      <c r="D521" s="21">
        <v>54132</v>
      </c>
      <c r="E521" s="59">
        <f t="shared" si="11"/>
        <v>39.136753063659043</v>
      </c>
      <c r="F521" s="2"/>
      <c r="G521" s="2"/>
    </row>
    <row r="522" spans="1:7" x14ac:dyDescent="0.2">
      <c r="A522" s="34" t="s">
        <v>134</v>
      </c>
      <c r="B522" s="32"/>
      <c r="C522" s="33"/>
      <c r="D522" s="21">
        <v>23945</v>
      </c>
      <c r="E522" s="59"/>
      <c r="F522" s="2"/>
      <c r="G522" s="2"/>
    </row>
    <row r="523" spans="1:7" x14ac:dyDescent="0.2">
      <c r="A523" s="34" t="s">
        <v>138</v>
      </c>
      <c r="B523" s="32">
        <v>576000</v>
      </c>
      <c r="C523" s="33">
        <v>576000</v>
      </c>
      <c r="D523" s="21">
        <v>561000</v>
      </c>
      <c r="E523" s="59">
        <f t="shared" si="11"/>
        <v>97.395833333333343</v>
      </c>
      <c r="F523" s="2"/>
      <c r="G523" s="2"/>
    </row>
    <row r="524" spans="1:7" x14ac:dyDescent="0.2">
      <c r="A524" s="34" t="s">
        <v>98</v>
      </c>
      <c r="B524" s="32">
        <v>10000</v>
      </c>
      <c r="C524" s="33">
        <v>10000</v>
      </c>
      <c r="D524" s="21">
        <v>0</v>
      </c>
      <c r="E524" s="59">
        <f t="shared" si="11"/>
        <v>0</v>
      </c>
      <c r="F524" s="2"/>
      <c r="G524" s="2"/>
    </row>
    <row r="525" spans="1:7" x14ac:dyDescent="0.2">
      <c r="A525" s="35" t="s">
        <v>17</v>
      </c>
      <c r="B525" s="98">
        <f>SUM(B517:B524)</f>
        <v>15955319</v>
      </c>
      <c r="C525" s="25">
        <f>SUM(C517:C524)</f>
        <v>16984619</v>
      </c>
      <c r="D525" s="25">
        <f>SUM(D517:D524)</f>
        <v>16195261</v>
      </c>
      <c r="E525" s="60">
        <f t="shared" si="11"/>
        <v>95.352512764637225</v>
      </c>
      <c r="F525" s="2"/>
      <c r="G525" s="2"/>
    </row>
    <row r="526" spans="1:7" x14ac:dyDescent="0.2">
      <c r="A526" s="35"/>
      <c r="B526" s="54"/>
      <c r="C526" s="19"/>
      <c r="D526" s="21"/>
      <c r="E526" s="59"/>
      <c r="F526" s="2"/>
      <c r="G526" s="2"/>
    </row>
    <row r="527" spans="1:7" x14ac:dyDescent="0.2">
      <c r="A527" s="20" t="s">
        <v>18</v>
      </c>
      <c r="B527" s="32">
        <v>2966544</v>
      </c>
      <c r="C527" s="33">
        <f>2966544+11620+141281+37226+10881</f>
        <v>3167552</v>
      </c>
      <c r="D527" s="21">
        <v>2982600</v>
      </c>
      <c r="E527" s="59">
        <f>D527/C527*100</f>
        <v>94.16104297577435</v>
      </c>
      <c r="F527" s="2"/>
      <c r="G527" s="2"/>
    </row>
    <row r="528" spans="1:7" x14ac:dyDescent="0.2">
      <c r="A528" s="20" t="s">
        <v>44</v>
      </c>
      <c r="B528" s="32">
        <v>435223</v>
      </c>
      <c r="C528" s="33">
        <v>435223</v>
      </c>
      <c r="D528" s="21">
        <v>100326</v>
      </c>
      <c r="E528" s="59">
        <f>D528/C528*100</f>
        <v>23.051631002957105</v>
      </c>
      <c r="F528" s="2"/>
      <c r="G528" s="2"/>
    </row>
    <row r="529" spans="1:7" x14ac:dyDescent="0.2">
      <c r="A529" s="20" t="s">
        <v>39</v>
      </c>
      <c r="B529" s="32">
        <v>25000</v>
      </c>
      <c r="C529" s="33">
        <v>25000</v>
      </c>
      <c r="D529" s="21">
        <v>0</v>
      </c>
      <c r="E529" s="59">
        <f>D529/C529*100</f>
        <v>0</v>
      </c>
      <c r="F529" s="2"/>
      <c r="G529" s="2"/>
    </row>
    <row r="530" spans="1:7" x14ac:dyDescent="0.2">
      <c r="A530" s="20" t="s">
        <v>65</v>
      </c>
      <c r="B530" s="32">
        <v>54631</v>
      </c>
      <c r="C530" s="33">
        <v>54631</v>
      </c>
      <c r="D530" s="21">
        <v>77172</v>
      </c>
      <c r="E530" s="59">
        <f>D530/C530*100</f>
        <v>141.26045651736194</v>
      </c>
      <c r="F530" s="2"/>
      <c r="G530" s="2"/>
    </row>
    <row r="531" spans="1:7" x14ac:dyDescent="0.2">
      <c r="A531" s="35" t="s">
        <v>19</v>
      </c>
      <c r="B531" s="55">
        <f>SUM(B527:B530)</f>
        <v>3481398</v>
      </c>
      <c r="C531" s="24">
        <f>SUM(C527:C530)</f>
        <v>3682406</v>
      </c>
      <c r="D531" s="25">
        <f>SUM(D527:D530)</f>
        <v>3160098</v>
      </c>
      <c r="E531" s="60">
        <f>D531/C531*100</f>
        <v>85.816121307645048</v>
      </c>
      <c r="F531" s="2"/>
      <c r="G531" s="2"/>
    </row>
    <row r="532" spans="1:7" x14ac:dyDescent="0.2">
      <c r="A532" s="35"/>
      <c r="B532" s="55"/>
      <c r="C532" s="24"/>
      <c r="D532" s="21"/>
      <c r="E532" s="59"/>
      <c r="F532" s="2"/>
      <c r="G532" s="2"/>
    </row>
    <row r="533" spans="1:7" x14ac:dyDescent="0.2">
      <c r="A533" s="34" t="s">
        <v>20</v>
      </c>
      <c r="B533" s="32">
        <v>20000</v>
      </c>
      <c r="C533" s="33">
        <v>20000</v>
      </c>
      <c r="D533" s="21">
        <v>0</v>
      </c>
      <c r="E533" s="59">
        <f t="shared" ref="E533:E548" si="12">D533/C533*100</f>
        <v>0</v>
      </c>
      <c r="F533" s="2"/>
      <c r="G533" s="2"/>
    </row>
    <row r="534" spans="1:7" x14ac:dyDescent="0.2">
      <c r="A534" s="20" t="s">
        <v>102</v>
      </c>
      <c r="B534" s="32">
        <v>40000</v>
      </c>
      <c r="C534" s="33">
        <v>40000</v>
      </c>
      <c r="D534" s="21">
        <v>36457</v>
      </c>
      <c r="E534" s="59">
        <f t="shared" si="12"/>
        <v>91.142499999999998</v>
      </c>
      <c r="F534" s="2"/>
      <c r="G534" s="2"/>
    </row>
    <row r="535" spans="1:7" x14ac:dyDescent="0.2">
      <c r="A535" s="20" t="s">
        <v>21</v>
      </c>
      <c r="B535" s="33">
        <v>40000</v>
      </c>
      <c r="C535" s="33">
        <v>40000</v>
      </c>
      <c r="D535" s="21">
        <v>0</v>
      </c>
      <c r="E535" s="59">
        <f t="shared" si="12"/>
        <v>0</v>
      </c>
      <c r="F535" s="2"/>
      <c r="G535" s="2"/>
    </row>
    <row r="536" spans="1:7" x14ac:dyDescent="0.2">
      <c r="A536" s="39" t="s">
        <v>24</v>
      </c>
      <c r="B536" s="37">
        <f>SUM(B533:B535)</f>
        <v>100000</v>
      </c>
      <c r="C536" s="37">
        <f>SUM(C533:C535)</f>
        <v>100000</v>
      </c>
      <c r="D536" s="25">
        <f>SUM(D533:D535)</f>
        <v>36457</v>
      </c>
      <c r="E536" s="60">
        <f t="shared" si="12"/>
        <v>36.457000000000001</v>
      </c>
      <c r="F536" s="2"/>
      <c r="G536" s="2"/>
    </row>
    <row r="537" spans="1:7" x14ac:dyDescent="0.2">
      <c r="A537" s="20" t="s">
        <v>22</v>
      </c>
      <c r="B537" s="33">
        <v>30000</v>
      </c>
      <c r="C537" s="33">
        <v>30000</v>
      </c>
      <c r="D537" s="21">
        <v>35202</v>
      </c>
      <c r="E537" s="59">
        <f t="shared" si="12"/>
        <v>117.34</v>
      </c>
      <c r="F537" s="2"/>
      <c r="G537" s="2"/>
    </row>
    <row r="538" spans="1:7" x14ac:dyDescent="0.2">
      <c r="A538" s="20" t="s">
        <v>94</v>
      </c>
      <c r="B538" s="33">
        <v>10000</v>
      </c>
      <c r="C538" s="33">
        <v>10000</v>
      </c>
      <c r="D538" s="21">
        <v>4054</v>
      </c>
      <c r="E538" s="59">
        <f t="shared" si="12"/>
        <v>40.54</v>
      </c>
      <c r="F538" s="2"/>
      <c r="G538" s="2"/>
    </row>
    <row r="539" spans="1:7" x14ac:dyDescent="0.2">
      <c r="A539" s="20" t="s">
        <v>128</v>
      </c>
      <c r="B539" s="33">
        <v>72000</v>
      </c>
      <c r="C539" s="33">
        <v>72000</v>
      </c>
      <c r="D539" s="21">
        <v>70866</v>
      </c>
      <c r="E539" s="59">
        <f t="shared" si="12"/>
        <v>98.424999999999997</v>
      </c>
      <c r="F539" s="2"/>
      <c r="G539" s="2"/>
    </row>
    <row r="540" spans="1:7" x14ac:dyDescent="0.2">
      <c r="A540" s="20" t="s">
        <v>23</v>
      </c>
      <c r="B540" s="19">
        <v>200000</v>
      </c>
      <c r="C540" s="19">
        <v>200000</v>
      </c>
      <c r="D540" s="21">
        <f>296451-D537-D538-D539</f>
        <v>186329</v>
      </c>
      <c r="E540" s="59">
        <f t="shared" si="12"/>
        <v>93.16449999999999</v>
      </c>
      <c r="F540" s="2"/>
      <c r="G540" s="2"/>
    </row>
    <row r="541" spans="1:7" x14ac:dyDescent="0.2">
      <c r="A541" s="39" t="s">
        <v>40</v>
      </c>
      <c r="B541" s="37">
        <f>SUM(B537:B540)</f>
        <v>312000</v>
      </c>
      <c r="C541" s="37">
        <f>SUM(C537:C540)</f>
        <v>312000</v>
      </c>
      <c r="D541" s="25">
        <f>SUM(D537:D540)</f>
        <v>296451</v>
      </c>
      <c r="E541" s="60">
        <f t="shared" si="12"/>
        <v>95.016346153846158</v>
      </c>
      <c r="F541" s="2"/>
      <c r="G541" s="2"/>
    </row>
    <row r="542" spans="1:7" x14ac:dyDescent="0.2">
      <c r="A542" s="40" t="s">
        <v>25</v>
      </c>
      <c r="B542" s="33">
        <v>50500</v>
      </c>
      <c r="C542" s="33">
        <v>50500</v>
      </c>
      <c r="D542" s="21">
        <v>50940</v>
      </c>
      <c r="E542" s="59">
        <f t="shared" si="12"/>
        <v>100.87128712871288</v>
      </c>
      <c r="F542" s="2"/>
      <c r="G542" s="2"/>
    </row>
    <row r="543" spans="1:7" x14ac:dyDescent="0.2">
      <c r="A543" s="20" t="s">
        <v>104</v>
      </c>
      <c r="B543" s="33">
        <v>50000</v>
      </c>
      <c r="C543" s="33">
        <v>50000</v>
      </c>
      <c r="D543" s="21">
        <v>67714</v>
      </c>
      <c r="E543" s="59">
        <f t="shared" si="12"/>
        <v>135.428</v>
      </c>
      <c r="F543" s="2"/>
      <c r="G543" s="2"/>
    </row>
    <row r="544" spans="1:7" x14ac:dyDescent="0.2">
      <c r="A544" s="23" t="s">
        <v>26</v>
      </c>
      <c r="B544" s="37">
        <f>SUM(B542:B543)</f>
        <v>100500</v>
      </c>
      <c r="C544" s="37">
        <f>SUM(C542:C543)</f>
        <v>100500</v>
      </c>
      <c r="D544" s="25">
        <f>SUM(D542:D543)</f>
        <v>118654</v>
      </c>
      <c r="E544" s="60">
        <f t="shared" si="12"/>
        <v>118.0636815920398</v>
      </c>
      <c r="F544" s="2"/>
      <c r="G544" s="2"/>
    </row>
    <row r="545" spans="1:7" x14ac:dyDescent="0.2">
      <c r="A545" s="20" t="s">
        <v>27</v>
      </c>
      <c r="B545" s="33">
        <v>400000</v>
      </c>
      <c r="C545" s="33">
        <v>400000</v>
      </c>
      <c r="D545" s="21">
        <v>450628</v>
      </c>
      <c r="E545" s="59">
        <f t="shared" si="12"/>
        <v>112.65700000000001</v>
      </c>
      <c r="F545" s="2"/>
      <c r="G545" s="2"/>
    </row>
    <row r="546" spans="1:7" x14ac:dyDescent="0.2">
      <c r="A546" s="20" t="s">
        <v>9</v>
      </c>
      <c r="B546" s="33">
        <v>80000</v>
      </c>
      <c r="C546" s="33">
        <v>80000</v>
      </c>
      <c r="D546" s="21">
        <v>98611</v>
      </c>
      <c r="E546" s="59">
        <f t="shared" si="12"/>
        <v>123.26375</v>
      </c>
      <c r="F546" s="2"/>
      <c r="G546" s="2"/>
    </row>
    <row r="547" spans="1:7" x14ac:dyDescent="0.2">
      <c r="A547" s="20" t="s">
        <v>28</v>
      </c>
      <c r="B547" s="33">
        <v>110000</v>
      </c>
      <c r="C547" s="33">
        <v>110000</v>
      </c>
      <c r="D547" s="21">
        <v>116399</v>
      </c>
      <c r="E547" s="59">
        <f t="shared" si="12"/>
        <v>105.81727272727272</v>
      </c>
      <c r="F547" s="2"/>
      <c r="G547" s="2"/>
    </row>
    <row r="548" spans="1:7" x14ac:dyDescent="0.2">
      <c r="A548" s="23" t="s">
        <v>11</v>
      </c>
      <c r="B548" s="37">
        <f>SUM(B545:B547)</f>
        <v>590000</v>
      </c>
      <c r="C548" s="37">
        <f>SUM(C545:C547)</f>
        <v>590000</v>
      </c>
      <c r="D548" s="25">
        <f>SUM(D545:D547)</f>
        <v>665638</v>
      </c>
      <c r="E548" s="60">
        <f t="shared" si="12"/>
        <v>112.82000000000001</v>
      </c>
      <c r="F548" s="2"/>
      <c r="G548" s="2"/>
    </row>
    <row r="549" spans="1:7" x14ac:dyDescent="0.2">
      <c r="A549" s="23"/>
      <c r="B549" s="37"/>
      <c r="C549" s="37"/>
      <c r="D549" s="21"/>
      <c r="E549" s="59"/>
      <c r="F549" s="2"/>
      <c r="G549" s="2"/>
    </row>
    <row r="550" spans="1:7" x14ac:dyDescent="0.2">
      <c r="A550" s="20" t="s">
        <v>29</v>
      </c>
      <c r="B550" s="33">
        <f>150000-30000</f>
        <v>120000</v>
      </c>
      <c r="C550" s="33">
        <f>150000-30000</f>
        <v>120000</v>
      </c>
      <c r="D550" s="21">
        <v>79792</v>
      </c>
      <c r="E550" s="59">
        <f t="shared" ref="E550:E559" si="13">D550/C550*100</f>
        <v>66.493333333333339</v>
      </c>
      <c r="F550" s="2"/>
      <c r="G550" s="2"/>
    </row>
    <row r="551" spans="1:7" x14ac:dyDescent="0.2">
      <c r="A551" s="20" t="s">
        <v>30</v>
      </c>
      <c r="B551" s="33">
        <v>35000</v>
      </c>
      <c r="C551" s="33">
        <v>35000</v>
      </c>
      <c r="D551" s="21">
        <v>0</v>
      </c>
      <c r="E551" s="59">
        <f t="shared" si="13"/>
        <v>0</v>
      </c>
      <c r="F551" s="2"/>
      <c r="G551" s="2"/>
    </row>
    <row r="552" spans="1:7" x14ac:dyDescent="0.2">
      <c r="A552" s="20" t="s">
        <v>31</v>
      </c>
      <c r="B552" s="33">
        <f>100000+150000</f>
        <v>250000</v>
      </c>
      <c r="C552" s="33">
        <f>100000+150000</f>
        <v>250000</v>
      </c>
      <c r="D552" s="21">
        <v>138885</v>
      </c>
      <c r="E552" s="59">
        <f t="shared" si="13"/>
        <v>55.554000000000002</v>
      </c>
      <c r="F552" s="2"/>
      <c r="G552" s="2"/>
    </row>
    <row r="553" spans="1:7" x14ac:dyDescent="0.2">
      <c r="A553" s="23" t="s">
        <v>32</v>
      </c>
      <c r="B553" s="37">
        <f>SUM(B550:B552)</f>
        <v>405000</v>
      </c>
      <c r="C553" s="37">
        <f>SUM(C550:C552)</f>
        <v>405000</v>
      </c>
      <c r="D553" s="25">
        <f>SUM(D550:D552)</f>
        <v>218677</v>
      </c>
      <c r="E553" s="60">
        <f t="shared" si="13"/>
        <v>53.994320987654319</v>
      </c>
      <c r="F553" s="2"/>
      <c r="G553" s="2"/>
    </row>
    <row r="554" spans="1:7" x14ac:dyDescent="0.2">
      <c r="A554" s="23"/>
      <c r="B554" s="37"/>
      <c r="C554" s="37"/>
      <c r="D554" s="25"/>
      <c r="E554" s="60"/>
      <c r="F554" s="2"/>
      <c r="G554" s="2"/>
    </row>
    <row r="555" spans="1:7" x14ac:dyDescent="0.2">
      <c r="A555" s="23"/>
      <c r="B555" s="37"/>
      <c r="C555" s="37"/>
      <c r="D555" s="25"/>
      <c r="E555" s="60"/>
      <c r="F555" s="2"/>
      <c r="G555" s="2"/>
    </row>
    <row r="556" spans="1:7" x14ac:dyDescent="0.2">
      <c r="A556" s="34" t="s">
        <v>69</v>
      </c>
      <c r="B556" s="33">
        <v>20000</v>
      </c>
      <c r="C556" s="33">
        <v>20000</v>
      </c>
      <c r="D556" s="21">
        <v>0</v>
      </c>
      <c r="E556" s="59">
        <f t="shared" si="13"/>
        <v>0</v>
      </c>
      <c r="F556" s="2"/>
      <c r="G556" s="2"/>
    </row>
    <row r="557" spans="1:7" x14ac:dyDescent="0.2">
      <c r="A557" s="20" t="s">
        <v>10</v>
      </c>
      <c r="B557" s="33">
        <f>(B533+B534+B537+B538+B539+B540+B542+B543+B545+B546+B547+B550+B552+B535+B551)*0.27</f>
        <v>407025</v>
      </c>
      <c r="C557" s="33">
        <f>(C533+C534+C537+C538+C539+C540+C542+C543+C545+C546+C547+C550+C552+C535+C551)*0.27</f>
        <v>407025</v>
      </c>
      <c r="D557" s="21">
        <f>322137+3</f>
        <v>322140</v>
      </c>
      <c r="E557" s="59">
        <f t="shared" si="13"/>
        <v>79.145015662428591</v>
      </c>
      <c r="F557" s="2"/>
      <c r="G557" s="2"/>
    </row>
    <row r="558" spans="1:7" x14ac:dyDescent="0.2">
      <c r="A558" s="39" t="s">
        <v>34</v>
      </c>
      <c r="B558" s="37">
        <f>SUM(B556:B557)</f>
        <v>427025</v>
      </c>
      <c r="C558" s="37">
        <f>SUM(C556:C557)</f>
        <v>427025</v>
      </c>
      <c r="D558" s="25">
        <f>SUM(D556:D557)</f>
        <v>322140</v>
      </c>
      <c r="E558" s="60">
        <f t="shared" si="13"/>
        <v>75.438206194016743</v>
      </c>
      <c r="F558" s="2"/>
      <c r="G558" s="2"/>
    </row>
    <row r="559" spans="1:7" x14ac:dyDescent="0.2">
      <c r="A559" s="27" t="s">
        <v>12</v>
      </c>
      <c r="B559" s="37">
        <f>B536+B541+B544+B548+B553+B558</f>
        <v>1934525</v>
      </c>
      <c r="C559" s="37">
        <f>C536+C541+C544+C548+C553+C558</f>
        <v>1934525</v>
      </c>
      <c r="D559" s="25">
        <f>D536+D541+D544+D548+D553+D558</f>
        <v>1658017</v>
      </c>
      <c r="E559" s="60">
        <f t="shared" si="13"/>
        <v>85.706672180509429</v>
      </c>
      <c r="F559" s="2"/>
      <c r="G559" s="2"/>
    </row>
    <row r="560" spans="1:7" x14ac:dyDescent="0.2">
      <c r="A560" s="27"/>
      <c r="B560" s="33"/>
      <c r="C560" s="33"/>
      <c r="D560" s="25"/>
      <c r="E560" s="60"/>
      <c r="F560" s="2"/>
      <c r="G560" s="2"/>
    </row>
    <row r="561" spans="1:7" x14ac:dyDescent="0.2">
      <c r="A561" s="28" t="s">
        <v>13</v>
      </c>
      <c r="B561" s="37">
        <f>B525+B531+B559</f>
        <v>21371242</v>
      </c>
      <c r="C561" s="37">
        <f>C525+C531+C559</f>
        <v>22601550</v>
      </c>
      <c r="D561" s="25">
        <f>D525+D531+D559</f>
        <v>21013376</v>
      </c>
      <c r="E561" s="60">
        <f>D561/C561*100</f>
        <v>92.973163344991832</v>
      </c>
      <c r="F561" s="2"/>
      <c r="G561" s="2"/>
    </row>
    <row r="562" spans="1:7" x14ac:dyDescent="0.2">
      <c r="A562" s="28"/>
      <c r="B562" s="27"/>
      <c r="C562" s="37"/>
      <c r="D562" s="3"/>
      <c r="E562" s="3"/>
      <c r="F562" s="2"/>
      <c r="G562" s="2"/>
    </row>
    <row r="563" spans="1:7" x14ac:dyDescent="0.2">
      <c r="A563" s="14" t="s">
        <v>112</v>
      </c>
      <c r="B563" s="15"/>
      <c r="C563" s="15"/>
      <c r="D563" s="15"/>
      <c r="E563" s="30"/>
      <c r="F563" s="2"/>
      <c r="G563" s="2"/>
    </row>
    <row r="564" spans="1:7" x14ac:dyDescent="0.2">
      <c r="A564" s="20" t="s">
        <v>139</v>
      </c>
      <c r="B564" s="54">
        <v>23008300</v>
      </c>
      <c r="C564" s="19">
        <v>23008300</v>
      </c>
      <c r="D564" s="21">
        <v>22380764</v>
      </c>
      <c r="E564" s="59">
        <f t="shared" ref="E564:E571" si="14">D564/C564*100</f>
        <v>97.272566856308373</v>
      </c>
      <c r="F564" s="2"/>
      <c r="G564" s="2"/>
    </row>
    <row r="565" spans="1:7" x14ac:dyDescent="0.2">
      <c r="A565" s="20" t="s">
        <v>75</v>
      </c>
      <c r="B565" s="54"/>
      <c r="C565" s="19">
        <v>963375</v>
      </c>
      <c r="D565" s="21"/>
      <c r="E565" s="59">
        <f t="shared" si="14"/>
        <v>0</v>
      </c>
      <c r="F565" s="2"/>
      <c r="G565" s="2"/>
    </row>
    <row r="566" spans="1:7" x14ac:dyDescent="0.2">
      <c r="A566" s="34" t="s">
        <v>99</v>
      </c>
      <c r="B566" s="54">
        <v>460166</v>
      </c>
      <c r="C566" s="19">
        <v>460166</v>
      </c>
      <c r="D566" s="21">
        <v>512000</v>
      </c>
      <c r="E566" s="59">
        <f t="shared" si="14"/>
        <v>111.26419596406514</v>
      </c>
      <c r="F566" s="2"/>
      <c r="G566" s="2"/>
    </row>
    <row r="567" spans="1:7" x14ac:dyDescent="0.2">
      <c r="A567" s="34" t="s">
        <v>140</v>
      </c>
      <c r="B567" s="54"/>
      <c r="C567" s="19"/>
      <c r="D567" s="21">
        <v>220000</v>
      </c>
      <c r="E567" s="59"/>
      <c r="F567" s="2"/>
      <c r="G567" s="2"/>
    </row>
    <row r="568" spans="1:7" x14ac:dyDescent="0.2">
      <c r="A568" s="34" t="s">
        <v>122</v>
      </c>
      <c r="B568" s="54"/>
      <c r="C568" s="19">
        <f>201600+198000</f>
        <v>399600</v>
      </c>
      <c r="D568" s="21">
        <v>934632</v>
      </c>
      <c r="E568" s="59">
        <f t="shared" si="14"/>
        <v>233.89189189189187</v>
      </c>
      <c r="F568" s="2"/>
      <c r="G568" s="2"/>
    </row>
    <row r="569" spans="1:7" x14ac:dyDescent="0.2">
      <c r="A569" s="34" t="s">
        <v>137</v>
      </c>
      <c r="B569" s="54">
        <v>144360</v>
      </c>
      <c r="C569" s="19">
        <v>144360</v>
      </c>
      <c r="D569" s="21">
        <v>83454</v>
      </c>
      <c r="E569" s="59">
        <f t="shared" si="14"/>
        <v>57.809642560266006</v>
      </c>
      <c r="F569" s="2"/>
      <c r="G569" s="2"/>
    </row>
    <row r="570" spans="1:7" x14ac:dyDescent="0.2">
      <c r="A570" s="34" t="s">
        <v>16</v>
      </c>
      <c r="B570" s="54">
        <v>120000</v>
      </c>
      <c r="C570" s="19">
        <v>120000</v>
      </c>
      <c r="D570" s="21"/>
      <c r="E570" s="59">
        <f t="shared" si="14"/>
        <v>0</v>
      </c>
      <c r="F570" s="2"/>
      <c r="G570" s="2"/>
    </row>
    <row r="571" spans="1:7" x14ac:dyDescent="0.2">
      <c r="A571" s="35" t="s">
        <v>17</v>
      </c>
      <c r="B571" s="55">
        <f>SUM(B564:B570)</f>
        <v>23732826</v>
      </c>
      <c r="C571" s="24">
        <f>SUM(C564:C570)</f>
        <v>25095801</v>
      </c>
      <c r="D571" s="25">
        <f>SUM(D564:D570)</f>
        <v>24130850</v>
      </c>
      <c r="E571" s="60">
        <f t="shared" si="14"/>
        <v>96.154930460279004</v>
      </c>
      <c r="F571" s="2"/>
      <c r="G571" s="2"/>
    </row>
    <row r="572" spans="1:7" x14ac:dyDescent="0.2">
      <c r="A572" s="35"/>
      <c r="B572" s="55"/>
      <c r="C572" s="24"/>
      <c r="D572" s="21"/>
      <c r="E572" s="59"/>
      <c r="F572" s="2"/>
      <c r="G572" s="2"/>
    </row>
    <row r="573" spans="1:7" x14ac:dyDescent="0.2">
      <c r="A573" s="35"/>
      <c r="B573" s="55"/>
      <c r="C573" s="24"/>
      <c r="D573" s="21"/>
      <c r="E573" s="59"/>
      <c r="F573" s="2"/>
      <c r="G573" s="2"/>
    </row>
    <row r="574" spans="1:7" x14ac:dyDescent="0.2">
      <c r="A574" s="20" t="s">
        <v>18</v>
      </c>
      <c r="B574" s="54">
        <v>4574651</v>
      </c>
      <c r="C574" s="19">
        <f>4574651+40227+187862+38605</f>
        <v>4841345</v>
      </c>
      <c r="D574" s="21">
        <v>4640777</v>
      </c>
      <c r="E574" s="59">
        <f>D574/C574*100</f>
        <v>95.857184315515624</v>
      </c>
      <c r="F574" s="2"/>
      <c r="G574" s="2"/>
    </row>
    <row r="575" spans="1:7" x14ac:dyDescent="0.2">
      <c r="A575" s="20" t="s">
        <v>44</v>
      </c>
      <c r="B575" s="54">
        <v>105884</v>
      </c>
      <c r="C575" s="19">
        <v>105884</v>
      </c>
      <c r="D575" s="21">
        <v>117816</v>
      </c>
      <c r="E575" s="59">
        <f>D575/C575*100</f>
        <v>111.26893581655398</v>
      </c>
      <c r="F575" s="2"/>
      <c r="G575" s="2"/>
    </row>
    <row r="576" spans="1:7" x14ac:dyDescent="0.2">
      <c r="A576" s="20" t="s">
        <v>39</v>
      </c>
      <c r="B576" s="54">
        <v>30000</v>
      </c>
      <c r="C576" s="19">
        <v>30000</v>
      </c>
      <c r="D576" s="21">
        <v>112710</v>
      </c>
      <c r="E576" s="59">
        <f>D576/C576*100</f>
        <v>375.7</v>
      </c>
      <c r="F576" s="2"/>
      <c r="G576" s="2"/>
    </row>
    <row r="577" spans="1:7" x14ac:dyDescent="0.2">
      <c r="A577" s="20" t="s">
        <v>65</v>
      </c>
      <c r="B577" s="54">
        <v>81449</v>
      </c>
      <c r="C577" s="19">
        <v>81449</v>
      </c>
      <c r="D577" s="21">
        <v>90624</v>
      </c>
      <c r="E577" s="59">
        <f>D577/C577*100</f>
        <v>111.26471779886799</v>
      </c>
      <c r="F577" s="2"/>
      <c r="G577" s="2"/>
    </row>
    <row r="578" spans="1:7" x14ac:dyDescent="0.2">
      <c r="A578" s="35" t="s">
        <v>19</v>
      </c>
      <c r="B578" s="55">
        <f>SUM(B574:B577)</f>
        <v>4791984</v>
      </c>
      <c r="C578" s="24">
        <f>SUM(C574:C577)</f>
        <v>5058678</v>
      </c>
      <c r="D578" s="25">
        <f>SUM(D574:D577)</f>
        <v>4961927</v>
      </c>
      <c r="E578" s="60">
        <f>D578/C578*100</f>
        <v>98.087425212674134</v>
      </c>
      <c r="F578" s="2"/>
      <c r="G578" s="2"/>
    </row>
    <row r="579" spans="1:7" x14ac:dyDescent="0.2">
      <c r="A579" s="35"/>
      <c r="B579" s="55"/>
      <c r="C579" s="24"/>
      <c r="D579" s="21"/>
      <c r="E579" s="59"/>
      <c r="F579" s="2"/>
      <c r="G579" s="2"/>
    </row>
    <row r="580" spans="1:7" x14ac:dyDescent="0.2">
      <c r="A580" s="34" t="s">
        <v>20</v>
      </c>
      <c r="B580" s="32">
        <v>10000</v>
      </c>
      <c r="C580" s="33">
        <v>10000</v>
      </c>
      <c r="D580" s="21">
        <v>0</v>
      </c>
      <c r="E580" s="59">
        <f t="shared" ref="E580:E602" si="15">D580/C580*100</f>
        <v>0</v>
      </c>
      <c r="F580" s="2"/>
      <c r="G580" s="2"/>
    </row>
    <row r="581" spans="1:7" x14ac:dyDescent="0.2">
      <c r="A581" s="20" t="s">
        <v>101</v>
      </c>
      <c r="B581" s="32">
        <v>15000</v>
      </c>
      <c r="C581" s="33">
        <v>15000</v>
      </c>
      <c r="D581" s="21">
        <v>0</v>
      </c>
      <c r="E581" s="59">
        <f t="shared" si="15"/>
        <v>0</v>
      </c>
      <c r="F581" s="2"/>
      <c r="G581" s="2"/>
    </row>
    <row r="582" spans="1:7" x14ac:dyDescent="0.2">
      <c r="A582" s="20" t="s">
        <v>102</v>
      </c>
      <c r="B582" s="32">
        <v>20000</v>
      </c>
      <c r="C582" s="33">
        <v>20000</v>
      </c>
      <c r="D582" s="21">
        <v>0</v>
      </c>
      <c r="E582" s="59">
        <f t="shared" si="15"/>
        <v>0</v>
      </c>
      <c r="F582" s="2"/>
      <c r="G582" s="2"/>
    </row>
    <row r="583" spans="1:7" x14ac:dyDescent="0.2">
      <c r="A583" s="20" t="s">
        <v>21</v>
      </c>
      <c r="B583" s="33">
        <v>20000</v>
      </c>
      <c r="C583" s="33">
        <v>20000</v>
      </c>
      <c r="D583" s="21">
        <v>0</v>
      </c>
      <c r="E583" s="59">
        <f t="shared" si="15"/>
        <v>0</v>
      </c>
      <c r="F583" s="2"/>
      <c r="G583" s="2"/>
    </row>
    <row r="584" spans="1:7" x14ac:dyDescent="0.2">
      <c r="A584" s="39" t="s">
        <v>24</v>
      </c>
      <c r="B584" s="37">
        <f>SUM(B580:B583)</f>
        <v>65000</v>
      </c>
      <c r="C584" s="37">
        <f>SUM(C580:C583)</f>
        <v>65000</v>
      </c>
      <c r="D584" s="25">
        <f>SUM(D580:D583)</f>
        <v>0</v>
      </c>
      <c r="E584" s="60">
        <f t="shared" si="15"/>
        <v>0</v>
      </c>
      <c r="F584" s="2"/>
      <c r="G584" s="2"/>
    </row>
    <row r="585" spans="1:7" x14ac:dyDescent="0.2">
      <c r="A585" s="20" t="s">
        <v>22</v>
      </c>
      <c r="B585" s="33">
        <v>50000</v>
      </c>
      <c r="C585" s="33">
        <v>50000</v>
      </c>
      <c r="D585" s="21">
        <v>24176</v>
      </c>
      <c r="E585" s="59">
        <f t="shared" si="15"/>
        <v>48.352000000000004</v>
      </c>
      <c r="F585" s="2"/>
      <c r="G585" s="2"/>
    </row>
    <row r="586" spans="1:7" x14ac:dyDescent="0.2">
      <c r="A586" s="20" t="s">
        <v>128</v>
      </c>
      <c r="B586" s="33">
        <f>8*32000</f>
        <v>256000</v>
      </c>
      <c r="C586" s="33">
        <f>8*32000</f>
        <v>256000</v>
      </c>
      <c r="D586" s="21">
        <v>142519</v>
      </c>
      <c r="E586" s="59">
        <f t="shared" si="15"/>
        <v>55.671484375000006</v>
      </c>
      <c r="F586" s="2"/>
      <c r="G586" s="2"/>
    </row>
    <row r="587" spans="1:7" x14ac:dyDescent="0.2">
      <c r="A587" s="20" t="s">
        <v>23</v>
      </c>
      <c r="B587" s="33">
        <f>240000-60000</f>
        <v>180000</v>
      </c>
      <c r="C587" s="33">
        <f>240000-60000</f>
        <v>180000</v>
      </c>
      <c r="D587" s="21">
        <f>426516-D585-D586</f>
        <v>259821</v>
      </c>
      <c r="E587" s="59">
        <f t="shared" si="15"/>
        <v>144.345</v>
      </c>
      <c r="F587" s="2"/>
      <c r="G587" s="2"/>
    </row>
    <row r="588" spans="1:7" x14ac:dyDescent="0.2">
      <c r="A588" s="39" t="s">
        <v>40</v>
      </c>
      <c r="B588" s="37">
        <f>SUM(B585:B587)</f>
        <v>486000</v>
      </c>
      <c r="C588" s="37">
        <f>SUM(C585:C587)</f>
        <v>486000</v>
      </c>
      <c r="D588" s="25">
        <f>SUM(D585:D587)</f>
        <v>426516</v>
      </c>
      <c r="E588" s="60">
        <f t="shared" si="15"/>
        <v>87.760493827160488</v>
      </c>
      <c r="F588" s="2"/>
      <c r="G588" s="2"/>
    </row>
    <row r="589" spans="1:7" x14ac:dyDescent="0.2">
      <c r="A589" s="40" t="s">
        <v>25</v>
      </c>
      <c r="B589" s="33">
        <v>36000</v>
      </c>
      <c r="C589" s="33">
        <v>36000</v>
      </c>
      <c r="D589" s="21">
        <v>39738</v>
      </c>
      <c r="E589" s="59">
        <f t="shared" si="15"/>
        <v>110.38333333333334</v>
      </c>
      <c r="F589" s="2"/>
      <c r="G589" s="2"/>
    </row>
    <row r="590" spans="1:7" x14ac:dyDescent="0.2">
      <c r="A590" s="20" t="s">
        <v>104</v>
      </c>
      <c r="B590" s="33">
        <v>60000</v>
      </c>
      <c r="C590" s="33">
        <v>60000</v>
      </c>
      <c r="D590" s="21">
        <v>47041</v>
      </c>
      <c r="E590" s="59">
        <f t="shared" si="15"/>
        <v>78.401666666666671</v>
      </c>
      <c r="F590" s="2"/>
      <c r="G590" s="2"/>
    </row>
    <row r="591" spans="1:7" x14ac:dyDescent="0.2">
      <c r="A591" s="23" t="s">
        <v>26</v>
      </c>
      <c r="B591" s="37">
        <f>SUM(B589:B590)</f>
        <v>96000</v>
      </c>
      <c r="C591" s="37">
        <f>SUM(C589:C590)</f>
        <v>96000</v>
      </c>
      <c r="D591" s="25">
        <f>SUM(D589:D590)</f>
        <v>86779</v>
      </c>
      <c r="E591" s="60">
        <f t="shared" si="15"/>
        <v>90.394791666666663</v>
      </c>
      <c r="F591" s="2"/>
      <c r="G591" s="2"/>
    </row>
    <row r="592" spans="1:7" x14ac:dyDescent="0.2">
      <c r="A592" s="20" t="s">
        <v>27</v>
      </c>
      <c r="B592" s="33">
        <v>530000</v>
      </c>
      <c r="C592" s="33">
        <v>530000</v>
      </c>
      <c r="D592" s="21">
        <f>1010933-D593-D594</f>
        <v>564826</v>
      </c>
      <c r="E592" s="59">
        <f t="shared" si="15"/>
        <v>106.57094339622641</v>
      </c>
      <c r="F592" s="2"/>
      <c r="G592" s="2"/>
    </row>
    <row r="593" spans="1:7" x14ac:dyDescent="0.2">
      <c r="A593" s="20" t="s">
        <v>9</v>
      </c>
      <c r="B593" s="33">
        <v>320000</v>
      </c>
      <c r="C593" s="33">
        <v>320000</v>
      </c>
      <c r="D593" s="21">
        <v>318808</v>
      </c>
      <c r="E593" s="59">
        <f t="shared" si="15"/>
        <v>99.627499999999998</v>
      </c>
      <c r="F593" s="2"/>
      <c r="G593" s="2"/>
    </row>
    <row r="594" spans="1:7" x14ac:dyDescent="0.2">
      <c r="A594" s="20" t="s">
        <v>28</v>
      </c>
      <c r="B594" s="33">
        <v>140000</v>
      </c>
      <c r="C594" s="33">
        <v>140000</v>
      </c>
      <c r="D594" s="21">
        <v>127299</v>
      </c>
      <c r="E594" s="59">
        <f t="shared" si="15"/>
        <v>90.927857142857135</v>
      </c>
      <c r="F594" s="2"/>
      <c r="G594" s="2"/>
    </row>
    <row r="595" spans="1:7" x14ac:dyDescent="0.2">
      <c r="A595" s="23" t="s">
        <v>11</v>
      </c>
      <c r="B595" s="37">
        <f>SUM(B592:B594)</f>
        <v>990000</v>
      </c>
      <c r="C595" s="37">
        <f>SUM(C592:C594)</f>
        <v>990000</v>
      </c>
      <c r="D595" s="25">
        <f>SUM(D592:D594)</f>
        <v>1010933</v>
      </c>
      <c r="E595" s="60">
        <f t="shared" si="15"/>
        <v>102.11444444444444</v>
      </c>
      <c r="F595" s="2"/>
      <c r="G595" s="2"/>
    </row>
    <row r="596" spans="1:7" x14ac:dyDescent="0.2">
      <c r="A596" s="20" t="s">
        <v>29</v>
      </c>
      <c r="B596" s="33">
        <v>70000</v>
      </c>
      <c r="C596" s="33">
        <v>70000</v>
      </c>
      <c r="D596" s="21">
        <v>18000</v>
      </c>
      <c r="E596" s="59">
        <f t="shared" si="15"/>
        <v>25.714285714285712</v>
      </c>
      <c r="F596" s="2"/>
      <c r="G596" s="2"/>
    </row>
    <row r="597" spans="1:7" x14ac:dyDescent="0.2">
      <c r="A597" s="20" t="s">
        <v>30</v>
      </c>
      <c r="B597" s="33">
        <v>60000</v>
      </c>
      <c r="C597" s="33">
        <v>60000</v>
      </c>
      <c r="D597" s="21">
        <v>0</v>
      </c>
      <c r="E597" s="59">
        <f t="shared" si="15"/>
        <v>0</v>
      </c>
      <c r="F597" s="2"/>
      <c r="G597" s="2"/>
    </row>
    <row r="598" spans="1:7" x14ac:dyDescent="0.2">
      <c r="A598" s="20" t="s">
        <v>141</v>
      </c>
      <c r="B598" s="33">
        <v>140000</v>
      </c>
      <c r="C598" s="33">
        <v>140000</v>
      </c>
      <c r="D598" s="21">
        <v>219988</v>
      </c>
      <c r="E598" s="59">
        <f t="shared" si="15"/>
        <v>157.13428571428571</v>
      </c>
      <c r="F598" s="2"/>
      <c r="G598" s="2"/>
    </row>
    <row r="599" spans="1:7" x14ac:dyDescent="0.2">
      <c r="A599" s="23" t="s">
        <v>32</v>
      </c>
      <c r="B599" s="37">
        <f>SUM(B596:B598)</f>
        <v>270000</v>
      </c>
      <c r="C599" s="37">
        <f>SUM(C596:C598)</f>
        <v>270000</v>
      </c>
      <c r="D599" s="25">
        <f>SUM(D596:D598)</f>
        <v>237988</v>
      </c>
      <c r="E599" s="60">
        <f t="shared" si="15"/>
        <v>88.143703703703707</v>
      </c>
      <c r="F599" s="2"/>
      <c r="G599" s="2"/>
    </row>
    <row r="600" spans="1:7" x14ac:dyDescent="0.2">
      <c r="A600" s="20" t="s">
        <v>10</v>
      </c>
      <c r="B600" s="33">
        <f>(B581+B580+B583+B585+B586+B589+B590+B592+B593+B594+B596+B597+B598+B587)*0.27</f>
        <v>509490.00000000006</v>
      </c>
      <c r="C600" s="33">
        <f>(C581+C580+C583+C585+C586+C589+C590+C592+C593+C594+C596+C597+C598+C587)*0.27</f>
        <v>509490.00000000006</v>
      </c>
      <c r="D600" s="21">
        <v>423327</v>
      </c>
      <c r="E600" s="59">
        <f t="shared" si="15"/>
        <v>83.088382500147191</v>
      </c>
      <c r="F600" s="2"/>
      <c r="G600" s="2"/>
    </row>
    <row r="601" spans="1:7" x14ac:dyDescent="0.2">
      <c r="A601" s="39" t="s">
        <v>34</v>
      </c>
      <c r="B601" s="37">
        <f>SUM(B600:B600)</f>
        <v>509490.00000000006</v>
      </c>
      <c r="C601" s="37">
        <f>SUM(C600:C600)</f>
        <v>509490.00000000006</v>
      </c>
      <c r="D601" s="25">
        <f>SUM(D600)</f>
        <v>423327</v>
      </c>
      <c r="E601" s="60">
        <f t="shared" si="15"/>
        <v>83.088382500147191</v>
      </c>
      <c r="F601" s="99"/>
      <c r="G601" s="2"/>
    </row>
    <row r="602" spans="1:7" x14ac:dyDescent="0.2">
      <c r="A602" s="27" t="s">
        <v>12</v>
      </c>
      <c r="B602" s="37">
        <f>B584+B588+B591+B595+B599+B601</f>
        <v>2416490</v>
      </c>
      <c r="C602" s="37">
        <f>C584+C588+C591+C595+C599+C601</f>
        <v>2416490</v>
      </c>
      <c r="D602" s="25">
        <f>D584+D588+D591+D595+D599+D601</f>
        <v>2185543</v>
      </c>
      <c r="E602" s="60">
        <f t="shared" si="15"/>
        <v>90.442873754908987</v>
      </c>
      <c r="F602" s="2"/>
      <c r="G602" s="2"/>
    </row>
    <row r="603" spans="1:7" x14ac:dyDescent="0.2">
      <c r="A603" s="27"/>
      <c r="B603" s="37"/>
      <c r="C603" s="37"/>
      <c r="D603" s="25"/>
      <c r="E603" s="60"/>
      <c r="F603" s="2"/>
      <c r="G603" s="2"/>
    </row>
    <row r="604" spans="1:7" x14ac:dyDescent="0.2">
      <c r="A604" s="28" t="s">
        <v>13</v>
      </c>
      <c r="B604" s="37">
        <f>B571+B578+B602</f>
        <v>30941300</v>
      </c>
      <c r="C604" s="37">
        <f>C571+C578+C602</f>
        <v>32570969</v>
      </c>
      <c r="D604" s="25">
        <f>D571+D578+D602</f>
        <v>31278320</v>
      </c>
      <c r="E604" s="60">
        <f>D604/C604*100</f>
        <v>96.031284792294642</v>
      </c>
      <c r="F604" s="2"/>
      <c r="G604" s="2"/>
    </row>
    <row r="605" spans="1:7" x14ac:dyDescent="0.2">
      <c r="A605" s="28"/>
      <c r="B605" s="27"/>
      <c r="C605" s="37"/>
      <c r="D605" s="3"/>
      <c r="E605" s="3"/>
      <c r="F605" s="2"/>
      <c r="G605" s="2"/>
    </row>
    <row r="606" spans="1:7" x14ac:dyDescent="0.2">
      <c r="A606" s="14" t="s">
        <v>142</v>
      </c>
      <c r="B606" s="15"/>
      <c r="C606" s="15"/>
      <c r="D606" s="15"/>
      <c r="E606" s="30"/>
      <c r="F606" s="2"/>
      <c r="G606" s="2"/>
    </row>
    <row r="607" spans="1:7" x14ac:dyDescent="0.2">
      <c r="A607" s="28"/>
      <c r="B607" s="28"/>
      <c r="C607" s="24"/>
      <c r="D607" s="3"/>
      <c r="E607" s="3"/>
      <c r="F607" s="2"/>
      <c r="G607" s="2"/>
    </row>
    <row r="608" spans="1:7" x14ac:dyDescent="0.2">
      <c r="A608" s="34" t="s">
        <v>49</v>
      </c>
      <c r="B608" s="19">
        <v>3024000</v>
      </c>
      <c r="C608" s="19">
        <v>3024000</v>
      </c>
      <c r="D608" s="21">
        <v>2615515</v>
      </c>
      <c r="E608" s="59">
        <f>D608/C608*100</f>
        <v>86.491898148148152</v>
      </c>
      <c r="F608" s="2"/>
      <c r="G608" s="2"/>
    </row>
    <row r="609" spans="1:7" x14ac:dyDescent="0.2">
      <c r="A609" s="23" t="s">
        <v>32</v>
      </c>
      <c r="B609" s="24">
        <f>SUM(B606:B608)</f>
        <v>3024000</v>
      </c>
      <c r="C609" s="24">
        <f>SUM(C606:C608)</f>
        <v>3024000</v>
      </c>
      <c r="D609" s="25">
        <f>SUM(D608)</f>
        <v>2615515</v>
      </c>
      <c r="E609" s="60">
        <f>D609/C609*100</f>
        <v>86.491898148148152</v>
      </c>
      <c r="F609" s="2"/>
      <c r="G609" s="2"/>
    </row>
    <row r="610" spans="1:7" x14ac:dyDescent="0.2">
      <c r="A610" s="20" t="s">
        <v>10</v>
      </c>
      <c r="B610" s="19">
        <f>(B608)*0.27</f>
        <v>816480</v>
      </c>
      <c r="C610" s="19">
        <f>(C608)*0.27</f>
        <v>816480</v>
      </c>
      <c r="D610" s="21">
        <v>706188</v>
      </c>
      <c r="E610" s="59">
        <f>D610/C610*100</f>
        <v>86.491769547325106</v>
      </c>
      <c r="F610" s="2"/>
      <c r="G610" s="2"/>
    </row>
    <row r="611" spans="1:7" x14ac:dyDescent="0.2">
      <c r="A611" s="39" t="s">
        <v>34</v>
      </c>
      <c r="B611" s="24">
        <f>SUM(B610:B610)</f>
        <v>816480</v>
      </c>
      <c r="C611" s="24">
        <f>SUM(C610:C610)</f>
        <v>816480</v>
      </c>
      <c r="D611" s="25">
        <f>SUM(D610)</f>
        <v>706188</v>
      </c>
      <c r="E611" s="60">
        <f>D611/C611*100</f>
        <v>86.491769547325106</v>
      </c>
      <c r="F611" s="2"/>
      <c r="G611" s="2"/>
    </row>
    <row r="612" spans="1:7" x14ac:dyDescent="0.2">
      <c r="A612" s="27" t="s">
        <v>12</v>
      </c>
      <c r="B612" s="24">
        <f>B611+B609</f>
        <v>3840480</v>
      </c>
      <c r="C612" s="24">
        <f>C611+C609</f>
        <v>3840480</v>
      </c>
      <c r="D612" s="25">
        <f>D611+D609</f>
        <v>3321703</v>
      </c>
      <c r="E612" s="60">
        <f>D612/C612*100</f>
        <v>86.491870807815687</v>
      </c>
      <c r="F612" s="2"/>
      <c r="G612" s="2"/>
    </row>
    <row r="613" spans="1:7" x14ac:dyDescent="0.2">
      <c r="A613" s="27"/>
      <c r="B613" s="24"/>
      <c r="C613" s="24"/>
      <c r="D613" s="25"/>
      <c r="E613" s="60"/>
      <c r="F613" s="2"/>
      <c r="G613" s="2"/>
    </row>
    <row r="614" spans="1:7" x14ac:dyDescent="0.2">
      <c r="A614" s="28" t="s">
        <v>13</v>
      </c>
      <c r="B614" s="24">
        <f>B612</f>
        <v>3840480</v>
      </c>
      <c r="C614" s="24">
        <f>C612</f>
        <v>3840480</v>
      </c>
      <c r="D614" s="25">
        <f>D612</f>
        <v>3321703</v>
      </c>
      <c r="E614" s="60">
        <f>D614/C614*100</f>
        <v>86.491870807815687</v>
      </c>
      <c r="F614" s="2"/>
      <c r="G614" s="2"/>
    </row>
    <row r="615" spans="1:7" x14ac:dyDescent="0.2">
      <c r="A615" s="28"/>
      <c r="B615" s="28"/>
      <c r="C615" s="37"/>
      <c r="D615" s="3"/>
      <c r="E615" s="3"/>
      <c r="F615" s="2"/>
      <c r="G615" s="2"/>
    </row>
    <row r="616" spans="1:7" x14ac:dyDescent="0.2">
      <c r="A616" s="64" t="s">
        <v>83</v>
      </c>
      <c r="B616" s="65"/>
      <c r="C616" s="65"/>
      <c r="D616" s="65"/>
      <c r="E616" s="66"/>
      <c r="F616" s="2"/>
      <c r="G616" s="2"/>
    </row>
    <row r="617" spans="1:7" x14ac:dyDescent="0.2">
      <c r="A617" s="20" t="s">
        <v>143</v>
      </c>
      <c r="B617" s="54">
        <v>9555356</v>
      </c>
      <c r="C617" s="19">
        <v>9555356</v>
      </c>
      <c r="D617" s="21">
        <v>9556962</v>
      </c>
      <c r="E617" s="59">
        <f t="shared" ref="E617:E623" si="16">D617/C617*100</f>
        <v>100.01680732774372</v>
      </c>
      <c r="F617" s="2"/>
      <c r="G617" s="2"/>
    </row>
    <row r="618" spans="1:7" x14ac:dyDescent="0.2">
      <c r="A618" s="34" t="s">
        <v>99</v>
      </c>
      <c r="B618" s="54">
        <v>191107</v>
      </c>
      <c r="C618" s="19">
        <v>191107</v>
      </c>
      <c r="D618" s="21">
        <v>247000</v>
      </c>
      <c r="E618" s="59">
        <f t="shared" si="16"/>
        <v>129.24696635916004</v>
      </c>
      <c r="F618" s="2"/>
      <c r="G618" s="2"/>
    </row>
    <row r="619" spans="1:7" x14ac:dyDescent="0.2">
      <c r="A619" s="34" t="s">
        <v>122</v>
      </c>
      <c r="B619" s="54"/>
      <c r="C619" s="19">
        <f>111200+106200</f>
        <v>217400</v>
      </c>
      <c r="D619" s="21">
        <v>246648</v>
      </c>
      <c r="E619" s="59">
        <f t="shared" si="16"/>
        <v>113.45354185832565</v>
      </c>
      <c r="F619" s="2"/>
      <c r="G619" s="2"/>
    </row>
    <row r="620" spans="1:7" x14ac:dyDescent="0.2">
      <c r="A620" s="34" t="s">
        <v>134</v>
      </c>
      <c r="B620" s="54"/>
      <c r="C620" s="19"/>
      <c r="D620" s="21">
        <v>3720</v>
      </c>
      <c r="E620" s="59"/>
      <c r="F620" s="2"/>
      <c r="G620" s="2"/>
    </row>
    <row r="621" spans="1:7" x14ac:dyDescent="0.2">
      <c r="A621" s="34" t="s">
        <v>137</v>
      </c>
      <c r="B621" s="54">
        <v>84135</v>
      </c>
      <c r="C621" s="19">
        <v>84135</v>
      </c>
      <c r="D621" s="21">
        <v>27066</v>
      </c>
      <c r="E621" s="59">
        <f t="shared" si="16"/>
        <v>32.169727224104115</v>
      </c>
      <c r="F621" s="2"/>
      <c r="G621" s="2"/>
    </row>
    <row r="622" spans="1:7" x14ac:dyDescent="0.2">
      <c r="A622" s="34" t="s">
        <v>98</v>
      </c>
      <c r="B622" s="54">
        <v>6000</v>
      </c>
      <c r="C622" s="19">
        <v>6000</v>
      </c>
      <c r="D622" s="21">
        <v>0</v>
      </c>
      <c r="E622" s="59">
        <f t="shared" si="16"/>
        <v>0</v>
      </c>
      <c r="F622" s="2"/>
      <c r="G622" s="2"/>
    </row>
    <row r="623" spans="1:7" x14ac:dyDescent="0.2">
      <c r="A623" s="35" t="s">
        <v>17</v>
      </c>
      <c r="B623" s="55">
        <f>SUM(B617:B622)</f>
        <v>9836598</v>
      </c>
      <c r="C623" s="24">
        <f>SUM(C617:C622)</f>
        <v>10053998</v>
      </c>
      <c r="D623" s="25">
        <f>SUM(D617:D622)</f>
        <v>10081396</v>
      </c>
      <c r="E623" s="60">
        <f t="shared" si="16"/>
        <v>100.27250850855549</v>
      </c>
      <c r="F623" s="2"/>
      <c r="G623" s="2"/>
    </row>
    <row r="624" spans="1:7" x14ac:dyDescent="0.2">
      <c r="A624" s="35"/>
      <c r="B624" s="55"/>
      <c r="C624" s="24"/>
      <c r="D624" s="21"/>
      <c r="E624" s="59"/>
      <c r="F624" s="2"/>
      <c r="G624" s="2"/>
    </row>
    <row r="625" spans="1:7" x14ac:dyDescent="0.2">
      <c r="A625" s="20" t="s">
        <v>18</v>
      </c>
      <c r="B625" s="54">
        <v>1897889</v>
      </c>
      <c r="C625" s="19">
        <f>1897889+22252+20709</f>
        <v>1940850</v>
      </c>
      <c r="D625" s="21">
        <v>1896111</v>
      </c>
      <c r="E625" s="59">
        <f>D625/C625*100</f>
        <v>97.694875956410854</v>
      </c>
      <c r="F625" s="2"/>
      <c r="G625" s="2"/>
    </row>
    <row r="626" spans="1:7" x14ac:dyDescent="0.2">
      <c r="A626" s="20" t="s">
        <v>44</v>
      </c>
      <c r="B626" s="54">
        <v>45354</v>
      </c>
      <c r="C626" s="19">
        <v>45354</v>
      </c>
      <c r="D626" s="21">
        <v>56836</v>
      </c>
      <c r="E626" s="59">
        <f>D626/C626*100</f>
        <v>125.31639987652687</v>
      </c>
      <c r="F626" s="2"/>
      <c r="G626" s="2"/>
    </row>
    <row r="627" spans="1:7" x14ac:dyDescent="0.2">
      <c r="A627" s="20" t="s">
        <v>39</v>
      </c>
      <c r="B627" s="54">
        <v>10000</v>
      </c>
      <c r="C627" s="19">
        <v>10000</v>
      </c>
      <c r="D627" s="21">
        <v>0</v>
      </c>
      <c r="E627" s="59">
        <f>D627/C627*100</f>
        <v>0</v>
      </c>
      <c r="F627" s="2"/>
      <c r="G627" s="2"/>
    </row>
    <row r="628" spans="1:7" x14ac:dyDescent="0.2">
      <c r="A628" s="20" t="s">
        <v>65</v>
      </c>
      <c r="B628" s="54">
        <v>34888</v>
      </c>
      <c r="C628" s="19">
        <v>34888</v>
      </c>
      <c r="D628" s="21">
        <v>0</v>
      </c>
      <c r="E628" s="59">
        <f>D628/C628*100</f>
        <v>0</v>
      </c>
      <c r="F628" s="2"/>
      <c r="G628" s="2"/>
    </row>
    <row r="629" spans="1:7" x14ac:dyDescent="0.2">
      <c r="A629" s="35" t="s">
        <v>19</v>
      </c>
      <c r="B629" s="55">
        <f>SUM(B625:B628)</f>
        <v>1988131</v>
      </c>
      <c r="C629" s="24">
        <f>SUM(C625:C628)</f>
        <v>2031092</v>
      </c>
      <c r="D629" s="25">
        <f>SUM(D625:D628)</f>
        <v>1952947</v>
      </c>
      <c r="E629" s="60">
        <f>D629/C629*100</f>
        <v>96.152562266997265</v>
      </c>
      <c r="F629" s="2"/>
      <c r="G629" s="2"/>
    </row>
    <row r="630" spans="1:7" x14ac:dyDescent="0.2">
      <c r="A630" s="35"/>
      <c r="B630" s="55"/>
      <c r="C630" s="24"/>
      <c r="D630" s="21"/>
      <c r="E630" s="59"/>
      <c r="F630" s="2"/>
      <c r="G630" s="2"/>
    </row>
    <row r="631" spans="1:7" x14ac:dyDescent="0.2">
      <c r="A631" s="20" t="s">
        <v>21</v>
      </c>
      <c r="B631" s="19">
        <v>20000</v>
      </c>
      <c r="C631" s="19">
        <v>20000</v>
      </c>
      <c r="D631" s="21">
        <v>0</v>
      </c>
      <c r="E631" s="59">
        <f t="shared" ref="E631:E652" si="17">D631/C631*100</f>
        <v>0</v>
      </c>
      <c r="F631" s="2"/>
      <c r="G631" s="2"/>
    </row>
    <row r="632" spans="1:7" x14ac:dyDescent="0.2">
      <c r="A632" s="39" t="s">
        <v>24</v>
      </c>
      <c r="B632" s="24">
        <f>SUM(B631:B631)</f>
        <v>20000</v>
      </c>
      <c r="C632" s="24">
        <f>SUM(C631:C631)</f>
        <v>20000</v>
      </c>
      <c r="D632" s="25">
        <f>SUM(D631)</f>
        <v>0</v>
      </c>
      <c r="E632" s="60">
        <f t="shared" si="17"/>
        <v>0</v>
      </c>
      <c r="F632" s="2"/>
      <c r="G632" s="2"/>
    </row>
    <row r="633" spans="1:7" x14ac:dyDescent="0.2">
      <c r="A633" s="20" t="s">
        <v>22</v>
      </c>
      <c r="B633" s="19">
        <f>60000-10000</f>
        <v>50000</v>
      </c>
      <c r="C633" s="19">
        <f>60000-10000</f>
        <v>50000</v>
      </c>
      <c r="D633" s="21">
        <v>66919</v>
      </c>
      <c r="E633" s="59">
        <f t="shared" si="17"/>
        <v>133.83799999999999</v>
      </c>
      <c r="F633" s="2"/>
      <c r="G633" s="2"/>
    </row>
    <row r="634" spans="1:7" x14ac:dyDescent="0.2">
      <c r="A634" s="20" t="s">
        <v>128</v>
      </c>
      <c r="B634" s="19">
        <f>3*12000</f>
        <v>36000</v>
      </c>
      <c r="C634" s="19">
        <f>3*12000</f>
        <v>36000</v>
      </c>
      <c r="D634" s="21">
        <v>18504</v>
      </c>
      <c r="E634" s="59">
        <f t="shared" si="17"/>
        <v>51.4</v>
      </c>
      <c r="F634" s="2"/>
      <c r="G634" s="2"/>
    </row>
    <row r="635" spans="1:7" x14ac:dyDescent="0.2">
      <c r="A635" s="20" t="s">
        <v>23</v>
      </c>
      <c r="B635" s="19">
        <v>70000</v>
      </c>
      <c r="C635" s="19">
        <v>70000</v>
      </c>
      <c r="D635" s="21">
        <f>178384-D634-D633</f>
        <v>92961</v>
      </c>
      <c r="E635" s="59">
        <f t="shared" si="17"/>
        <v>132.80142857142857</v>
      </c>
      <c r="F635" s="2"/>
      <c r="G635" s="2"/>
    </row>
    <row r="636" spans="1:7" x14ac:dyDescent="0.2">
      <c r="A636" s="39" t="s">
        <v>40</v>
      </c>
      <c r="B636" s="37">
        <f>SUM(B633:B635)</f>
        <v>156000</v>
      </c>
      <c r="C636" s="37">
        <f>SUM(C633:C635)</f>
        <v>156000</v>
      </c>
      <c r="D636" s="25">
        <f>SUM(D633:D635)</f>
        <v>178384</v>
      </c>
      <c r="E636" s="60">
        <f t="shared" si="17"/>
        <v>114.34871794871795</v>
      </c>
      <c r="F636" s="2"/>
      <c r="G636" s="2"/>
    </row>
    <row r="637" spans="1:7" x14ac:dyDescent="0.2">
      <c r="A637" s="40" t="s">
        <v>25</v>
      </c>
      <c r="B637" s="19">
        <v>86000</v>
      </c>
      <c r="C637" s="19">
        <v>86000</v>
      </c>
      <c r="D637" s="21">
        <v>85440</v>
      </c>
      <c r="E637" s="59">
        <f t="shared" si="17"/>
        <v>99.348837209302317</v>
      </c>
      <c r="F637" s="2"/>
      <c r="G637" s="2"/>
    </row>
    <row r="638" spans="1:7" x14ac:dyDescent="0.2">
      <c r="A638" s="20" t="s">
        <v>104</v>
      </c>
      <c r="B638" s="19">
        <v>70000</v>
      </c>
      <c r="C638" s="19">
        <v>70000</v>
      </c>
      <c r="D638" s="21">
        <v>47044</v>
      </c>
      <c r="E638" s="59">
        <f t="shared" si="17"/>
        <v>67.205714285714294</v>
      </c>
      <c r="F638" s="2"/>
      <c r="G638" s="2"/>
    </row>
    <row r="639" spans="1:7" x14ac:dyDescent="0.2">
      <c r="A639" s="23" t="s">
        <v>26</v>
      </c>
      <c r="B639" s="24">
        <f>SUM(B637:B638)</f>
        <v>156000</v>
      </c>
      <c r="C639" s="24">
        <f>SUM(C637:C638)</f>
        <v>156000</v>
      </c>
      <c r="D639" s="25">
        <f>SUM(D637:D638)</f>
        <v>132484</v>
      </c>
      <c r="E639" s="60">
        <f t="shared" si="17"/>
        <v>84.925641025641028</v>
      </c>
      <c r="F639" s="2"/>
      <c r="G639" s="2"/>
    </row>
    <row r="640" spans="1:7" x14ac:dyDescent="0.2">
      <c r="A640" s="34" t="s">
        <v>105</v>
      </c>
      <c r="B640" s="33">
        <f>200000-50000</f>
        <v>150000</v>
      </c>
      <c r="C640" s="33">
        <f>200000-50000</f>
        <v>150000</v>
      </c>
      <c r="D640" s="21">
        <v>106795</v>
      </c>
      <c r="E640" s="59">
        <f t="shared" si="17"/>
        <v>71.196666666666658</v>
      </c>
      <c r="F640" s="2"/>
      <c r="G640" s="2"/>
    </row>
    <row r="641" spans="1:7" x14ac:dyDescent="0.2">
      <c r="A641" s="20" t="s">
        <v>27</v>
      </c>
      <c r="B641" s="33">
        <f>80000-30000</f>
        <v>50000</v>
      </c>
      <c r="C641" s="33">
        <f>80000-30000</f>
        <v>50000</v>
      </c>
      <c r="D641" s="21">
        <f>346876-D640-D642-D643</f>
        <v>167401</v>
      </c>
      <c r="E641" s="59">
        <f t="shared" si="17"/>
        <v>334.80200000000002</v>
      </c>
      <c r="F641" s="2"/>
      <c r="G641" s="2"/>
    </row>
    <row r="642" spans="1:7" x14ac:dyDescent="0.2">
      <c r="A642" s="20" t="s">
        <v>9</v>
      </c>
      <c r="B642" s="33">
        <v>65000</v>
      </c>
      <c r="C642" s="33">
        <v>65000</v>
      </c>
      <c r="D642" s="21">
        <v>60374</v>
      </c>
      <c r="E642" s="59">
        <f t="shared" si="17"/>
        <v>92.883076923076928</v>
      </c>
      <c r="F642" s="2"/>
      <c r="G642" s="2"/>
    </row>
    <row r="643" spans="1:7" x14ac:dyDescent="0.2">
      <c r="A643" s="20" t="s">
        <v>28</v>
      </c>
      <c r="B643" s="33">
        <v>15000</v>
      </c>
      <c r="C643" s="33">
        <v>15000</v>
      </c>
      <c r="D643" s="21">
        <v>12306</v>
      </c>
      <c r="E643" s="59">
        <f t="shared" si="17"/>
        <v>82.04</v>
      </c>
      <c r="F643" s="2"/>
      <c r="G643" s="2"/>
    </row>
    <row r="644" spans="1:7" x14ac:dyDescent="0.2">
      <c r="A644" s="23" t="s">
        <v>11</v>
      </c>
      <c r="B644" s="37">
        <f>SUM(B640:B643)</f>
        <v>280000</v>
      </c>
      <c r="C644" s="37">
        <f>SUM(C640:C643)</f>
        <v>280000</v>
      </c>
      <c r="D644" s="25">
        <f>SUM(D640:D643)</f>
        <v>346876</v>
      </c>
      <c r="E644" s="60">
        <f t="shared" si="17"/>
        <v>123.88428571428571</v>
      </c>
      <c r="F644" s="2"/>
      <c r="G644" s="2"/>
    </row>
    <row r="645" spans="1:7" x14ac:dyDescent="0.2">
      <c r="A645" s="20" t="s">
        <v>29</v>
      </c>
      <c r="B645" s="33">
        <v>75000</v>
      </c>
      <c r="C645" s="33">
        <v>75000</v>
      </c>
      <c r="D645" s="21">
        <v>76573</v>
      </c>
      <c r="E645" s="59">
        <f t="shared" si="17"/>
        <v>102.09733333333332</v>
      </c>
      <c r="F645" s="2"/>
      <c r="G645" s="2"/>
    </row>
    <row r="646" spans="1:7" x14ac:dyDescent="0.2">
      <c r="A646" s="20" t="s">
        <v>144</v>
      </c>
      <c r="B646" s="33">
        <v>80000</v>
      </c>
      <c r="C646" s="33">
        <v>80000</v>
      </c>
      <c r="D646" s="21">
        <v>37393</v>
      </c>
      <c r="E646" s="59">
        <f t="shared" si="17"/>
        <v>46.741250000000001</v>
      </c>
      <c r="F646" s="2"/>
      <c r="G646" s="2"/>
    </row>
    <row r="647" spans="1:7" x14ac:dyDescent="0.2">
      <c r="A647" s="23" t="s">
        <v>32</v>
      </c>
      <c r="B647" s="37">
        <f>SUM(B645:B646)</f>
        <v>155000</v>
      </c>
      <c r="C647" s="37">
        <f>SUM(C645:C646)</f>
        <v>155000</v>
      </c>
      <c r="D647" s="25">
        <f>SUM(D645:D646)</f>
        <v>113966</v>
      </c>
      <c r="E647" s="60">
        <f t="shared" si="17"/>
        <v>73.526451612903216</v>
      </c>
      <c r="F647" s="2"/>
      <c r="G647" s="2"/>
    </row>
    <row r="648" spans="1:7" x14ac:dyDescent="0.2">
      <c r="A648" s="20" t="s">
        <v>145</v>
      </c>
      <c r="B648" s="33">
        <v>30000</v>
      </c>
      <c r="C648" s="33">
        <v>30000</v>
      </c>
      <c r="D648" s="21">
        <v>0</v>
      </c>
      <c r="E648" s="59">
        <f t="shared" si="17"/>
        <v>0</v>
      </c>
      <c r="F648" s="2"/>
      <c r="G648" s="2"/>
    </row>
    <row r="649" spans="1:7" x14ac:dyDescent="0.2">
      <c r="A649" s="23" t="s">
        <v>146</v>
      </c>
      <c r="B649" s="37">
        <f>SUM(B648:B648)</f>
        <v>30000</v>
      </c>
      <c r="C649" s="37">
        <f>SUM(C648:C648)</f>
        <v>30000</v>
      </c>
      <c r="D649" s="25">
        <f>SUM(D648)</f>
        <v>0</v>
      </c>
      <c r="E649" s="60">
        <f t="shared" si="17"/>
        <v>0</v>
      </c>
      <c r="F649" s="2"/>
      <c r="G649" s="2"/>
    </row>
    <row r="650" spans="1:7" x14ac:dyDescent="0.2">
      <c r="A650" s="20" t="s">
        <v>10</v>
      </c>
      <c r="B650" s="33">
        <f>(B631+B634+B637+B638+B641+B642+B643+B645+B648+B646+B635+B633)*0.27+B640*0.05</f>
        <v>182190</v>
      </c>
      <c r="C650" s="33">
        <f>(C631+C634+C637+C638+C641+C642+C643+C645+C648+C646+C635+C633)*0.27+C640*0.05</f>
        <v>182190</v>
      </c>
      <c r="D650" s="21">
        <v>144543</v>
      </c>
      <c r="E650" s="59">
        <f t="shared" si="17"/>
        <v>79.336407047587684</v>
      </c>
      <c r="F650" s="2"/>
      <c r="G650" s="2"/>
    </row>
    <row r="651" spans="1:7" x14ac:dyDescent="0.2">
      <c r="A651" s="39" t="s">
        <v>34</v>
      </c>
      <c r="B651" s="37">
        <f>SUM(B650:B650)</f>
        <v>182190</v>
      </c>
      <c r="C651" s="37">
        <f>SUM(C650:C650)</f>
        <v>182190</v>
      </c>
      <c r="D651" s="25">
        <f>SUM(D650)</f>
        <v>144543</v>
      </c>
      <c r="E651" s="60">
        <f t="shared" si="17"/>
        <v>79.336407047587684</v>
      </c>
      <c r="F651" s="2"/>
      <c r="G651" s="2"/>
    </row>
    <row r="652" spans="1:7" x14ac:dyDescent="0.2">
      <c r="A652" s="27" t="s">
        <v>12</v>
      </c>
      <c r="B652" s="37">
        <f>B632+B636+B639+B644+B647+B649+B651</f>
        <v>979190</v>
      </c>
      <c r="C652" s="37">
        <f>C632+C636+C639+C644+C647+C649+C651</f>
        <v>979190</v>
      </c>
      <c r="D652" s="25">
        <f>D632+D636+D639+D644+D647+D649+D651</f>
        <v>916253</v>
      </c>
      <c r="E652" s="60">
        <f t="shared" si="17"/>
        <v>93.572544654255054</v>
      </c>
      <c r="F652" s="2"/>
      <c r="G652" s="2"/>
    </row>
    <row r="653" spans="1:7" x14ac:dyDescent="0.2">
      <c r="A653" s="27"/>
      <c r="B653" s="36"/>
      <c r="C653" s="37"/>
      <c r="D653" s="25"/>
      <c r="E653" s="60"/>
      <c r="F653" s="2"/>
      <c r="G653" s="2"/>
    </row>
    <row r="654" spans="1:7" x14ac:dyDescent="0.2">
      <c r="A654" s="28" t="s">
        <v>13</v>
      </c>
      <c r="B654" s="36">
        <f>B623+B629+B652</f>
        <v>12803919</v>
      </c>
      <c r="C654" s="37">
        <f>C623+C629+C652</f>
        <v>13064280</v>
      </c>
      <c r="D654" s="25">
        <f>D623+D629+D652</f>
        <v>12950596</v>
      </c>
      <c r="E654" s="60">
        <f>D654/C654*100</f>
        <v>99.129810444969038</v>
      </c>
      <c r="F654" s="2"/>
      <c r="G654" s="2"/>
    </row>
    <row r="655" spans="1:7" x14ac:dyDescent="0.2">
      <c r="A655" s="28"/>
      <c r="B655" s="27"/>
      <c r="C655" s="24"/>
      <c r="D655" s="3"/>
      <c r="E655" s="3"/>
      <c r="F655" s="2"/>
      <c r="G655" s="2"/>
    </row>
    <row r="656" spans="1:7" x14ac:dyDescent="0.2">
      <c r="A656" s="14" t="s">
        <v>147</v>
      </c>
      <c r="B656" s="15"/>
      <c r="C656" s="15"/>
      <c r="D656" s="15"/>
      <c r="E656" s="30"/>
      <c r="F656" s="2"/>
      <c r="G656" s="2"/>
    </row>
    <row r="657" spans="1:7" x14ac:dyDescent="0.2">
      <c r="A657" s="31"/>
      <c r="B657" s="31"/>
      <c r="C657" s="31"/>
      <c r="D657" s="3"/>
      <c r="E657" s="3"/>
      <c r="F657" s="2"/>
      <c r="G657" s="2"/>
    </row>
    <row r="658" spans="1:7" x14ac:dyDescent="0.2">
      <c r="A658" s="20" t="s">
        <v>148</v>
      </c>
      <c r="B658" s="32">
        <v>3434939</v>
      </c>
      <c r="C658" s="33">
        <v>3434939</v>
      </c>
      <c r="D658" s="21">
        <v>3161998</v>
      </c>
      <c r="E658" s="59">
        <f>D658/C658*100</f>
        <v>92.053978251142155</v>
      </c>
      <c r="F658" s="2"/>
      <c r="G658" s="2"/>
    </row>
    <row r="659" spans="1:7" x14ac:dyDescent="0.2">
      <c r="A659" s="34" t="s">
        <v>99</v>
      </c>
      <c r="B659" s="32">
        <v>68699</v>
      </c>
      <c r="C659" s="33">
        <v>68699</v>
      </c>
      <c r="D659" s="21">
        <v>100000</v>
      </c>
      <c r="E659" s="59">
        <f>D659/C659*100</f>
        <v>145.56252638320791</v>
      </c>
      <c r="F659" s="2"/>
      <c r="G659" s="2"/>
    </row>
    <row r="660" spans="1:7" x14ac:dyDescent="0.2">
      <c r="A660" s="34" t="s">
        <v>122</v>
      </c>
      <c r="B660" s="32"/>
      <c r="C660" s="33">
        <f>25200+24000</f>
        <v>49200</v>
      </c>
      <c r="D660" s="21">
        <v>194671</v>
      </c>
      <c r="E660" s="59">
        <f>D660/C660*100</f>
        <v>395.67276422764223</v>
      </c>
      <c r="F660" s="2"/>
      <c r="G660" s="2"/>
    </row>
    <row r="661" spans="1:7" x14ac:dyDescent="0.2">
      <c r="A661" s="34" t="s">
        <v>137</v>
      </c>
      <c r="B661" s="32">
        <v>18045</v>
      </c>
      <c r="C661" s="33">
        <v>18045</v>
      </c>
      <c r="D661" s="21">
        <v>18044</v>
      </c>
      <c r="E661" s="59">
        <f>D661/C661*100</f>
        <v>99.994458298697694</v>
      </c>
      <c r="F661" s="2"/>
      <c r="G661" s="2"/>
    </row>
    <row r="662" spans="1:7" x14ac:dyDescent="0.2">
      <c r="A662" s="35" t="s">
        <v>17</v>
      </c>
      <c r="B662" s="36">
        <f>SUM(B658:B661)</f>
        <v>3521683</v>
      </c>
      <c r="C662" s="37">
        <f>SUM(C658:C661)</f>
        <v>3570883</v>
      </c>
      <c r="D662" s="25">
        <f>SUM(D658:D661)</f>
        <v>3474713</v>
      </c>
      <c r="E662" s="60">
        <f>D662/C662*100</f>
        <v>97.306828591135584</v>
      </c>
      <c r="F662" s="2"/>
      <c r="G662" s="2"/>
    </row>
    <row r="663" spans="1:7" x14ac:dyDescent="0.2">
      <c r="A663" s="35"/>
      <c r="B663" s="32"/>
      <c r="C663" s="33"/>
      <c r="D663" s="21"/>
      <c r="E663" s="59"/>
      <c r="F663" s="2"/>
      <c r="G663" s="2"/>
    </row>
    <row r="664" spans="1:7" x14ac:dyDescent="0.2">
      <c r="A664" s="20" t="s">
        <v>18</v>
      </c>
      <c r="B664" s="32">
        <v>679787</v>
      </c>
      <c r="C664" s="33">
        <f>679787+5044+4680</f>
        <v>689511</v>
      </c>
      <c r="D664" s="21">
        <v>665094</v>
      </c>
      <c r="E664" s="59">
        <f>D664/C664*100</f>
        <v>96.458794711034344</v>
      </c>
      <c r="F664" s="2"/>
      <c r="G664" s="2"/>
    </row>
    <row r="665" spans="1:7" x14ac:dyDescent="0.2">
      <c r="A665" s="20" t="s">
        <v>44</v>
      </c>
      <c r="B665" s="32">
        <v>15808</v>
      </c>
      <c r="C665" s="33">
        <v>15808</v>
      </c>
      <c r="D665" s="21">
        <v>23948</v>
      </c>
      <c r="E665" s="59">
        <f>D665/C665*100</f>
        <v>151.49291497975707</v>
      </c>
      <c r="F665" s="2"/>
      <c r="G665" s="2"/>
    </row>
    <row r="666" spans="1:7" x14ac:dyDescent="0.2">
      <c r="A666" s="20" t="s">
        <v>65</v>
      </c>
      <c r="B666" s="32">
        <v>12160</v>
      </c>
      <c r="C666" s="33">
        <v>12160</v>
      </c>
      <c r="D666" s="21">
        <v>17700</v>
      </c>
      <c r="E666" s="59">
        <f>D666/C666*100</f>
        <v>145.55921052631581</v>
      </c>
      <c r="F666" s="2"/>
      <c r="G666" s="2"/>
    </row>
    <row r="667" spans="1:7" x14ac:dyDescent="0.2">
      <c r="A667" s="35" t="s">
        <v>19</v>
      </c>
      <c r="B667" s="36">
        <f>SUM(B664:B666)</f>
        <v>707755</v>
      </c>
      <c r="C667" s="37">
        <f>SUM(C664:C666)</f>
        <v>717479</v>
      </c>
      <c r="D667" s="25">
        <f>SUM(D664:D666)</f>
        <v>706742</v>
      </c>
      <c r="E667" s="60">
        <f>D667/C667*100</f>
        <v>98.503510207267382</v>
      </c>
      <c r="F667" s="2"/>
      <c r="G667" s="2"/>
    </row>
    <row r="668" spans="1:7" x14ac:dyDescent="0.2">
      <c r="A668" s="35"/>
      <c r="B668" s="36"/>
      <c r="C668" s="37"/>
      <c r="D668" s="21"/>
      <c r="E668" s="59"/>
      <c r="F668" s="2"/>
      <c r="G668" s="2"/>
    </row>
    <row r="669" spans="1:7" x14ac:dyDescent="0.2">
      <c r="A669" s="34" t="s">
        <v>149</v>
      </c>
      <c r="B669" s="36"/>
      <c r="C669" s="37"/>
      <c r="D669" s="21">
        <f>415+42269</f>
        <v>42684</v>
      </c>
      <c r="E669" s="59"/>
      <c r="F669" s="2"/>
      <c r="G669" s="2"/>
    </row>
    <row r="670" spans="1:7" x14ac:dyDescent="0.2">
      <c r="A670" s="34" t="s">
        <v>49</v>
      </c>
      <c r="B670" s="19">
        <v>14380000</v>
      </c>
      <c r="C670" s="19">
        <v>14380000</v>
      </c>
      <c r="D670" s="21">
        <v>15022861</v>
      </c>
      <c r="E670" s="59">
        <f t="shared" ref="E670:E675" si="18">D670/C670*100</f>
        <v>104.47052155771905</v>
      </c>
      <c r="F670" s="2"/>
      <c r="G670" s="2"/>
    </row>
    <row r="671" spans="1:7" x14ac:dyDescent="0.2">
      <c r="A671" s="20" t="s">
        <v>128</v>
      </c>
      <c r="B671" s="19">
        <v>12000</v>
      </c>
      <c r="C671" s="19">
        <v>12000</v>
      </c>
      <c r="D671" s="21">
        <v>0</v>
      </c>
      <c r="E671" s="59">
        <f t="shared" si="18"/>
        <v>0</v>
      </c>
      <c r="F671" s="2"/>
      <c r="G671" s="2"/>
    </row>
    <row r="672" spans="1:7" x14ac:dyDescent="0.2">
      <c r="A672" s="20" t="s">
        <v>10</v>
      </c>
      <c r="B672" s="19">
        <f>(B670+B671)*0.27</f>
        <v>3885840.0000000005</v>
      </c>
      <c r="C672" s="19">
        <f>(C670+C671)*0.27</f>
        <v>3885840.0000000005</v>
      </c>
      <c r="D672" s="21">
        <v>4067587</v>
      </c>
      <c r="E672" s="59">
        <f t="shared" si="18"/>
        <v>104.67716118007945</v>
      </c>
      <c r="F672" s="2"/>
      <c r="G672" s="2"/>
    </row>
    <row r="673" spans="1:7" x14ac:dyDescent="0.2">
      <c r="A673" s="23" t="s">
        <v>32</v>
      </c>
      <c r="B673" s="24">
        <f>B670+B671+B672</f>
        <v>18277840</v>
      </c>
      <c r="C673" s="24">
        <f>C670+C671+C672</f>
        <v>18277840</v>
      </c>
      <c r="D673" s="25">
        <f>SUM(D669:D672)</f>
        <v>19133132</v>
      </c>
      <c r="E673" s="60">
        <f t="shared" si="18"/>
        <v>104.67939318869188</v>
      </c>
      <c r="F673" s="2"/>
      <c r="G673" s="2"/>
    </row>
    <row r="674" spans="1:7" x14ac:dyDescent="0.2">
      <c r="A674" s="27" t="s">
        <v>12</v>
      </c>
      <c r="B674" s="24">
        <f>B673</f>
        <v>18277840</v>
      </c>
      <c r="C674" s="24">
        <f>C673</f>
        <v>18277840</v>
      </c>
      <c r="D674" s="25">
        <f>D673</f>
        <v>19133132</v>
      </c>
      <c r="E674" s="60">
        <f t="shared" si="18"/>
        <v>104.67939318869188</v>
      </c>
      <c r="F674" s="2"/>
      <c r="G674" s="2"/>
    </row>
    <row r="675" spans="1:7" x14ac:dyDescent="0.2">
      <c r="A675" s="28" t="s">
        <v>13</v>
      </c>
      <c r="B675" s="55">
        <f>B662+B667+B673</f>
        <v>22507278</v>
      </c>
      <c r="C675" s="24">
        <f>C662+C667+C673</f>
        <v>22566202</v>
      </c>
      <c r="D675" s="25">
        <f>D674+D667+D662</f>
        <v>23314587</v>
      </c>
      <c r="E675" s="60">
        <f t="shared" si="18"/>
        <v>103.31639768180752</v>
      </c>
      <c r="F675" s="2"/>
      <c r="G675" s="2"/>
    </row>
    <row r="676" spans="1:7" x14ac:dyDescent="0.2">
      <c r="A676" s="28"/>
      <c r="B676" s="28"/>
      <c r="C676" s="24"/>
      <c r="D676" s="3"/>
      <c r="E676" s="3"/>
      <c r="F676" s="2"/>
      <c r="G676" s="2"/>
    </row>
    <row r="677" spans="1:7" x14ac:dyDescent="0.2">
      <c r="A677" s="14" t="s">
        <v>150</v>
      </c>
      <c r="B677" s="15"/>
      <c r="C677" s="15"/>
      <c r="D677" s="15"/>
      <c r="E677" s="30"/>
      <c r="F677" s="2"/>
      <c r="G677" s="2"/>
    </row>
    <row r="678" spans="1:7" x14ac:dyDescent="0.2">
      <c r="A678" s="20" t="s">
        <v>151</v>
      </c>
      <c r="B678" s="54">
        <v>29158300</v>
      </c>
      <c r="C678" s="19">
        <f>29158300+538200+88035+552000</f>
        <v>30336535</v>
      </c>
      <c r="D678" s="21">
        <v>31196803</v>
      </c>
      <c r="E678" s="59">
        <f t="shared" ref="E678:E687" si="19">D678/C678*100</f>
        <v>102.83574903989529</v>
      </c>
      <c r="F678" s="2"/>
      <c r="G678" s="2"/>
    </row>
    <row r="679" spans="1:7" x14ac:dyDescent="0.2">
      <c r="A679" s="20" t="s">
        <v>75</v>
      </c>
      <c r="B679" s="54">
        <v>583166</v>
      </c>
      <c r="C679" s="19">
        <v>1449000</v>
      </c>
      <c r="D679" s="21"/>
      <c r="E679" s="59">
        <f t="shared" si="19"/>
        <v>0</v>
      </c>
      <c r="F679" s="2"/>
      <c r="G679" s="2"/>
    </row>
    <row r="680" spans="1:7" x14ac:dyDescent="0.2">
      <c r="A680" s="34" t="s">
        <v>99</v>
      </c>
      <c r="B680" s="54">
        <v>0</v>
      </c>
      <c r="C680" s="19">
        <v>583166</v>
      </c>
      <c r="D680" s="21">
        <v>725000</v>
      </c>
      <c r="E680" s="59">
        <f t="shared" si="19"/>
        <v>124.32137676064792</v>
      </c>
      <c r="F680" s="2"/>
      <c r="G680" s="2"/>
    </row>
    <row r="681" spans="1:7" hidden="1" x14ac:dyDescent="0.2">
      <c r="A681" s="34" t="s">
        <v>97</v>
      </c>
      <c r="B681" s="54">
        <v>198495</v>
      </c>
      <c r="C681" s="19">
        <v>0</v>
      </c>
      <c r="D681" s="21"/>
      <c r="E681" s="59" t="e">
        <f t="shared" si="19"/>
        <v>#DIV/0!</v>
      </c>
      <c r="F681" s="2"/>
      <c r="G681" s="2"/>
    </row>
    <row r="682" spans="1:7" x14ac:dyDescent="0.2">
      <c r="A682" s="34" t="s">
        <v>152</v>
      </c>
      <c r="B682" s="54"/>
      <c r="C682" s="19"/>
      <c r="D682" s="21">
        <v>240000</v>
      </c>
      <c r="E682" s="59"/>
      <c r="F682" s="2"/>
      <c r="G682" s="2"/>
    </row>
    <row r="683" spans="1:7" x14ac:dyDescent="0.2">
      <c r="A683" s="34" t="s">
        <v>134</v>
      </c>
      <c r="B683" s="54"/>
      <c r="C683" s="19"/>
      <c r="D683" s="21">
        <v>6875</v>
      </c>
      <c r="E683" s="59"/>
      <c r="F683" s="2"/>
      <c r="G683" s="2"/>
    </row>
    <row r="684" spans="1:7" x14ac:dyDescent="0.2">
      <c r="A684" s="34" t="s">
        <v>137</v>
      </c>
      <c r="B684" s="54">
        <v>0</v>
      </c>
      <c r="C684" s="19">
        <v>198495</v>
      </c>
      <c r="D684" s="21">
        <v>111273</v>
      </c>
      <c r="E684" s="59">
        <f t="shared" si="19"/>
        <v>56.058339000982393</v>
      </c>
      <c r="F684" s="2"/>
      <c r="G684" s="2"/>
    </row>
    <row r="685" spans="1:7" x14ac:dyDescent="0.2">
      <c r="A685" s="34" t="s">
        <v>62</v>
      </c>
      <c r="B685" s="54"/>
      <c r="C685" s="19">
        <f>92400+74800</f>
        <v>167200</v>
      </c>
      <c r="D685" s="21">
        <v>761976</v>
      </c>
      <c r="E685" s="59">
        <f t="shared" si="19"/>
        <v>455.72727272727275</v>
      </c>
      <c r="F685" s="2"/>
      <c r="G685" s="2"/>
    </row>
    <row r="686" spans="1:7" x14ac:dyDescent="0.2">
      <c r="A686" s="34" t="s">
        <v>98</v>
      </c>
      <c r="B686" s="54">
        <v>6000</v>
      </c>
      <c r="C686" s="19">
        <v>6000</v>
      </c>
      <c r="D686" s="21">
        <v>0</v>
      </c>
      <c r="E686" s="59">
        <f t="shared" si="19"/>
        <v>0</v>
      </c>
      <c r="F686" s="2"/>
      <c r="G686" s="2"/>
    </row>
    <row r="687" spans="1:7" x14ac:dyDescent="0.2">
      <c r="A687" s="35" t="s">
        <v>17</v>
      </c>
      <c r="B687" s="55">
        <f>SUM(B678:B686)</f>
        <v>29945961</v>
      </c>
      <c r="C687" s="24">
        <f>SUM(C678:C686)</f>
        <v>32740396</v>
      </c>
      <c r="D687" s="25">
        <f>SUM(D678:D686)</f>
        <v>33041927</v>
      </c>
      <c r="E687" s="60">
        <f t="shared" si="19"/>
        <v>100.92097542131133</v>
      </c>
      <c r="F687" s="2"/>
      <c r="G687" s="2"/>
    </row>
    <row r="688" spans="1:7" x14ac:dyDescent="0.2">
      <c r="A688" s="35"/>
      <c r="B688" s="55"/>
      <c r="C688" s="24"/>
      <c r="D688" s="21"/>
      <c r="E688" s="59"/>
      <c r="F688" s="2"/>
      <c r="G688" s="2"/>
    </row>
    <row r="689" spans="1:7" x14ac:dyDescent="0.2">
      <c r="A689" s="20" t="s">
        <v>18</v>
      </c>
      <c r="B689" s="54">
        <v>6158854</v>
      </c>
      <c r="C689" s="19">
        <f>6158854+18478+282562+107640+14586</f>
        <v>6582120</v>
      </c>
      <c r="D689" s="21">
        <v>6149471</v>
      </c>
      <c r="E689" s="59">
        <f>D689/C689*100</f>
        <v>93.426905009328294</v>
      </c>
      <c r="F689" s="2"/>
      <c r="G689" s="2"/>
    </row>
    <row r="690" spans="1:7" x14ac:dyDescent="0.2">
      <c r="A690" s="20" t="s">
        <v>44</v>
      </c>
      <c r="B690" s="54">
        <v>135567</v>
      </c>
      <c r="C690" s="19">
        <v>135567</v>
      </c>
      <c r="D690" s="21">
        <v>176100</v>
      </c>
      <c r="E690" s="59">
        <f>D690/C690*100</f>
        <v>129.89886919383036</v>
      </c>
      <c r="F690" s="2"/>
      <c r="G690" s="2"/>
    </row>
    <row r="691" spans="1:7" x14ac:dyDescent="0.2">
      <c r="A691" s="20" t="s">
        <v>64</v>
      </c>
      <c r="B691" s="54">
        <v>50000</v>
      </c>
      <c r="C691" s="19">
        <v>50000</v>
      </c>
      <c r="D691" s="21">
        <v>56347</v>
      </c>
      <c r="E691" s="59">
        <f>D691/C691*100</f>
        <v>112.694</v>
      </c>
      <c r="F691" s="2"/>
      <c r="G691" s="2"/>
    </row>
    <row r="692" spans="1:7" x14ac:dyDescent="0.2">
      <c r="A692" s="20" t="s">
        <v>65</v>
      </c>
      <c r="B692" s="54">
        <v>104282</v>
      </c>
      <c r="C692" s="19">
        <v>104282</v>
      </c>
      <c r="D692" s="21">
        <v>128325</v>
      </c>
      <c r="E692" s="59">
        <f>D692/C692*100</f>
        <v>123.05575267064306</v>
      </c>
      <c r="F692" s="2"/>
      <c r="G692" s="2"/>
    </row>
    <row r="693" spans="1:7" x14ac:dyDescent="0.2">
      <c r="A693" s="35" t="s">
        <v>19</v>
      </c>
      <c r="B693" s="55">
        <f>SUM(B689:B692)</f>
        <v>6448703</v>
      </c>
      <c r="C693" s="24">
        <f>SUM(C689:C692)</f>
        <v>6871969</v>
      </c>
      <c r="D693" s="25">
        <f>SUM(D689:D692)</f>
        <v>6510243</v>
      </c>
      <c r="E693" s="60">
        <f>D693/C693*100</f>
        <v>94.736210247747039</v>
      </c>
      <c r="F693" s="2"/>
      <c r="G693" s="2"/>
    </row>
    <row r="694" spans="1:7" x14ac:dyDescent="0.2">
      <c r="A694" s="35"/>
      <c r="B694" s="55"/>
      <c r="C694" s="24"/>
      <c r="D694" s="21"/>
      <c r="E694" s="59"/>
      <c r="F694" s="2"/>
      <c r="G694" s="2"/>
    </row>
    <row r="695" spans="1:7" x14ac:dyDescent="0.2">
      <c r="A695" s="34" t="s">
        <v>20</v>
      </c>
      <c r="B695" s="32">
        <v>5000</v>
      </c>
      <c r="C695" s="33">
        <v>5000</v>
      </c>
      <c r="D695" s="21">
        <v>0</v>
      </c>
      <c r="E695" s="59">
        <f t="shared" ref="E695:E716" si="20">D695/C695*100</f>
        <v>0</v>
      </c>
      <c r="F695" s="2"/>
      <c r="G695" s="2"/>
    </row>
    <row r="696" spans="1:7" x14ac:dyDescent="0.2">
      <c r="A696" s="20" t="s">
        <v>21</v>
      </c>
      <c r="B696" s="33">
        <v>60000</v>
      </c>
      <c r="C696" s="33">
        <v>60000</v>
      </c>
      <c r="D696" s="21">
        <v>0</v>
      </c>
      <c r="E696" s="59">
        <f t="shared" si="20"/>
        <v>0</v>
      </c>
      <c r="F696" s="2"/>
      <c r="G696" s="2"/>
    </row>
    <row r="697" spans="1:7" x14ac:dyDescent="0.2">
      <c r="A697" s="39" t="s">
        <v>24</v>
      </c>
      <c r="B697" s="37">
        <f>SUM(B695:B696)</f>
        <v>65000</v>
      </c>
      <c r="C697" s="37">
        <f>SUM(C695:C696)</f>
        <v>65000</v>
      </c>
      <c r="D697" s="21">
        <f>SUM(D695:D696)</f>
        <v>0</v>
      </c>
      <c r="E697" s="59">
        <f t="shared" si="20"/>
        <v>0</v>
      </c>
      <c r="F697" s="2"/>
      <c r="G697" s="2"/>
    </row>
    <row r="698" spans="1:7" x14ac:dyDescent="0.2">
      <c r="A698" s="20" t="s">
        <v>22</v>
      </c>
      <c r="B698" s="33">
        <v>60000</v>
      </c>
      <c r="C698" s="33">
        <v>60000</v>
      </c>
      <c r="D698" s="21">
        <v>43846</v>
      </c>
      <c r="E698" s="59">
        <f t="shared" si="20"/>
        <v>73.076666666666668</v>
      </c>
      <c r="F698" s="2"/>
      <c r="G698" s="2"/>
    </row>
    <row r="699" spans="1:7" x14ac:dyDescent="0.2">
      <c r="A699" s="20" t="s">
        <v>94</v>
      </c>
      <c r="B699" s="33">
        <v>50000</v>
      </c>
      <c r="C699" s="33">
        <v>50000</v>
      </c>
      <c r="D699" s="21">
        <v>15819</v>
      </c>
      <c r="E699" s="59">
        <f t="shared" si="20"/>
        <v>31.637999999999998</v>
      </c>
      <c r="F699" s="2"/>
      <c r="G699" s="2"/>
    </row>
    <row r="700" spans="1:7" x14ac:dyDescent="0.2">
      <c r="A700" s="20" t="s">
        <v>128</v>
      </c>
      <c r="B700" s="33">
        <v>156000</v>
      </c>
      <c r="C700" s="33">
        <v>156000</v>
      </c>
      <c r="D700" s="21">
        <v>141732</v>
      </c>
      <c r="E700" s="59">
        <f t="shared" si="20"/>
        <v>90.853846153846149</v>
      </c>
      <c r="F700" s="2"/>
      <c r="G700" s="2"/>
    </row>
    <row r="701" spans="1:7" x14ac:dyDescent="0.2">
      <c r="A701" s="20" t="s">
        <v>23</v>
      </c>
      <c r="B701" s="19">
        <v>150000</v>
      </c>
      <c r="C701" s="19">
        <v>150000</v>
      </c>
      <c r="D701" s="21">
        <f>304718-D700-D699-D698</f>
        <v>103321</v>
      </c>
      <c r="E701" s="59">
        <f t="shared" si="20"/>
        <v>68.88066666666667</v>
      </c>
      <c r="F701" s="2"/>
      <c r="G701" s="2"/>
    </row>
    <row r="702" spans="1:7" x14ac:dyDescent="0.2">
      <c r="A702" s="39" t="s">
        <v>40</v>
      </c>
      <c r="B702" s="24">
        <f>SUM(B698:B701)</f>
        <v>416000</v>
      </c>
      <c r="C702" s="24">
        <f>SUM(C698:C701)</f>
        <v>416000</v>
      </c>
      <c r="D702" s="25">
        <f>SUM(D698:D701)</f>
        <v>304718</v>
      </c>
      <c r="E702" s="60">
        <f t="shared" si="20"/>
        <v>73.249519230769238</v>
      </c>
      <c r="F702" s="2"/>
      <c r="G702" s="2"/>
    </row>
    <row r="703" spans="1:7" x14ac:dyDescent="0.2">
      <c r="A703" s="40" t="s">
        <v>25</v>
      </c>
      <c r="B703" s="19">
        <v>50000</v>
      </c>
      <c r="C703" s="19">
        <v>50000</v>
      </c>
      <c r="D703" s="21">
        <v>65924</v>
      </c>
      <c r="E703" s="59">
        <f t="shared" si="20"/>
        <v>131.84800000000001</v>
      </c>
      <c r="F703" s="2"/>
      <c r="G703" s="2"/>
    </row>
    <row r="704" spans="1:7" x14ac:dyDescent="0.2">
      <c r="A704" s="20" t="s">
        <v>104</v>
      </c>
      <c r="B704" s="19">
        <v>92000</v>
      </c>
      <c r="C704" s="19">
        <v>92000</v>
      </c>
      <c r="D704" s="21">
        <v>39200</v>
      </c>
      <c r="E704" s="59">
        <f t="shared" si="20"/>
        <v>42.608695652173914</v>
      </c>
      <c r="F704" s="2"/>
      <c r="G704" s="2"/>
    </row>
    <row r="705" spans="1:7" x14ac:dyDescent="0.2">
      <c r="A705" s="23" t="s">
        <v>26</v>
      </c>
      <c r="B705" s="24">
        <f>SUM(B703:B704)</f>
        <v>142000</v>
      </c>
      <c r="C705" s="24">
        <f>SUM(C703:C704)</f>
        <v>142000</v>
      </c>
      <c r="D705" s="25">
        <f>SUM(D703:D704)</f>
        <v>105124</v>
      </c>
      <c r="E705" s="59">
        <f t="shared" si="20"/>
        <v>74.030985915492948</v>
      </c>
      <c r="F705" s="2"/>
      <c r="G705" s="2"/>
    </row>
    <row r="706" spans="1:7" x14ac:dyDescent="0.2">
      <c r="A706" s="20" t="s">
        <v>27</v>
      </c>
      <c r="B706" s="33"/>
      <c r="C706" s="33">
        <v>160000</v>
      </c>
      <c r="D706" s="21">
        <v>150507</v>
      </c>
      <c r="E706" s="59">
        <f t="shared" si="20"/>
        <v>94.06687500000001</v>
      </c>
      <c r="F706" s="2"/>
      <c r="G706" s="2"/>
    </row>
    <row r="707" spans="1:7" x14ac:dyDescent="0.2">
      <c r="A707" s="20" t="s">
        <v>9</v>
      </c>
      <c r="B707" s="33">
        <v>100000</v>
      </c>
      <c r="C707" s="33">
        <v>100000</v>
      </c>
      <c r="D707" s="21">
        <f>338838-D706-D708</f>
        <v>71956</v>
      </c>
      <c r="E707" s="59">
        <f t="shared" si="20"/>
        <v>71.956000000000003</v>
      </c>
      <c r="F707" s="2"/>
      <c r="G707" s="2"/>
    </row>
    <row r="708" spans="1:7" x14ac:dyDescent="0.2">
      <c r="A708" s="20" t="s">
        <v>28</v>
      </c>
      <c r="B708" s="33">
        <v>110000</v>
      </c>
      <c r="C708" s="33">
        <v>110000</v>
      </c>
      <c r="D708" s="21">
        <v>116375</v>
      </c>
      <c r="E708" s="59">
        <f t="shared" si="20"/>
        <v>105.79545454545453</v>
      </c>
      <c r="F708" s="2"/>
      <c r="G708" s="2"/>
    </row>
    <row r="709" spans="1:7" x14ac:dyDescent="0.2">
      <c r="A709" s="23" t="s">
        <v>11</v>
      </c>
      <c r="B709" s="37">
        <f>SUM(B706:B708)</f>
        <v>210000</v>
      </c>
      <c r="C709" s="37">
        <f>SUM(C706:C708)</f>
        <v>370000</v>
      </c>
      <c r="D709" s="25">
        <f>SUM(D706:D708)</f>
        <v>338838</v>
      </c>
      <c r="E709" s="60">
        <f t="shared" si="20"/>
        <v>91.577837837837833</v>
      </c>
      <c r="F709" s="2"/>
      <c r="G709" s="2"/>
    </row>
    <row r="710" spans="1:7" x14ac:dyDescent="0.2">
      <c r="A710" s="20" t="s">
        <v>29</v>
      </c>
      <c r="B710" s="33">
        <v>100000</v>
      </c>
      <c r="C710" s="33">
        <v>100000</v>
      </c>
      <c r="D710" s="21">
        <v>69126</v>
      </c>
      <c r="E710" s="59">
        <f t="shared" si="20"/>
        <v>69.126000000000005</v>
      </c>
      <c r="F710" s="2"/>
      <c r="G710" s="2"/>
    </row>
    <row r="711" spans="1:7" x14ac:dyDescent="0.2">
      <c r="A711" s="20" t="s">
        <v>31</v>
      </c>
      <c r="B711" s="33">
        <v>50000</v>
      </c>
      <c r="C711" s="33">
        <v>50000</v>
      </c>
      <c r="D711" s="21">
        <v>138569</v>
      </c>
      <c r="E711" s="59">
        <f t="shared" si="20"/>
        <v>277.13800000000003</v>
      </c>
      <c r="F711" s="2"/>
      <c r="G711" s="2"/>
    </row>
    <row r="712" spans="1:7" x14ac:dyDescent="0.2">
      <c r="A712" s="23" t="s">
        <v>32</v>
      </c>
      <c r="B712" s="37">
        <f>SUM(B710:B711)</f>
        <v>150000</v>
      </c>
      <c r="C712" s="37">
        <f>SUM(C710:C711)</f>
        <v>150000</v>
      </c>
      <c r="D712" s="25">
        <f>SUM(D710:D711)</f>
        <v>207695</v>
      </c>
      <c r="E712" s="60">
        <f t="shared" si="20"/>
        <v>138.46333333333334</v>
      </c>
      <c r="F712" s="2"/>
      <c r="G712" s="2"/>
    </row>
    <row r="713" spans="1:7" x14ac:dyDescent="0.2">
      <c r="A713" s="20" t="s">
        <v>10</v>
      </c>
      <c r="B713" s="33">
        <f>(B695+B696+B699+B700+B703+B704+B706+B707+B708+B710+B698+B701+B711)*0.27</f>
        <v>265410</v>
      </c>
      <c r="C713" s="33">
        <f>(C695+C696+C699+C700+C703+C704+C707+C708+C710+C698+C701+C711)*0.27+40000</f>
        <v>305410</v>
      </c>
      <c r="D713" s="21">
        <v>214189</v>
      </c>
      <c r="E713" s="59">
        <f t="shared" si="20"/>
        <v>70.131626338364811</v>
      </c>
      <c r="F713" s="2"/>
      <c r="G713" s="2"/>
    </row>
    <row r="714" spans="1:7" x14ac:dyDescent="0.2">
      <c r="A714" s="39" t="s">
        <v>34</v>
      </c>
      <c r="B714" s="37">
        <f>SUM(B713:B713)</f>
        <v>265410</v>
      </c>
      <c r="C714" s="37">
        <f>SUM(C713:C713)</f>
        <v>305410</v>
      </c>
      <c r="D714" s="25">
        <f>SUM(D713)</f>
        <v>214189</v>
      </c>
      <c r="E714" s="60">
        <f t="shared" si="20"/>
        <v>70.131626338364811</v>
      </c>
      <c r="F714" s="2"/>
      <c r="G714" s="2"/>
    </row>
    <row r="715" spans="1:7" x14ac:dyDescent="0.2">
      <c r="A715" s="27" t="s">
        <v>12</v>
      </c>
      <c r="B715" s="37">
        <f>B697+B702+B705+B709+B712+B714</f>
        <v>1248410</v>
      </c>
      <c r="C715" s="37">
        <f>C697+C702+C705+C709+C712+C714</f>
        <v>1448410</v>
      </c>
      <c r="D715" s="25">
        <f>D697+D702+D705+D709+D712+D714</f>
        <v>1170564</v>
      </c>
      <c r="E715" s="60">
        <f t="shared" si="20"/>
        <v>80.817171933361408</v>
      </c>
      <c r="F715" s="2"/>
      <c r="G715" s="2"/>
    </row>
    <row r="716" spans="1:7" x14ac:dyDescent="0.2">
      <c r="A716" s="28" t="s">
        <v>13</v>
      </c>
      <c r="B716" s="36">
        <f>B687+B693+B715</f>
        <v>37643074</v>
      </c>
      <c r="C716" s="37">
        <f>C687+C693+C715</f>
        <v>41060775</v>
      </c>
      <c r="D716" s="25">
        <f>D687+D693+D715</f>
        <v>40722734</v>
      </c>
      <c r="E716" s="60">
        <f t="shared" si="20"/>
        <v>99.176730103121542</v>
      </c>
      <c r="F716" s="2"/>
      <c r="G716" s="2"/>
    </row>
    <row r="717" spans="1:7" x14ac:dyDescent="0.2">
      <c r="A717" s="28"/>
      <c r="B717" s="36"/>
      <c r="C717" s="37"/>
      <c r="D717" s="3"/>
      <c r="E717" s="59"/>
      <c r="F717" s="2"/>
      <c r="G717" s="2"/>
    </row>
    <row r="718" spans="1:7" x14ac:dyDescent="0.2">
      <c r="A718" s="44" t="s">
        <v>153</v>
      </c>
      <c r="B718" s="45"/>
      <c r="C718" s="45"/>
      <c r="D718" s="45"/>
      <c r="E718" s="46"/>
      <c r="F718" s="2"/>
      <c r="G718" s="2"/>
    </row>
    <row r="719" spans="1:7" x14ac:dyDescent="0.2">
      <c r="A719" s="47"/>
      <c r="B719" s="47"/>
      <c r="C719" s="48"/>
      <c r="D719" s="3"/>
      <c r="E719" s="3"/>
      <c r="F719" s="2"/>
      <c r="G719" s="2"/>
    </row>
    <row r="720" spans="1:7" x14ac:dyDescent="0.2">
      <c r="A720" s="20" t="s">
        <v>154</v>
      </c>
      <c r="B720" s="33"/>
      <c r="C720" s="33"/>
      <c r="D720" s="21">
        <v>145200</v>
      </c>
      <c r="E720" s="59"/>
      <c r="F720" s="2"/>
      <c r="G720" s="2"/>
    </row>
    <row r="721" spans="1:7" x14ac:dyDescent="0.2">
      <c r="A721" s="35" t="s">
        <v>17</v>
      </c>
      <c r="B721" s="37"/>
      <c r="C721" s="37"/>
      <c r="D721" s="25">
        <f>SUM(D720)</f>
        <v>145200</v>
      </c>
      <c r="E721" s="59"/>
      <c r="F721" s="2"/>
      <c r="G721" s="2"/>
    </row>
    <row r="722" spans="1:7" x14ac:dyDescent="0.2">
      <c r="A722" s="35"/>
      <c r="B722" s="37"/>
      <c r="C722" s="37"/>
      <c r="D722" s="21"/>
      <c r="E722" s="59"/>
      <c r="F722" s="2"/>
      <c r="G722" s="2"/>
    </row>
    <row r="723" spans="1:7" x14ac:dyDescent="0.2">
      <c r="A723" s="20" t="s">
        <v>18</v>
      </c>
      <c r="B723" s="33"/>
      <c r="C723" s="33"/>
      <c r="D723" s="21">
        <v>29194</v>
      </c>
      <c r="E723" s="59"/>
      <c r="F723" s="2"/>
      <c r="G723" s="2"/>
    </row>
    <row r="724" spans="1:7" x14ac:dyDescent="0.2">
      <c r="A724" s="35" t="s">
        <v>19</v>
      </c>
      <c r="B724" s="37"/>
      <c r="C724" s="37"/>
      <c r="D724" s="25">
        <f>SUM(D723)</f>
        <v>29194</v>
      </c>
      <c r="E724" s="59"/>
      <c r="F724" s="2"/>
      <c r="G724" s="2"/>
    </row>
    <row r="725" spans="1:7" x14ac:dyDescent="0.2">
      <c r="A725" s="35"/>
      <c r="B725" s="37"/>
      <c r="C725" s="37"/>
      <c r="D725" s="21"/>
      <c r="E725" s="59"/>
      <c r="F725" s="2"/>
      <c r="G725" s="2"/>
    </row>
    <row r="726" spans="1:7" x14ac:dyDescent="0.2">
      <c r="A726" s="28" t="s">
        <v>13</v>
      </c>
      <c r="B726" s="37"/>
      <c r="C726" s="37"/>
      <c r="D726" s="25">
        <f>D724+D721</f>
        <v>174394</v>
      </c>
      <c r="E726" s="59"/>
      <c r="F726" s="2"/>
      <c r="G726" s="2"/>
    </row>
    <row r="727" spans="1:7" x14ac:dyDescent="0.2">
      <c r="A727" s="31"/>
      <c r="B727" s="28"/>
      <c r="C727" s="31"/>
      <c r="D727" s="3"/>
      <c r="E727" s="59"/>
      <c r="F727" s="2"/>
      <c r="G727" s="2"/>
    </row>
    <row r="728" spans="1:7" x14ac:dyDescent="0.2">
      <c r="A728" s="35" t="s">
        <v>17</v>
      </c>
      <c r="B728" s="24">
        <f>B424+B456+B499+B525+B571+B623+B662+B687+B442</f>
        <v>110652198</v>
      </c>
      <c r="C728" s="24">
        <f>C424+C456+C499+C525+C571+C623+C662+C687+C442</f>
        <v>126012453</v>
      </c>
      <c r="D728" s="24">
        <f>D424+D456+D499+D525+D571+D623+D662+D687+D442+D721</f>
        <v>118945241</v>
      </c>
      <c r="E728" s="59">
        <f>D728/C728*100</f>
        <v>94.391655878645579</v>
      </c>
      <c r="F728" s="2"/>
      <c r="G728" s="2"/>
    </row>
    <row r="729" spans="1:7" x14ac:dyDescent="0.2">
      <c r="A729" s="35" t="s">
        <v>19</v>
      </c>
      <c r="B729" s="24">
        <f>B430+B462+B505+B531+B578+B629+B667+B693+B446</f>
        <v>21529189</v>
      </c>
      <c r="C729" s="24">
        <f>C430+C462+C505+C531+C578+C629+C667+C693+C446</f>
        <v>23462964</v>
      </c>
      <c r="D729" s="24">
        <f>D430+D462+D505+D531+D578+D629+D667+D693+D446+D724</f>
        <v>21806884</v>
      </c>
      <c r="E729" s="59">
        <f>D729/C729*100</f>
        <v>92.941727225937868</v>
      </c>
      <c r="F729" s="2"/>
      <c r="G729" s="2"/>
    </row>
    <row r="730" spans="1:7" x14ac:dyDescent="0.2">
      <c r="A730" s="27" t="s">
        <v>89</v>
      </c>
      <c r="B730" s="24">
        <f>B489+B511+B559+B602+B612+B652+B674+B715</f>
        <v>33638545</v>
      </c>
      <c r="C730" s="24">
        <f>C489+C511+C559+C602+C612+C652+C674+C715</f>
        <v>33904845</v>
      </c>
      <c r="D730" s="24">
        <f>D489+D511+D559+D602+D612+D652+D674+D715+D434</f>
        <v>33336752</v>
      </c>
      <c r="E730" s="59">
        <f>D730/C730*100</f>
        <v>98.324448909882932</v>
      </c>
      <c r="F730" s="2"/>
      <c r="G730" s="2"/>
    </row>
    <row r="731" spans="1:7" ht="22.5" x14ac:dyDescent="0.2">
      <c r="A731" s="100" t="s">
        <v>155</v>
      </c>
      <c r="B731" s="24">
        <f>SUM(B728:B730)</f>
        <v>165819932</v>
      </c>
      <c r="C731" s="24">
        <f>SUM(C728:C730)</f>
        <v>183380262</v>
      </c>
      <c r="D731" s="24">
        <f>SUM(D728:D730)</f>
        <v>174088877</v>
      </c>
      <c r="E731" s="59">
        <f>D731/C731*100</f>
        <v>94.933268772404745</v>
      </c>
      <c r="F731" s="70"/>
      <c r="G731" s="70"/>
    </row>
    <row r="732" spans="1:7" x14ac:dyDescent="0.2">
      <c r="A732" s="27"/>
      <c r="B732" s="100"/>
      <c r="C732" s="24"/>
      <c r="D732" s="3"/>
      <c r="E732" s="3"/>
      <c r="F732" s="2"/>
      <c r="G732" s="2"/>
    </row>
    <row r="733" spans="1:7" x14ac:dyDescent="0.2">
      <c r="A733" s="27"/>
      <c r="B733" s="100"/>
      <c r="C733" s="24"/>
      <c r="D733" s="3"/>
      <c r="E733" s="3"/>
      <c r="F733" s="2"/>
      <c r="G733" s="2"/>
    </row>
    <row r="734" spans="1:7" x14ac:dyDescent="0.2">
      <c r="A734" s="27"/>
      <c r="B734" s="100"/>
      <c r="C734" s="24"/>
      <c r="D734" s="3"/>
      <c r="E734" s="3"/>
      <c r="F734" s="2"/>
      <c r="G734" s="2"/>
    </row>
    <row r="735" spans="1:7" x14ac:dyDescent="0.2">
      <c r="A735" s="101" t="s">
        <v>156</v>
      </c>
      <c r="B735" s="101"/>
      <c r="C735" s="101"/>
      <c r="D735" s="101"/>
      <c r="E735" s="101"/>
      <c r="F735" s="2"/>
      <c r="G735" s="2"/>
    </row>
    <row r="736" spans="1:7" x14ac:dyDescent="0.2">
      <c r="A736" s="102"/>
      <c r="B736" s="102"/>
      <c r="C736" s="102"/>
      <c r="D736" s="3"/>
      <c r="E736" s="3"/>
      <c r="F736" s="2"/>
      <c r="G736" s="2"/>
    </row>
    <row r="737" spans="1:7" x14ac:dyDescent="0.2">
      <c r="A737" s="103" t="s">
        <v>2</v>
      </c>
      <c r="B737" s="103"/>
      <c r="C737" s="103"/>
      <c r="D737" s="103"/>
      <c r="E737" s="103"/>
      <c r="F737" s="2"/>
      <c r="G737" s="2"/>
    </row>
    <row r="738" spans="1:7" x14ac:dyDescent="0.2">
      <c r="A738" s="104"/>
      <c r="B738" s="105"/>
      <c r="C738" s="106"/>
      <c r="D738" s="3"/>
      <c r="E738" s="3"/>
      <c r="F738" s="2"/>
      <c r="G738" s="2"/>
    </row>
    <row r="739" spans="1:7" x14ac:dyDescent="0.2">
      <c r="A739" s="44" t="s">
        <v>114</v>
      </c>
      <c r="B739" s="45"/>
      <c r="C739" s="45"/>
      <c r="D739" s="45"/>
      <c r="E739" s="46"/>
      <c r="F739" s="2"/>
      <c r="G739" s="2"/>
    </row>
    <row r="740" spans="1:7" x14ac:dyDescent="0.2">
      <c r="A740" s="47"/>
      <c r="B740" s="47"/>
      <c r="C740" s="48"/>
      <c r="D740" s="3"/>
      <c r="E740" s="3"/>
      <c r="F740" s="2"/>
      <c r="G740" s="2"/>
    </row>
    <row r="741" spans="1:7" x14ac:dyDescent="0.2">
      <c r="A741" s="20" t="s">
        <v>157</v>
      </c>
      <c r="B741" s="33">
        <v>2407965</v>
      </c>
      <c r="C741" s="33">
        <f>1592665+2407965</f>
        <v>4000630</v>
      </c>
      <c r="D741" s="21">
        <v>3792615</v>
      </c>
      <c r="E741" s="59">
        <f>D741/C741*100</f>
        <v>94.800443930081016</v>
      </c>
      <c r="F741" s="2"/>
      <c r="G741" s="2"/>
    </row>
    <row r="742" spans="1:7" x14ac:dyDescent="0.2">
      <c r="A742" s="20" t="s">
        <v>122</v>
      </c>
      <c r="B742" s="33"/>
      <c r="C742" s="33"/>
      <c r="D742" s="21">
        <v>87893</v>
      </c>
      <c r="E742" s="59"/>
      <c r="F742" s="2"/>
      <c r="G742" s="2"/>
    </row>
    <row r="743" spans="1:7" x14ac:dyDescent="0.2">
      <c r="A743" s="35" t="s">
        <v>17</v>
      </c>
      <c r="B743" s="37">
        <f>B741</f>
        <v>2407965</v>
      </c>
      <c r="C743" s="37">
        <f>C741</f>
        <v>4000630</v>
      </c>
      <c r="D743" s="25">
        <f>SUM(D741:D742)</f>
        <v>3880508</v>
      </c>
      <c r="E743" s="60">
        <f>D743/C743*100</f>
        <v>96.997422905892321</v>
      </c>
      <c r="F743" s="2"/>
      <c r="G743" s="2"/>
    </row>
    <row r="744" spans="1:7" x14ac:dyDescent="0.2">
      <c r="A744" s="35"/>
      <c r="B744" s="37"/>
      <c r="C744" s="37"/>
      <c r="D744" s="21"/>
      <c r="E744" s="59"/>
      <c r="F744" s="2"/>
      <c r="G744" s="2"/>
    </row>
    <row r="745" spans="1:7" x14ac:dyDescent="0.2">
      <c r="A745" s="20" t="s">
        <v>18</v>
      </c>
      <c r="B745" s="33">
        <v>238853</v>
      </c>
      <c r="C745" s="33">
        <f>238853+155285</f>
        <v>394138</v>
      </c>
      <c r="D745" s="21">
        <v>382418</v>
      </c>
      <c r="E745" s="59">
        <f>D745/C745*100</f>
        <v>97.026422217598906</v>
      </c>
      <c r="F745" s="2"/>
      <c r="G745" s="2"/>
    </row>
    <row r="746" spans="1:7" x14ac:dyDescent="0.2">
      <c r="A746" s="20" t="s">
        <v>39</v>
      </c>
      <c r="B746" s="33">
        <v>40000</v>
      </c>
      <c r="C746" s="33">
        <v>40000</v>
      </c>
      <c r="D746" s="21">
        <v>2271</v>
      </c>
      <c r="E746" s="59">
        <f>D746/C746*100</f>
        <v>5.6775000000000002</v>
      </c>
      <c r="F746" s="2"/>
      <c r="G746" s="2"/>
    </row>
    <row r="747" spans="1:7" x14ac:dyDescent="0.2">
      <c r="A747" s="35" t="s">
        <v>19</v>
      </c>
      <c r="B747" s="37">
        <f>SUM(B745:B746)</f>
        <v>278853</v>
      </c>
      <c r="C747" s="37">
        <f>SUM(C745:C746)</f>
        <v>434138</v>
      </c>
      <c r="D747" s="25">
        <f>SUM(D745:D746)</f>
        <v>384689</v>
      </c>
      <c r="E747" s="60">
        <f>D747/C747*100</f>
        <v>88.609842953162357</v>
      </c>
      <c r="F747" s="2"/>
      <c r="G747" s="2"/>
    </row>
    <row r="748" spans="1:7" x14ac:dyDescent="0.2">
      <c r="A748" s="35"/>
      <c r="B748" s="37"/>
      <c r="C748" s="37"/>
      <c r="D748" s="25"/>
      <c r="E748" s="60"/>
      <c r="F748" s="2"/>
      <c r="G748" s="2"/>
    </row>
    <row r="749" spans="1:7" x14ac:dyDescent="0.2">
      <c r="A749" s="20" t="s">
        <v>31</v>
      </c>
      <c r="B749" s="37"/>
      <c r="C749" s="37"/>
      <c r="D749" s="21">
        <v>7600</v>
      </c>
      <c r="E749" s="60"/>
      <c r="F749" s="2"/>
      <c r="G749" s="2"/>
    </row>
    <row r="750" spans="1:7" x14ac:dyDescent="0.2">
      <c r="A750" s="23" t="s">
        <v>32</v>
      </c>
      <c r="B750" s="37"/>
      <c r="C750" s="37"/>
      <c r="D750" s="25">
        <v>7600</v>
      </c>
      <c r="E750" s="60"/>
      <c r="F750" s="2"/>
      <c r="G750" s="2"/>
    </row>
    <row r="751" spans="1:7" x14ac:dyDescent="0.2">
      <c r="A751" s="27" t="s">
        <v>12</v>
      </c>
      <c r="B751" s="37"/>
      <c r="C751" s="37"/>
      <c r="D751" s="25">
        <v>7600</v>
      </c>
      <c r="E751" s="60"/>
      <c r="F751" s="2"/>
      <c r="G751" s="2"/>
    </row>
    <row r="752" spans="1:7" x14ac:dyDescent="0.2">
      <c r="A752" s="27"/>
      <c r="B752" s="37"/>
      <c r="C752" s="37"/>
      <c r="D752" s="25"/>
      <c r="E752" s="60"/>
      <c r="F752" s="2"/>
      <c r="G752" s="2"/>
    </row>
    <row r="753" spans="1:7" x14ac:dyDescent="0.2">
      <c r="A753" s="28" t="s">
        <v>13</v>
      </c>
      <c r="B753" s="37">
        <f>B743+B747</f>
        <v>2686818</v>
      </c>
      <c r="C753" s="37">
        <f>C743+C747</f>
        <v>4434768</v>
      </c>
      <c r="D753" s="25">
        <f>D743+D747+D751</f>
        <v>4272797</v>
      </c>
      <c r="E753" s="60">
        <f>D753/C753*100</f>
        <v>96.347700713994513</v>
      </c>
      <c r="F753" s="2"/>
      <c r="G753" s="2"/>
    </row>
    <row r="754" spans="1:7" x14ac:dyDescent="0.2">
      <c r="A754" s="104"/>
      <c r="B754" s="104"/>
      <c r="C754" s="106"/>
      <c r="D754" s="3"/>
      <c r="E754" s="3"/>
      <c r="F754" s="2"/>
      <c r="G754" s="2"/>
    </row>
    <row r="755" spans="1:7" x14ac:dyDescent="0.2">
      <c r="A755" s="107" t="s">
        <v>158</v>
      </c>
      <c r="B755" s="108"/>
      <c r="C755" s="108"/>
      <c r="D755" s="108"/>
      <c r="E755" s="109"/>
      <c r="F755" s="2"/>
      <c r="G755" s="2"/>
    </row>
    <row r="756" spans="1:7" x14ac:dyDescent="0.2">
      <c r="A756" s="34" t="s">
        <v>49</v>
      </c>
      <c r="B756" s="19">
        <v>39974000</v>
      </c>
      <c r="C756" s="19">
        <f>39974000-3500000+3500000</f>
        <v>39974000</v>
      </c>
      <c r="D756" s="21">
        <v>37370186</v>
      </c>
      <c r="E756" s="59">
        <f>D756/C756*100</f>
        <v>93.486231050182624</v>
      </c>
      <c r="F756" s="2"/>
      <c r="G756" s="2"/>
    </row>
    <row r="757" spans="1:7" x14ac:dyDescent="0.2">
      <c r="A757" s="20" t="s">
        <v>10</v>
      </c>
      <c r="B757" s="19">
        <f>0.27*B756</f>
        <v>10792980</v>
      </c>
      <c r="C757" s="19">
        <f>0.27*C756</f>
        <v>10792980</v>
      </c>
      <c r="D757" s="21">
        <v>10089951</v>
      </c>
      <c r="E757" s="59">
        <f>D757/C757*100</f>
        <v>93.486238277102345</v>
      </c>
      <c r="F757" s="2"/>
      <c r="G757" s="2"/>
    </row>
    <row r="758" spans="1:7" x14ac:dyDescent="0.2">
      <c r="A758" s="23" t="s">
        <v>32</v>
      </c>
      <c r="B758" s="24">
        <f>SUM(B756:B757)</f>
        <v>50766980</v>
      </c>
      <c r="C758" s="24">
        <f>SUM(C756:C757)</f>
        <v>50766980</v>
      </c>
      <c r="D758" s="25">
        <f>SUM(D756:D757)</f>
        <v>47460137</v>
      </c>
      <c r="E758" s="60">
        <f>D758/C758*100</f>
        <v>93.486232586614364</v>
      </c>
      <c r="F758" s="2"/>
      <c r="G758" s="2"/>
    </row>
    <row r="759" spans="1:7" x14ac:dyDescent="0.2">
      <c r="A759" s="27" t="s">
        <v>12</v>
      </c>
      <c r="B759" s="24">
        <f>B758</f>
        <v>50766980</v>
      </c>
      <c r="C759" s="24">
        <f>C758</f>
        <v>50766980</v>
      </c>
      <c r="D759" s="25">
        <f>D758</f>
        <v>47460137</v>
      </c>
      <c r="E759" s="60">
        <f>D759/C759*100</f>
        <v>93.486232586614364</v>
      </c>
      <c r="F759" s="2"/>
      <c r="G759" s="2"/>
    </row>
    <row r="760" spans="1:7" x14ac:dyDescent="0.2">
      <c r="A760" s="27"/>
      <c r="B760" s="24"/>
      <c r="C760" s="24"/>
      <c r="D760" s="25"/>
      <c r="E760" s="60"/>
      <c r="F760" s="2"/>
      <c r="G760" s="2"/>
    </row>
    <row r="761" spans="1:7" x14ac:dyDescent="0.2">
      <c r="A761" s="28" t="s">
        <v>13</v>
      </c>
      <c r="B761" s="24">
        <f>B759</f>
        <v>50766980</v>
      </c>
      <c r="C761" s="24">
        <f>C759</f>
        <v>50766980</v>
      </c>
      <c r="D761" s="25">
        <f>D759</f>
        <v>47460137</v>
      </c>
      <c r="E761" s="60">
        <f>D761/C761*100</f>
        <v>93.486232586614364</v>
      </c>
      <c r="F761" s="2"/>
      <c r="G761" s="2"/>
    </row>
    <row r="762" spans="1:7" x14ac:dyDescent="0.2">
      <c r="A762" s="104"/>
      <c r="B762" s="104"/>
      <c r="C762" s="110"/>
      <c r="D762" s="3"/>
      <c r="E762" s="3"/>
      <c r="F762" s="2"/>
      <c r="G762" s="2"/>
    </row>
    <row r="763" spans="1:7" x14ac:dyDescent="0.2">
      <c r="A763" s="107" t="s">
        <v>159</v>
      </c>
      <c r="B763" s="108"/>
      <c r="C763" s="108"/>
      <c r="D763" s="108"/>
      <c r="E763" s="109"/>
      <c r="F763" s="2"/>
      <c r="G763" s="2"/>
    </row>
    <row r="764" spans="1:7" x14ac:dyDescent="0.2">
      <c r="A764" s="20" t="s">
        <v>160</v>
      </c>
      <c r="B764" s="110">
        <v>14170200</v>
      </c>
      <c r="C764" s="110">
        <v>14170200</v>
      </c>
      <c r="D764" s="21">
        <v>14048432</v>
      </c>
      <c r="E764" s="59">
        <f>D764/C764*100</f>
        <v>99.140675502110071</v>
      </c>
      <c r="F764" s="2"/>
      <c r="G764" s="2"/>
    </row>
    <row r="765" spans="1:7" x14ac:dyDescent="0.2">
      <c r="A765" s="34" t="s">
        <v>60</v>
      </c>
      <c r="B765" s="110">
        <v>0</v>
      </c>
      <c r="C765" s="110">
        <v>0</v>
      </c>
      <c r="D765" s="21">
        <v>205000</v>
      </c>
      <c r="E765" s="59"/>
      <c r="F765" s="2"/>
      <c r="G765" s="2"/>
    </row>
    <row r="766" spans="1:7" x14ac:dyDescent="0.2">
      <c r="A766" s="34" t="s">
        <v>61</v>
      </c>
      <c r="B766" s="32">
        <v>100000</v>
      </c>
      <c r="C766" s="33">
        <v>100000</v>
      </c>
      <c r="D766" s="21">
        <v>54132</v>
      </c>
      <c r="E766" s="59">
        <f>D766/C766*100</f>
        <v>54.132000000000005</v>
      </c>
      <c r="F766" s="2"/>
      <c r="G766" s="2"/>
    </row>
    <row r="767" spans="1:7" x14ac:dyDescent="0.2">
      <c r="A767" s="34" t="s">
        <v>62</v>
      </c>
      <c r="B767" s="32">
        <v>200000</v>
      </c>
      <c r="C767" s="33">
        <v>200000</v>
      </c>
      <c r="D767" s="21">
        <v>103934</v>
      </c>
      <c r="E767" s="59">
        <f>D767/C767*100</f>
        <v>51.966999999999999</v>
      </c>
      <c r="F767" s="2"/>
      <c r="G767" s="2"/>
    </row>
    <row r="768" spans="1:7" x14ac:dyDescent="0.2">
      <c r="A768" s="35" t="s">
        <v>17</v>
      </c>
      <c r="B768" s="111">
        <f>SUM(B764:B767)</f>
        <v>14470200</v>
      </c>
      <c r="C768" s="111">
        <f>SUM(C764:C767)</f>
        <v>14470200</v>
      </c>
      <c r="D768" s="25">
        <f>SUM(D764:D767)</f>
        <v>14411498</v>
      </c>
      <c r="E768" s="60">
        <f>D768/C768*100</f>
        <v>99.594324888391313</v>
      </c>
      <c r="F768" s="2"/>
      <c r="G768" s="2"/>
    </row>
    <row r="769" spans="1:7" x14ac:dyDescent="0.2">
      <c r="A769" s="35"/>
      <c r="B769" s="111"/>
      <c r="C769" s="111"/>
      <c r="D769" s="21"/>
      <c r="E769" s="59"/>
      <c r="F769" s="2"/>
      <c r="G769" s="2"/>
    </row>
    <row r="770" spans="1:7" x14ac:dyDescent="0.2">
      <c r="A770" s="20" t="s">
        <v>18</v>
      </c>
      <c r="B770" s="110">
        <v>2838504</v>
      </c>
      <c r="C770" s="110">
        <v>2838504</v>
      </c>
      <c r="D770" s="21">
        <v>2556568</v>
      </c>
      <c r="E770" s="59">
        <f>D770/C770*100</f>
        <v>90.067443977531823</v>
      </c>
      <c r="F770" s="2"/>
      <c r="G770" s="2"/>
    </row>
    <row r="771" spans="1:7" x14ac:dyDescent="0.2">
      <c r="A771" s="20" t="s">
        <v>44</v>
      </c>
      <c r="B771" s="110">
        <v>11505</v>
      </c>
      <c r="C771" s="110">
        <v>11505</v>
      </c>
      <c r="D771" s="21">
        <v>54935</v>
      </c>
      <c r="E771" s="59">
        <f>D771/C771*100</f>
        <v>477.48804867448939</v>
      </c>
      <c r="F771" s="2"/>
      <c r="G771" s="2"/>
    </row>
    <row r="772" spans="1:7" x14ac:dyDescent="0.2">
      <c r="A772" s="20" t="s">
        <v>64</v>
      </c>
      <c r="B772" s="110">
        <v>25000</v>
      </c>
      <c r="C772" s="110">
        <v>25000</v>
      </c>
      <c r="D772" s="21">
        <v>0</v>
      </c>
      <c r="E772" s="59">
        <f>D772/C772*100</f>
        <v>0</v>
      </c>
      <c r="F772" s="2"/>
      <c r="G772" s="2"/>
    </row>
    <row r="773" spans="1:7" x14ac:dyDescent="0.2">
      <c r="A773" s="20" t="s">
        <v>65</v>
      </c>
      <c r="B773" s="110">
        <v>8850</v>
      </c>
      <c r="C773" s="110">
        <v>8850</v>
      </c>
      <c r="D773" s="21">
        <v>36285</v>
      </c>
      <c r="E773" s="59">
        <f>D773/C773*100</f>
        <v>409.99999999999994</v>
      </c>
      <c r="F773" s="2"/>
      <c r="G773" s="2"/>
    </row>
    <row r="774" spans="1:7" x14ac:dyDescent="0.2">
      <c r="A774" s="35" t="s">
        <v>19</v>
      </c>
      <c r="B774" s="98">
        <f>SUM(B770:B773)</f>
        <v>2883859</v>
      </c>
      <c r="C774" s="25">
        <f>SUM(C770:C773)</f>
        <v>2883859</v>
      </c>
      <c r="D774" s="25">
        <f>SUM(D770:D773)</f>
        <v>2647788</v>
      </c>
      <c r="E774" s="60">
        <f>D774/C774*100</f>
        <v>91.814058870423281</v>
      </c>
      <c r="F774" s="2"/>
      <c r="G774" s="2"/>
    </row>
    <row r="775" spans="1:7" x14ac:dyDescent="0.2">
      <c r="A775" s="35"/>
      <c r="B775" s="110"/>
      <c r="C775" s="110"/>
      <c r="D775" s="21"/>
      <c r="E775" s="59"/>
      <c r="F775" s="2"/>
      <c r="G775" s="2"/>
    </row>
    <row r="776" spans="1:7" x14ac:dyDescent="0.2">
      <c r="A776" s="20" t="s">
        <v>22</v>
      </c>
      <c r="B776" s="19">
        <f>250000-50000</f>
        <v>200000</v>
      </c>
      <c r="C776" s="19">
        <f>250000-50000</f>
        <v>200000</v>
      </c>
      <c r="D776" s="21">
        <v>194936</v>
      </c>
      <c r="E776" s="59">
        <f t="shared" ref="E776:E795" si="21">D776/C776*100</f>
        <v>97.468000000000004</v>
      </c>
      <c r="F776" s="2"/>
      <c r="G776" s="2"/>
    </row>
    <row r="777" spans="1:7" x14ac:dyDescent="0.2">
      <c r="A777" s="20" t="s">
        <v>128</v>
      </c>
      <c r="B777" s="19">
        <v>228000</v>
      </c>
      <c r="C777" s="19">
        <v>228000</v>
      </c>
      <c r="D777" s="21">
        <v>206965</v>
      </c>
      <c r="E777" s="59">
        <f t="shared" si="21"/>
        <v>90.774122807017548</v>
      </c>
      <c r="F777" s="2"/>
      <c r="G777" s="2"/>
    </row>
    <row r="778" spans="1:7" x14ac:dyDescent="0.2">
      <c r="A778" s="20" t="s">
        <v>23</v>
      </c>
      <c r="B778" s="19">
        <f>800000-100000</f>
        <v>700000</v>
      </c>
      <c r="C778" s="19">
        <f>800000-100000</f>
        <v>700000</v>
      </c>
      <c r="D778" s="21">
        <f>1147724-D776-D777</f>
        <v>745823</v>
      </c>
      <c r="E778" s="59">
        <f t="shared" si="21"/>
        <v>106.54614285714285</v>
      </c>
      <c r="F778" s="2"/>
      <c r="G778" s="2"/>
    </row>
    <row r="779" spans="1:7" x14ac:dyDescent="0.2">
      <c r="A779" s="39" t="s">
        <v>40</v>
      </c>
      <c r="B779" s="24">
        <f>SUM(B776:B778)</f>
        <v>1128000</v>
      </c>
      <c r="C779" s="24">
        <f>SUM(C776:C778)</f>
        <v>1128000</v>
      </c>
      <c r="D779" s="25">
        <f>SUM(D776:D778)</f>
        <v>1147724</v>
      </c>
      <c r="E779" s="60">
        <f t="shared" si="21"/>
        <v>101.74858156028368</v>
      </c>
      <c r="F779" s="2"/>
      <c r="G779" s="2"/>
    </row>
    <row r="780" spans="1:7" x14ac:dyDescent="0.2">
      <c r="A780" s="40" t="s">
        <v>25</v>
      </c>
      <c r="B780" s="19">
        <v>125000</v>
      </c>
      <c r="C780" s="19">
        <v>125000</v>
      </c>
      <c r="D780" s="21">
        <v>136839</v>
      </c>
      <c r="E780" s="59">
        <f t="shared" si="21"/>
        <v>109.4712</v>
      </c>
      <c r="F780" s="2"/>
      <c r="G780" s="2"/>
    </row>
    <row r="781" spans="1:7" x14ac:dyDescent="0.2">
      <c r="A781" s="20" t="s">
        <v>104</v>
      </c>
      <c r="B781" s="19">
        <v>230000</v>
      </c>
      <c r="C781" s="19">
        <v>230000</v>
      </c>
      <c r="D781" s="21">
        <v>259109</v>
      </c>
      <c r="E781" s="59">
        <f t="shared" si="21"/>
        <v>112.65608695652173</v>
      </c>
      <c r="F781" s="2"/>
      <c r="G781" s="2"/>
    </row>
    <row r="782" spans="1:7" x14ac:dyDescent="0.2">
      <c r="A782" s="23" t="s">
        <v>26</v>
      </c>
      <c r="B782" s="24">
        <f>SUM(B780:B781)</f>
        <v>355000</v>
      </c>
      <c r="C782" s="24">
        <f>SUM(C780:C781)</f>
        <v>355000</v>
      </c>
      <c r="D782" s="25">
        <f>SUM(D780:D781)</f>
        <v>395948</v>
      </c>
      <c r="E782" s="60">
        <f t="shared" si="21"/>
        <v>111.53464788732394</v>
      </c>
      <c r="F782" s="2"/>
      <c r="G782" s="2"/>
    </row>
    <row r="783" spans="1:7" x14ac:dyDescent="0.2">
      <c r="A783" s="20" t="s">
        <v>27</v>
      </c>
      <c r="B783" s="33">
        <f>750000-100000</f>
        <v>650000</v>
      </c>
      <c r="C783" s="33">
        <f>750000-100000+600000</f>
        <v>1250000</v>
      </c>
      <c r="D783" s="21">
        <v>1294449</v>
      </c>
      <c r="E783" s="59">
        <f t="shared" si="21"/>
        <v>103.55592</v>
      </c>
      <c r="F783" s="2"/>
      <c r="G783" s="2"/>
    </row>
    <row r="784" spans="1:7" x14ac:dyDescent="0.2">
      <c r="A784" s="20" t="s">
        <v>105</v>
      </c>
      <c r="B784" s="33">
        <v>750000</v>
      </c>
      <c r="C784" s="33">
        <v>750000</v>
      </c>
      <c r="D784" s="21">
        <v>862135</v>
      </c>
      <c r="E784" s="59">
        <f t="shared" si="21"/>
        <v>114.95133333333334</v>
      </c>
      <c r="F784" s="2"/>
      <c r="G784" s="2"/>
    </row>
    <row r="785" spans="1:7" x14ac:dyDescent="0.2">
      <c r="A785" s="20" t="s">
        <v>9</v>
      </c>
      <c r="B785" s="33">
        <v>650000</v>
      </c>
      <c r="C785" s="33">
        <v>650000</v>
      </c>
      <c r="D785" s="21">
        <v>638963</v>
      </c>
      <c r="E785" s="59">
        <f t="shared" si="21"/>
        <v>98.302000000000007</v>
      </c>
      <c r="F785" s="2"/>
      <c r="G785" s="2"/>
    </row>
    <row r="786" spans="1:7" x14ac:dyDescent="0.2">
      <c r="A786" s="20" t="s">
        <v>28</v>
      </c>
      <c r="B786" s="33">
        <v>400000</v>
      </c>
      <c r="C786" s="33">
        <v>400000</v>
      </c>
      <c r="D786" s="21">
        <f>3342288-D783-D784-D785</f>
        <v>546741</v>
      </c>
      <c r="E786" s="59">
        <f t="shared" si="21"/>
        <v>136.68525</v>
      </c>
      <c r="F786" s="2"/>
      <c r="G786" s="2"/>
    </row>
    <row r="787" spans="1:7" x14ac:dyDescent="0.2">
      <c r="A787" s="23" t="s">
        <v>11</v>
      </c>
      <c r="B787" s="37">
        <f>SUM(B783:B786)</f>
        <v>2450000</v>
      </c>
      <c r="C787" s="37">
        <f>SUM(C783:C786)</f>
        <v>3050000</v>
      </c>
      <c r="D787" s="25">
        <f>SUM(D783:D786)</f>
        <v>3342288</v>
      </c>
      <c r="E787" s="60">
        <f t="shared" si="21"/>
        <v>109.5832131147541</v>
      </c>
      <c r="F787" s="2"/>
      <c r="G787" s="2"/>
    </row>
    <row r="788" spans="1:7" x14ac:dyDescent="0.2">
      <c r="A788" s="20" t="s">
        <v>29</v>
      </c>
      <c r="B788" s="33">
        <f>150000-30000</f>
        <v>120000</v>
      </c>
      <c r="C788" s="33">
        <f>150000-30000</f>
        <v>120000</v>
      </c>
      <c r="D788" s="21">
        <v>223763</v>
      </c>
      <c r="E788" s="59">
        <f t="shared" si="21"/>
        <v>186.46916666666667</v>
      </c>
      <c r="F788" s="2"/>
      <c r="G788" s="2"/>
    </row>
    <row r="789" spans="1:7" x14ac:dyDescent="0.2">
      <c r="A789" s="20" t="s">
        <v>31</v>
      </c>
      <c r="B789" s="33">
        <v>600000</v>
      </c>
      <c r="C789" s="33">
        <v>600000</v>
      </c>
      <c r="D789" s="21">
        <v>640651</v>
      </c>
      <c r="E789" s="59">
        <f t="shared" si="21"/>
        <v>106.77516666666666</v>
      </c>
      <c r="F789" s="2"/>
      <c r="G789" s="2"/>
    </row>
    <row r="790" spans="1:7" x14ac:dyDescent="0.2">
      <c r="A790" s="20" t="s">
        <v>129</v>
      </c>
      <c r="B790" s="33"/>
      <c r="C790" s="33">
        <v>20000</v>
      </c>
      <c r="D790" s="21">
        <f>9+2815</f>
        <v>2824</v>
      </c>
      <c r="E790" s="59">
        <f t="shared" si="21"/>
        <v>14.12</v>
      </c>
      <c r="F790" s="2"/>
      <c r="G790" s="2"/>
    </row>
    <row r="791" spans="1:7" x14ac:dyDescent="0.2">
      <c r="A791" s="23" t="s">
        <v>32</v>
      </c>
      <c r="B791" s="37">
        <f>SUM(B788:B789)</f>
        <v>720000</v>
      </c>
      <c r="C791" s="37">
        <f>SUM(C788:C790)</f>
        <v>740000</v>
      </c>
      <c r="D791" s="25">
        <f>SUM(D788:D790)</f>
        <v>867238</v>
      </c>
      <c r="E791" s="60">
        <f t="shared" si="21"/>
        <v>117.19432432432433</v>
      </c>
      <c r="F791" s="2"/>
      <c r="G791" s="2"/>
    </row>
    <row r="792" spans="1:7" x14ac:dyDescent="0.2">
      <c r="A792" s="20" t="s">
        <v>10</v>
      </c>
      <c r="B792" s="33">
        <f>(B776+B777+B778+B780+B781+B783+B785+B786+B789+B788)*0.27+B784*0.05</f>
        <v>1091310</v>
      </c>
      <c r="C792" s="33">
        <f>(C776+C777+C778+C780+C781+C783+C785+C786+C789+C788)*0.27+C784*0.05</f>
        <v>1253310</v>
      </c>
      <c r="D792" s="21">
        <v>1130762</v>
      </c>
      <c r="E792" s="59">
        <f t="shared" si="21"/>
        <v>90.222052006287356</v>
      </c>
      <c r="F792" s="2"/>
      <c r="G792" s="2"/>
    </row>
    <row r="793" spans="1:7" x14ac:dyDescent="0.2">
      <c r="A793" s="39" t="s">
        <v>34</v>
      </c>
      <c r="B793" s="37">
        <f>SUM(B792:B792)</f>
        <v>1091310</v>
      </c>
      <c r="C793" s="37">
        <f>SUM(C792:C792)</f>
        <v>1253310</v>
      </c>
      <c r="D793" s="25">
        <f>SUM(D792)</f>
        <v>1130762</v>
      </c>
      <c r="E793" s="60">
        <f t="shared" si="21"/>
        <v>90.222052006287356</v>
      </c>
      <c r="F793" s="2"/>
      <c r="G793" s="2"/>
    </row>
    <row r="794" spans="1:7" x14ac:dyDescent="0.2">
      <c r="A794" s="27" t="s">
        <v>12</v>
      </c>
      <c r="B794" s="37">
        <f>+B779+B782+B787+B791+B793</f>
        <v>5744310</v>
      </c>
      <c r="C794" s="37">
        <f>+C779+C782+C787+C791+C793</f>
        <v>6526310</v>
      </c>
      <c r="D794" s="25">
        <f>D779+D782+D787+D791+D793</f>
        <v>6883960</v>
      </c>
      <c r="E794" s="60">
        <f t="shared" si="21"/>
        <v>105.48012582914387</v>
      </c>
      <c r="F794" s="2"/>
      <c r="G794" s="2"/>
    </row>
    <row r="795" spans="1:7" x14ac:dyDescent="0.2">
      <c r="A795" s="28" t="s">
        <v>13</v>
      </c>
      <c r="B795" s="111">
        <f>B768+B774+B794</f>
        <v>23098369</v>
      </c>
      <c r="C795" s="111">
        <f>C768+C774+C794</f>
        <v>23880369</v>
      </c>
      <c r="D795" s="25">
        <f>D768+D774+D794</f>
        <v>23943246</v>
      </c>
      <c r="E795" s="60">
        <f t="shared" si="21"/>
        <v>100.26329995152085</v>
      </c>
      <c r="F795" s="2"/>
      <c r="G795" s="2"/>
    </row>
    <row r="796" spans="1:7" x14ac:dyDescent="0.2">
      <c r="A796" s="28"/>
      <c r="B796" s="28"/>
      <c r="C796" s="110"/>
      <c r="D796" s="3"/>
      <c r="E796" s="3"/>
      <c r="F796" s="2"/>
      <c r="G796" s="2"/>
    </row>
    <row r="797" spans="1:7" x14ac:dyDescent="0.2">
      <c r="A797" s="107" t="s">
        <v>161</v>
      </c>
      <c r="B797" s="108"/>
      <c r="C797" s="108"/>
      <c r="D797" s="108"/>
      <c r="E797" s="109"/>
      <c r="F797" s="2"/>
      <c r="G797" s="2"/>
    </row>
    <row r="798" spans="1:7" x14ac:dyDescent="0.2">
      <c r="A798" s="104"/>
      <c r="B798" s="104"/>
      <c r="C798" s="106"/>
      <c r="D798" s="3"/>
      <c r="E798" s="3"/>
      <c r="F798" s="2"/>
      <c r="G798" s="2"/>
    </row>
    <row r="799" spans="1:7" x14ac:dyDescent="0.2">
      <c r="A799" s="20" t="s">
        <v>162</v>
      </c>
      <c r="B799" s="106">
        <v>47100060</v>
      </c>
      <c r="C799" s="106">
        <f>47100060-638000-196850-240000</f>
        <v>46025210</v>
      </c>
      <c r="D799" s="21">
        <v>44088373</v>
      </c>
      <c r="E799" s="59">
        <f>D799/C799*100</f>
        <v>95.791791064071191</v>
      </c>
      <c r="F799" s="2"/>
      <c r="G799" s="2"/>
    </row>
    <row r="800" spans="1:7" x14ac:dyDescent="0.2">
      <c r="A800" s="34" t="s">
        <v>61</v>
      </c>
      <c r="B800" s="106">
        <v>352630</v>
      </c>
      <c r="C800" s="106">
        <v>352630</v>
      </c>
      <c r="D800" s="21">
        <v>111271</v>
      </c>
      <c r="E800" s="59">
        <f>D800/C800*100</f>
        <v>31.554603975838695</v>
      </c>
      <c r="F800" s="2"/>
      <c r="G800" s="2"/>
    </row>
    <row r="801" spans="1:7" x14ac:dyDescent="0.2">
      <c r="A801" s="34" t="s">
        <v>99</v>
      </c>
      <c r="B801" s="106"/>
      <c r="C801" s="106"/>
      <c r="D801" s="21">
        <v>328860</v>
      </c>
      <c r="E801" s="59"/>
      <c r="F801" s="2"/>
      <c r="G801" s="2"/>
    </row>
    <row r="802" spans="1:7" x14ac:dyDescent="0.2">
      <c r="A802" s="34" t="s">
        <v>163</v>
      </c>
      <c r="B802" s="106"/>
      <c r="C802" s="106"/>
      <c r="D802" s="21">
        <v>765000</v>
      </c>
      <c r="E802" s="59"/>
      <c r="F802" s="2"/>
      <c r="G802" s="2"/>
    </row>
    <row r="803" spans="1:7" x14ac:dyDescent="0.2">
      <c r="A803" s="34" t="s">
        <v>134</v>
      </c>
      <c r="B803" s="106"/>
      <c r="C803" s="106"/>
      <c r="D803" s="21">
        <v>25795</v>
      </c>
      <c r="E803" s="59"/>
      <c r="F803" s="2"/>
      <c r="G803" s="2"/>
    </row>
    <row r="804" spans="1:7" x14ac:dyDescent="0.2">
      <c r="A804" s="34" t="s">
        <v>62</v>
      </c>
      <c r="B804" s="106">
        <v>150000</v>
      </c>
      <c r="C804" s="106">
        <v>150000</v>
      </c>
      <c r="D804" s="21">
        <v>454867</v>
      </c>
      <c r="E804" s="59">
        <f>D804/C804*100</f>
        <v>303.24466666666666</v>
      </c>
      <c r="F804" s="2"/>
      <c r="G804" s="2"/>
    </row>
    <row r="805" spans="1:7" x14ac:dyDescent="0.2">
      <c r="A805" s="34" t="s">
        <v>16</v>
      </c>
      <c r="B805" s="106">
        <v>816000</v>
      </c>
      <c r="C805" s="106">
        <v>816000</v>
      </c>
      <c r="D805" s="21">
        <v>377603</v>
      </c>
      <c r="E805" s="59">
        <f>D805/C805*100</f>
        <v>46.274877450980391</v>
      </c>
      <c r="F805" s="2"/>
      <c r="G805" s="2"/>
    </row>
    <row r="806" spans="1:7" x14ac:dyDescent="0.2">
      <c r="A806" s="35" t="s">
        <v>17</v>
      </c>
      <c r="B806" s="112">
        <f>SUM(B799:B805)</f>
        <v>48418690</v>
      </c>
      <c r="C806" s="112">
        <f>SUM(C799:C805)</f>
        <v>47343840</v>
      </c>
      <c r="D806" s="25">
        <f>SUM(D799:D805)</f>
        <v>46151769</v>
      </c>
      <c r="E806" s="60">
        <f>D806/C806*100</f>
        <v>97.482099043930532</v>
      </c>
      <c r="F806" s="2"/>
      <c r="G806" s="2"/>
    </row>
    <row r="807" spans="1:7" x14ac:dyDescent="0.2">
      <c r="A807" s="35"/>
      <c r="B807" s="112"/>
      <c r="C807" s="112"/>
      <c r="D807" s="21"/>
      <c r="E807" s="59"/>
      <c r="F807" s="2"/>
      <c r="G807" s="2"/>
    </row>
    <row r="808" spans="1:7" x14ac:dyDescent="0.2">
      <c r="A808" s="20" t="s">
        <v>18</v>
      </c>
      <c r="B808" s="106">
        <v>10241969</v>
      </c>
      <c r="C808" s="106">
        <f>10241969-124000</f>
        <v>10117969</v>
      </c>
      <c r="D808" s="21">
        <v>8931946</v>
      </c>
      <c r="E808" s="59">
        <f>D808/C808*100</f>
        <v>88.278052640801732</v>
      </c>
      <c r="F808" s="2"/>
      <c r="G808" s="2"/>
    </row>
    <row r="809" spans="1:7" x14ac:dyDescent="0.2">
      <c r="A809" s="20" t="s">
        <v>39</v>
      </c>
      <c r="B809" s="106">
        <v>11505</v>
      </c>
      <c r="C809" s="106">
        <v>11505</v>
      </c>
      <c r="D809" s="21">
        <v>184751</v>
      </c>
      <c r="E809" s="59">
        <f>D809/C809*100</f>
        <v>1605.8322468491958</v>
      </c>
      <c r="F809" s="2"/>
      <c r="G809" s="2"/>
    </row>
    <row r="810" spans="1:7" x14ac:dyDescent="0.2">
      <c r="A810" s="20" t="s">
        <v>44</v>
      </c>
      <c r="B810" s="106">
        <v>50000</v>
      </c>
      <c r="C810" s="106">
        <v>50000</v>
      </c>
      <c r="D810" s="21">
        <v>2311</v>
      </c>
      <c r="E810" s="59">
        <f>D810/C810*100</f>
        <v>4.6219999999999999</v>
      </c>
      <c r="F810" s="2"/>
      <c r="G810" s="2"/>
    </row>
    <row r="811" spans="1:7" x14ac:dyDescent="0.2">
      <c r="A811" s="20" t="s">
        <v>164</v>
      </c>
      <c r="B811" s="106">
        <v>8850</v>
      </c>
      <c r="C811" s="106">
        <v>8850</v>
      </c>
      <c r="D811" s="21">
        <v>135405</v>
      </c>
      <c r="E811" s="59">
        <f>D811/C811*100</f>
        <v>1530</v>
      </c>
      <c r="F811" s="2"/>
      <c r="G811" s="2"/>
    </row>
    <row r="812" spans="1:7" x14ac:dyDescent="0.2">
      <c r="A812" s="35" t="s">
        <v>19</v>
      </c>
      <c r="B812" s="112">
        <f>SUM(B808:B811)</f>
        <v>10312324</v>
      </c>
      <c r="C812" s="112">
        <f>SUM(C808:C811)</f>
        <v>10188324</v>
      </c>
      <c r="D812" s="25">
        <f>SUM(D808:D811)</f>
        <v>9254413</v>
      </c>
      <c r="E812" s="60">
        <f>D812/C812*100</f>
        <v>90.83351687676992</v>
      </c>
      <c r="F812" s="2"/>
      <c r="G812" s="2"/>
    </row>
    <row r="813" spans="1:7" x14ac:dyDescent="0.2">
      <c r="A813" s="35"/>
      <c r="B813" s="106"/>
      <c r="C813" s="106"/>
      <c r="D813" s="21"/>
      <c r="E813" s="59"/>
      <c r="F813" s="2"/>
      <c r="G813" s="2"/>
    </row>
    <row r="814" spans="1:7" x14ac:dyDescent="0.2">
      <c r="A814" s="34" t="s">
        <v>20</v>
      </c>
      <c r="B814" s="32">
        <v>20000</v>
      </c>
      <c r="C814" s="33">
        <v>20000</v>
      </c>
      <c r="D814" s="21">
        <v>0</v>
      </c>
      <c r="E814" s="59">
        <f t="shared" ref="E814:E823" si="22">D814/C814*100</f>
        <v>0</v>
      </c>
      <c r="F814" s="2"/>
      <c r="G814" s="2"/>
    </row>
    <row r="815" spans="1:7" x14ac:dyDescent="0.2">
      <c r="A815" s="20" t="s">
        <v>101</v>
      </c>
      <c r="B815" s="32">
        <v>60000</v>
      </c>
      <c r="C815" s="33">
        <v>60000</v>
      </c>
      <c r="D815" s="21">
        <v>39114</v>
      </c>
      <c r="E815" s="59">
        <f t="shared" si="22"/>
        <v>65.19</v>
      </c>
      <c r="F815" s="2"/>
      <c r="G815" s="2"/>
    </row>
    <row r="816" spans="1:7" x14ac:dyDescent="0.2">
      <c r="A816" s="20" t="s">
        <v>102</v>
      </c>
      <c r="B816" s="32">
        <v>60000</v>
      </c>
      <c r="C816" s="33">
        <v>60000</v>
      </c>
      <c r="D816" s="21">
        <v>106586</v>
      </c>
      <c r="E816" s="59">
        <f t="shared" si="22"/>
        <v>177.64333333333332</v>
      </c>
      <c r="F816" s="2"/>
      <c r="G816" s="2"/>
    </row>
    <row r="817" spans="1:7" x14ac:dyDescent="0.2">
      <c r="A817" s="20" t="s">
        <v>21</v>
      </c>
      <c r="B817" s="33">
        <f>300000-50000</f>
        <v>250000</v>
      </c>
      <c r="C817" s="33">
        <f>300000-50000</f>
        <v>250000</v>
      </c>
      <c r="D817" s="21">
        <f>295841-D814-D815-D816</f>
        <v>150141</v>
      </c>
      <c r="E817" s="59">
        <f t="shared" si="22"/>
        <v>60.056399999999996</v>
      </c>
      <c r="F817" s="2"/>
      <c r="G817" s="2"/>
    </row>
    <row r="818" spans="1:7" x14ac:dyDescent="0.2">
      <c r="A818" s="39" t="s">
        <v>24</v>
      </c>
      <c r="B818" s="37">
        <f>SUM(B814:B817)</f>
        <v>390000</v>
      </c>
      <c r="C818" s="37">
        <f>SUM(C814:C817)</f>
        <v>390000</v>
      </c>
      <c r="D818" s="25">
        <f>SUM(D814:D817)</f>
        <v>295841</v>
      </c>
      <c r="E818" s="60">
        <f t="shared" si="22"/>
        <v>75.856666666666655</v>
      </c>
      <c r="F818" s="2"/>
      <c r="G818" s="2"/>
    </row>
    <row r="819" spans="1:7" x14ac:dyDescent="0.2">
      <c r="A819" s="20" t="s">
        <v>30</v>
      </c>
      <c r="B819" s="33">
        <f>460800+100000+39200</f>
        <v>600000</v>
      </c>
      <c r="C819" s="33">
        <f>460800+100000+39200+240000</f>
        <v>840000</v>
      </c>
      <c r="D819" s="21">
        <v>571902</v>
      </c>
      <c r="E819" s="59">
        <f t="shared" si="22"/>
        <v>68.083571428571432</v>
      </c>
      <c r="F819" s="2"/>
      <c r="G819" s="2"/>
    </row>
    <row r="820" spans="1:7" x14ac:dyDescent="0.2">
      <c r="A820" s="23" t="s">
        <v>32</v>
      </c>
      <c r="B820" s="37">
        <f>SUM(B819:B819)</f>
        <v>600000</v>
      </c>
      <c r="C820" s="37">
        <f>SUM(C819:C819)</f>
        <v>840000</v>
      </c>
      <c r="D820" s="25">
        <f>SUM(D819)</f>
        <v>571902</v>
      </c>
      <c r="E820" s="60">
        <f t="shared" si="22"/>
        <v>68.083571428571432</v>
      </c>
      <c r="F820" s="2"/>
      <c r="G820" s="2"/>
    </row>
    <row r="821" spans="1:7" x14ac:dyDescent="0.2">
      <c r="A821" s="20" t="s">
        <v>10</v>
      </c>
      <c r="B821" s="33">
        <f>(B814+B815+B816+B817)*0.27</f>
        <v>105300</v>
      </c>
      <c r="C821" s="33">
        <f>(C814+C815+C816+C817)*0.27</f>
        <v>105300</v>
      </c>
      <c r="D821" s="21">
        <v>66513</v>
      </c>
      <c r="E821" s="59">
        <f t="shared" si="22"/>
        <v>63.165242165242162</v>
      </c>
      <c r="F821" s="2"/>
      <c r="G821" s="2"/>
    </row>
    <row r="822" spans="1:7" x14ac:dyDescent="0.2">
      <c r="A822" s="39" t="s">
        <v>34</v>
      </c>
      <c r="B822" s="37">
        <f>SUM(B821:B821)</f>
        <v>105300</v>
      </c>
      <c r="C822" s="37">
        <f>SUM(C821:C821)</f>
        <v>105300</v>
      </c>
      <c r="D822" s="25">
        <f>SUM(D821)</f>
        <v>66513</v>
      </c>
      <c r="E822" s="60">
        <f t="shared" si="22"/>
        <v>63.165242165242162</v>
      </c>
      <c r="F822" s="2"/>
      <c r="G822" s="2"/>
    </row>
    <row r="823" spans="1:7" x14ac:dyDescent="0.2">
      <c r="A823" s="27" t="s">
        <v>12</v>
      </c>
      <c r="B823" s="37">
        <f>B818+B820+B822</f>
        <v>1095300</v>
      </c>
      <c r="C823" s="37">
        <f>C818+C820+C822</f>
        <v>1335300</v>
      </c>
      <c r="D823" s="25">
        <f>D818+D820+D822</f>
        <v>934256</v>
      </c>
      <c r="E823" s="60">
        <f t="shared" si="22"/>
        <v>69.966000149779077</v>
      </c>
      <c r="F823" s="2"/>
      <c r="G823" s="2"/>
    </row>
    <row r="824" spans="1:7" x14ac:dyDescent="0.2">
      <c r="A824" s="27"/>
      <c r="B824" s="106"/>
      <c r="C824" s="106"/>
      <c r="D824" s="25"/>
      <c r="E824" s="60"/>
      <c r="F824" s="2"/>
      <c r="G824" s="2"/>
    </row>
    <row r="825" spans="1:7" x14ac:dyDescent="0.2">
      <c r="A825" s="28" t="s">
        <v>13</v>
      </c>
      <c r="B825" s="112">
        <f>B806+B812+B823</f>
        <v>59826314</v>
      </c>
      <c r="C825" s="112">
        <f>C806+C812+C823</f>
        <v>58867464</v>
      </c>
      <c r="D825" s="25">
        <f>D806+D812+D823</f>
        <v>56340438</v>
      </c>
      <c r="E825" s="60">
        <f>D825/C825*100</f>
        <v>95.70726199450344</v>
      </c>
      <c r="F825" s="2"/>
      <c r="G825" s="2"/>
    </row>
    <row r="826" spans="1:7" x14ac:dyDescent="0.2">
      <c r="A826" s="104"/>
      <c r="B826" s="104"/>
      <c r="C826" s="106"/>
      <c r="D826" s="3"/>
      <c r="E826" s="3"/>
      <c r="F826" s="2"/>
      <c r="G826" s="2"/>
    </row>
    <row r="827" spans="1:7" x14ac:dyDescent="0.2">
      <c r="A827" s="107" t="s">
        <v>165</v>
      </c>
      <c r="B827" s="108"/>
      <c r="C827" s="108"/>
      <c r="D827" s="108"/>
      <c r="E827" s="109"/>
      <c r="F827" s="2"/>
      <c r="G827" s="2"/>
    </row>
    <row r="828" spans="1:7" x14ac:dyDescent="0.2">
      <c r="A828" s="20" t="s">
        <v>166</v>
      </c>
      <c r="B828" s="106">
        <v>3820800</v>
      </c>
      <c r="C828" s="106">
        <v>3820800</v>
      </c>
      <c r="D828" s="21">
        <v>3201300</v>
      </c>
      <c r="E828" s="59">
        <f>D828/C828*100</f>
        <v>83.786118090452263</v>
      </c>
      <c r="F828" s="2"/>
      <c r="G828" s="2"/>
    </row>
    <row r="829" spans="1:7" x14ac:dyDescent="0.2">
      <c r="A829" s="34" t="s">
        <v>61</v>
      </c>
      <c r="B829" s="106">
        <v>27066</v>
      </c>
      <c r="C829" s="106">
        <v>27066</v>
      </c>
      <c r="D829" s="21">
        <v>18046</v>
      </c>
      <c r="E829" s="59">
        <f>D829/C829*100</f>
        <v>66.674056011231812</v>
      </c>
      <c r="F829" s="2"/>
      <c r="G829" s="2"/>
    </row>
    <row r="830" spans="1:7" x14ac:dyDescent="0.2">
      <c r="A830" s="34" t="s">
        <v>167</v>
      </c>
      <c r="B830" s="106">
        <v>50000</v>
      </c>
      <c r="C830" s="106">
        <v>50000</v>
      </c>
      <c r="D830" s="21">
        <v>30000</v>
      </c>
      <c r="E830" s="59">
        <f>D830/C830*100</f>
        <v>60</v>
      </c>
      <c r="F830" s="2"/>
      <c r="G830" s="2"/>
    </row>
    <row r="831" spans="1:7" x14ac:dyDescent="0.2">
      <c r="A831" s="34" t="s">
        <v>168</v>
      </c>
      <c r="B831" s="106"/>
      <c r="C831" s="106"/>
      <c r="D831" s="21">
        <v>323000</v>
      </c>
      <c r="E831" s="59"/>
      <c r="F831" s="2"/>
      <c r="G831" s="2"/>
    </row>
    <row r="832" spans="1:7" x14ac:dyDescent="0.2">
      <c r="A832" s="35" t="s">
        <v>17</v>
      </c>
      <c r="B832" s="112">
        <f>SUM(B828:B830)</f>
        <v>3897866</v>
      </c>
      <c r="C832" s="112">
        <f>SUM(C828:C830)</f>
        <v>3897866</v>
      </c>
      <c r="D832" s="25">
        <f>SUM(D828:D831)</f>
        <v>3572346</v>
      </c>
      <c r="E832" s="60">
        <f>D832/C832*100</f>
        <v>91.648763708141843</v>
      </c>
      <c r="F832" s="2"/>
      <c r="G832" s="2"/>
    </row>
    <row r="833" spans="1:7" x14ac:dyDescent="0.2">
      <c r="A833" s="35"/>
      <c r="B833" s="112"/>
      <c r="C833" s="112"/>
      <c r="D833" s="21"/>
      <c r="E833" s="59"/>
      <c r="F833" s="2"/>
      <c r="G833" s="2"/>
    </row>
    <row r="834" spans="1:7" x14ac:dyDescent="0.2">
      <c r="A834" s="35"/>
      <c r="B834" s="112"/>
      <c r="C834" s="112"/>
      <c r="D834" s="21"/>
      <c r="E834" s="59"/>
      <c r="F834" s="2"/>
      <c r="G834" s="2"/>
    </row>
    <row r="835" spans="1:7" x14ac:dyDescent="0.2">
      <c r="A835" s="35"/>
      <c r="B835" s="112"/>
      <c r="C835" s="112"/>
      <c r="D835" s="21"/>
      <c r="E835" s="59"/>
      <c r="F835" s="2"/>
      <c r="G835" s="2"/>
    </row>
    <row r="836" spans="1:7" x14ac:dyDescent="0.2">
      <c r="A836" s="20" t="s">
        <v>18</v>
      </c>
      <c r="B836" s="106">
        <v>766179</v>
      </c>
      <c r="C836" s="106">
        <v>766179</v>
      </c>
      <c r="D836" s="21">
        <v>922919</v>
      </c>
      <c r="E836" s="59">
        <f>D836/C836*100</f>
        <v>120.45736048625713</v>
      </c>
      <c r="F836" s="2"/>
      <c r="G836" s="2"/>
    </row>
    <row r="837" spans="1:7" x14ac:dyDescent="0.2">
      <c r="A837" s="20" t="s">
        <v>44</v>
      </c>
      <c r="B837" s="106"/>
      <c r="C837" s="106"/>
      <c r="D837" s="21">
        <v>6903</v>
      </c>
      <c r="E837" s="59"/>
      <c r="F837" s="2"/>
      <c r="G837" s="2"/>
    </row>
    <row r="838" spans="1:7" x14ac:dyDescent="0.2">
      <c r="A838" s="20" t="s">
        <v>39</v>
      </c>
      <c r="B838" s="106">
        <v>15000</v>
      </c>
      <c r="C838" s="106">
        <v>15000</v>
      </c>
      <c r="D838" s="21">
        <v>0</v>
      </c>
      <c r="E838" s="59">
        <f>D838/C838*100</f>
        <v>0</v>
      </c>
      <c r="F838" s="2"/>
      <c r="G838" s="2"/>
    </row>
    <row r="839" spans="1:7" x14ac:dyDescent="0.2">
      <c r="A839" s="20" t="s">
        <v>65</v>
      </c>
      <c r="B839" s="106"/>
      <c r="C839" s="106"/>
      <c r="D839" s="21">
        <v>5310</v>
      </c>
      <c r="E839" s="59"/>
      <c r="F839" s="2"/>
      <c r="G839" s="2"/>
    </row>
    <row r="840" spans="1:7" x14ac:dyDescent="0.2">
      <c r="A840" s="35" t="s">
        <v>19</v>
      </c>
      <c r="B840" s="112">
        <f>SUM(B836:B838)</f>
        <v>781179</v>
      </c>
      <c r="C840" s="112">
        <f>SUM(C836:C838)</f>
        <v>781179</v>
      </c>
      <c r="D840" s="25">
        <f>SUM(D836:D839)</f>
        <v>935132</v>
      </c>
      <c r="E840" s="60">
        <f>D840/C840*100</f>
        <v>119.70777504259587</v>
      </c>
      <c r="F840" s="2"/>
      <c r="G840" s="2"/>
    </row>
    <row r="841" spans="1:7" x14ac:dyDescent="0.2">
      <c r="A841" s="35"/>
      <c r="B841" s="106"/>
      <c r="C841" s="106"/>
      <c r="D841" s="21"/>
      <c r="E841" s="59"/>
      <c r="F841" s="2"/>
      <c r="G841" s="2"/>
    </row>
    <row r="842" spans="1:7" x14ac:dyDescent="0.2">
      <c r="A842" s="20" t="s">
        <v>169</v>
      </c>
      <c r="B842" s="32">
        <v>610000</v>
      </c>
      <c r="C842" s="33">
        <v>610000</v>
      </c>
      <c r="D842" s="21">
        <v>611922</v>
      </c>
      <c r="E842" s="59">
        <f t="shared" ref="E842:E862" si="23">D842/C842*100</f>
        <v>100.3150819672131</v>
      </c>
      <c r="F842" s="2"/>
      <c r="G842" s="2"/>
    </row>
    <row r="843" spans="1:7" x14ac:dyDescent="0.2">
      <c r="A843" s="20" t="s">
        <v>102</v>
      </c>
      <c r="B843" s="32">
        <v>250000</v>
      </c>
      <c r="C843" s="33">
        <v>250000</v>
      </c>
      <c r="D843" s="21">
        <f>775165-D842-D844</f>
        <v>152243</v>
      </c>
      <c r="E843" s="59">
        <f t="shared" si="23"/>
        <v>60.897199999999998</v>
      </c>
      <c r="F843" s="2"/>
      <c r="G843" s="2"/>
    </row>
    <row r="844" spans="1:7" x14ac:dyDescent="0.2">
      <c r="A844" s="20" t="s">
        <v>21</v>
      </c>
      <c r="B844" s="113">
        <v>30000</v>
      </c>
      <c r="C844" s="67">
        <v>30000</v>
      </c>
      <c r="D844" s="21">
        <v>11000</v>
      </c>
      <c r="E844" s="59">
        <f t="shared" si="23"/>
        <v>36.666666666666664</v>
      </c>
      <c r="F844" s="2"/>
      <c r="G844" s="2"/>
    </row>
    <row r="845" spans="1:7" x14ac:dyDescent="0.2">
      <c r="A845" s="39" t="s">
        <v>24</v>
      </c>
      <c r="B845" s="56">
        <f>SUM(B842:B844)</f>
        <v>890000</v>
      </c>
      <c r="C845" s="56">
        <f>SUM(C842:C844)</f>
        <v>890000</v>
      </c>
      <c r="D845" s="25">
        <f>SUM(D842:D844)</f>
        <v>775165</v>
      </c>
      <c r="E845" s="60">
        <f t="shared" si="23"/>
        <v>87.09719101123595</v>
      </c>
      <c r="F845" s="2"/>
      <c r="G845" s="2"/>
    </row>
    <row r="846" spans="1:7" x14ac:dyDescent="0.2">
      <c r="A846" s="20" t="s">
        <v>22</v>
      </c>
      <c r="B846" s="67">
        <v>60000</v>
      </c>
      <c r="C846" s="67">
        <v>60000</v>
      </c>
      <c r="D846" s="21">
        <f>70020-D847-D848</f>
        <v>56209</v>
      </c>
      <c r="E846" s="59">
        <f t="shared" si="23"/>
        <v>93.681666666666658</v>
      </c>
      <c r="F846" s="2"/>
      <c r="G846" s="2"/>
    </row>
    <row r="847" spans="1:7" x14ac:dyDescent="0.2">
      <c r="A847" s="20" t="s">
        <v>128</v>
      </c>
      <c r="B847" s="67">
        <v>12000</v>
      </c>
      <c r="C847" s="67">
        <v>12000</v>
      </c>
      <c r="D847" s="21">
        <v>12000</v>
      </c>
      <c r="E847" s="59">
        <f t="shared" si="23"/>
        <v>100</v>
      </c>
      <c r="F847" s="2"/>
      <c r="G847" s="2"/>
    </row>
    <row r="848" spans="1:7" x14ac:dyDescent="0.2">
      <c r="A848" s="20" t="s">
        <v>23</v>
      </c>
      <c r="B848" s="67">
        <v>50000</v>
      </c>
      <c r="C848" s="67">
        <v>50000</v>
      </c>
      <c r="D848" s="21">
        <v>1811</v>
      </c>
      <c r="E848" s="59">
        <f t="shared" si="23"/>
        <v>3.6220000000000003</v>
      </c>
      <c r="F848" s="2"/>
      <c r="G848" s="2"/>
    </row>
    <row r="849" spans="1:7" x14ac:dyDescent="0.2">
      <c r="A849" s="39" t="s">
        <v>40</v>
      </c>
      <c r="B849" s="56">
        <f>SUM(B846:B848)</f>
        <v>122000</v>
      </c>
      <c r="C849" s="56">
        <f>SUM(C846:C848)</f>
        <v>122000</v>
      </c>
      <c r="D849" s="25">
        <f>SUM(D846:D848)</f>
        <v>70020</v>
      </c>
      <c r="E849" s="60">
        <f t="shared" si="23"/>
        <v>57.393442622950822</v>
      </c>
      <c r="F849" s="2"/>
      <c r="G849" s="2"/>
    </row>
    <row r="850" spans="1:7" x14ac:dyDescent="0.2">
      <c r="A850" s="20" t="s">
        <v>104</v>
      </c>
      <c r="B850" s="33">
        <v>60000</v>
      </c>
      <c r="C850" s="33">
        <v>60000</v>
      </c>
      <c r="D850" s="21">
        <v>48571</v>
      </c>
      <c r="E850" s="59">
        <f t="shared" si="23"/>
        <v>80.951666666666668</v>
      </c>
      <c r="F850" s="2"/>
      <c r="G850" s="2"/>
    </row>
    <row r="851" spans="1:7" x14ac:dyDescent="0.2">
      <c r="A851" s="23" t="s">
        <v>26</v>
      </c>
      <c r="B851" s="37">
        <f>SUM(B850:B850)</f>
        <v>60000</v>
      </c>
      <c r="C851" s="37">
        <f>SUM(C850:C850)</f>
        <v>60000</v>
      </c>
      <c r="D851" s="25">
        <f>SUM(D850)</f>
        <v>48571</v>
      </c>
      <c r="E851" s="60">
        <f t="shared" si="23"/>
        <v>80.951666666666668</v>
      </c>
      <c r="F851" s="2"/>
      <c r="G851" s="2"/>
    </row>
    <row r="852" spans="1:7" x14ac:dyDescent="0.2">
      <c r="A852" s="20" t="s">
        <v>27</v>
      </c>
      <c r="B852" s="33">
        <v>270000</v>
      </c>
      <c r="C852" s="33">
        <v>270000</v>
      </c>
      <c r="D852" s="21">
        <f>401126-D853-D854</f>
        <v>291222</v>
      </c>
      <c r="E852" s="59">
        <f t="shared" si="23"/>
        <v>107.86</v>
      </c>
      <c r="F852" s="2"/>
      <c r="G852" s="2"/>
    </row>
    <row r="853" spans="1:7" x14ac:dyDescent="0.2">
      <c r="A853" s="20" t="s">
        <v>9</v>
      </c>
      <c r="B853" s="33">
        <v>120000</v>
      </c>
      <c r="C853" s="33">
        <v>120000</v>
      </c>
      <c r="D853" s="21">
        <v>98384</v>
      </c>
      <c r="E853" s="59">
        <f t="shared" si="23"/>
        <v>81.986666666666665</v>
      </c>
      <c r="F853" s="2"/>
      <c r="G853" s="2"/>
    </row>
    <row r="854" spans="1:7" x14ac:dyDescent="0.2">
      <c r="A854" s="20" t="s">
        <v>28</v>
      </c>
      <c r="B854" s="33">
        <v>15000</v>
      </c>
      <c r="C854" s="33">
        <v>15000</v>
      </c>
      <c r="D854" s="21">
        <v>11520</v>
      </c>
      <c r="E854" s="59">
        <f t="shared" si="23"/>
        <v>76.8</v>
      </c>
      <c r="F854" s="2"/>
      <c r="G854" s="2"/>
    </row>
    <row r="855" spans="1:7" x14ac:dyDescent="0.2">
      <c r="A855" s="23" t="s">
        <v>11</v>
      </c>
      <c r="B855" s="37">
        <f>SUM(B852:B854)</f>
        <v>405000</v>
      </c>
      <c r="C855" s="37">
        <f>SUM(C852:C854)</f>
        <v>405000</v>
      </c>
      <c r="D855" s="25">
        <f>SUM(D852:D854)</f>
        <v>401126</v>
      </c>
      <c r="E855" s="60">
        <f t="shared" si="23"/>
        <v>99.043456790123457</v>
      </c>
      <c r="F855" s="2"/>
      <c r="G855" s="2"/>
    </row>
    <row r="856" spans="1:7" x14ac:dyDescent="0.2">
      <c r="A856" s="20" t="s">
        <v>29</v>
      </c>
      <c r="B856" s="33">
        <v>50000</v>
      </c>
      <c r="C856" s="33">
        <f>50000+236220</f>
        <v>286220</v>
      </c>
      <c r="D856" s="21">
        <v>307400</v>
      </c>
      <c r="E856" s="59">
        <f t="shared" si="23"/>
        <v>107.39990217315352</v>
      </c>
      <c r="F856" s="2"/>
      <c r="G856" s="2"/>
    </row>
    <row r="857" spans="1:7" x14ac:dyDescent="0.2">
      <c r="A857" s="20" t="s">
        <v>170</v>
      </c>
      <c r="B857" s="33">
        <f>1300000-50000</f>
        <v>1250000</v>
      </c>
      <c r="C857" s="33">
        <f>1300000-50000</f>
        <v>1250000</v>
      </c>
      <c r="D857" s="21">
        <v>1232238</v>
      </c>
      <c r="E857" s="59">
        <f t="shared" si="23"/>
        <v>98.579039999999992</v>
      </c>
      <c r="F857" s="2"/>
      <c r="G857" s="2"/>
    </row>
    <row r="858" spans="1:7" x14ac:dyDescent="0.2">
      <c r="A858" s="20" t="s">
        <v>31</v>
      </c>
      <c r="B858" s="19">
        <v>80000</v>
      </c>
      <c r="C858" s="19">
        <v>80000</v>
      </c>
      <c r="D858" s="21">
        <v>41903</v>
      </c>
      <c r="E858" s="59">
        <f t="shared" si="23"/>
        <v>52.378749999999997</v>
      </c>
      <c r="F858" s="2"/>
      <c r="G858" s="2"/>
    </row>
    <row r="859" spans="1:7" x14ac:dyDescent="0.2">
      <c r="A859" s="23" t="s">
        <v>32</v>
      </c>
      <c r="B859" s="37">
        <f>SUM(B856:B858)</f>
        <v>1380000</v>
      </c>
      <c r="C859" s="37">
        <f>SUM(C856:C858)</f>
        <v>1616220</v>
      </c>
      <c r="D859" s="25">
        <f>SUM(D856:D858)</f>
        <v>1581541</v>
      </c>
      <c r="E859" s="60">
        <f t="shared" si="23"/>
        <v>97.854314387892742</v>
      </c>
      <c r="F859" s="2"/>
      <c r="G859" s="2"/>
    </row>
    <row r="860" spans="1:7" x14ac:dyDescent="0.2">
      <c r="A860" s="20" t="s">
        <v>10</v>
      </c>
      <c r="B860" s="33">
        <f>B842*0.05+(B843+B857)*0.05+(B846+B847+B848+B850+B852+B854+B856+B858+B853+B844)*0.27</f>
        <v>307190</v>
      </c>
      <c r="C860" s="33">
        <f>C842*0.05+(C843+C857)*0.05+(C846+C847+C848+C850+C852+C854+C856+C858+C853+C844)*0.27-236220*0.27+63780</f>
        <v>370970</v>
      </c>
      <c r="D860" s="21">
        <v>273960</v>
      </c>
      <c r="E860" s="59">
        <f t="shared" si="23"/>
        <v>73.849637436989511</v>
      </c>
      <c r="F860" s="2"/>
      <c r="G860" s="2"/>
    </row>
    <row r="861" spans="1:7" x14ac:dyDescent="0.2">
      <c r="A861" s="39" t="s">
        <v>34</v>
      </c>
      <c r="B861" s="37">
        <f>SUM(B860:B860)</f>
        <v>307190</v>
      </c>
      <c r="C861" s="37">
        <f>SUM(C860:C860)</f>
        <v>370970</v>
      </c>
      <c r="D861" s="25">
        <f>SUM(D860)</f>
        <v>273960</v>
      </c>
      <c r="E861" s="60">
        <f t="shared" si="23"/>
        <v>73.849637436989511</v>
      </c>
      <c r="F861" s="2"/>
      <c r="G861" s="2"/>
    </row>
    <row r="862" spans="1:7" x14ac:dyDescent="0.2">
      <c r="A862" s="27" t="s">
        <v>12</v>
      </c>
      <c r="B862" s="37">
        <f>B845+B849+B851+B855+B859+B861</f>
        <v>3164190</v>
      </c>
      <c r="C862" s="37">
        <f>C845+C849+C851+C855+C859+C861</f>
        <v>3464190</v>
      </c>
      <c r="D862" s="25">
        <f>D845+D849+D851+D855+D859+D861</f>
        <v>3150383</v>
      </c>
      <c r="E862" s="60">
        <f t="shared" si="23"/>
        <v>90.941403329494051</v>
      </c>
      <c r="F862" s="2"/>
      <c r="G862" s="2"/>
    </row>
    <row r="863" spans="1:7" x14ac:dyDescent="0.2">
      <c r="A863" s="27"/>
      <c r="B863" s="106"/>
      <c r="C863" s="106"/>
      <c r="D863" s="25"/>
      <c r="E863" s="60"/>
      <c r="F863" s="2"/>
      <c r="G863" s="2"/>
    </row>
    <row r="864" spans="1:7" x14ac:dyDescent="0.2">
      <c r="A864" s="28" t="s">
        <v>13</v>
      </c>
      <c r="B864" s="112">
        <f>B832+B840+B862</f>
        <v>7843235</v>
      </c>
      <c r="C864" s="112">
        <f>C832+C840+C862</f>
        <v>8143235</v>
      </c>
      <c r="D864" s="25">
        <f>D832+D840+D862</f>
        <v>7657861</v>
      </c>
      <c r="E864" s="60">
        <f>D864/C864*100</f>
        <v>94.039543252773612</v>
      </c>
      <c r="F864" s="2"/>
      <c r="G864" s="2"/>
    </row>
    <row r="865" spans="1:7" x14ac:dyDescent="0.2">
      <c r="A865" s="104"/>
      <c r="B865" s="28"/>
      <c r="C865" s="106"/>
      <c r="D865" s="3"/>
      <c r="E865" s="59"/>
      <c r="F865" s="2"/>
      <c r="G865" s="2"/>
    </row>
    <row r="866" spans="1:7" x14ac:dyDescent="0.2">
      <c r="A866" s="35" t="s">
        <v>17</v>
      </c>
      <c r="B866" s="112">
        <f>B768+B806+B832+B743</f>
        <v>69194721</v>
      </c>
      <c r="C866" s="112">
        <f>C768+C806+C832+C743</f>
        <v>69712536</v>
      </c>
      <c r="D866" s="112">
        <f>D768+D806+D832+D743</f>
        <v>68016121</v>
      </c>
      <c r="E866" s="59">
        <f>D866/C866*100</f>
        <v>97.566556752432589</v>
      </c>
      <c r="F866" s="2"/>
      <c r="G866" s="2"/>
    </row>
    <row r="867" spans="1:7" x14ac:dyDescent="0.2">
      <c r="A867" s="35" t="s">
        <v>19</v>
      </c>
      <c r="B867" s="112">
        <f>B774+B812+B840+B747</f>
        <v>14256215</v>
      </c>
      <c r="C867" s="112">
        <f>C774+C812+C840+C747</f>
        <v>14287500</v>
      </c>
      <c r="D867" s="112">
        <f>D774+D812+D840+D747</f>
        <v>13222022</v>
      </c>
      <c r="E867" s="59">
        <f>D867/C867*100</f>
        <v>92.542586176727909</v>
      </c>
      <c r="F867" s="2"/>
      <c r="G867" s="2"/>
    </row>
    <row r="868" spans="1:7" x14ac:dyDescent="0.2">
      <c r="A868" s="27" t="s">
        <v>89</v>
      </c>
      <c r="B868" s="112">
        <f>B759+B794+B823+B862</f>
        <v>60770780</v>
      </c>
      <c r="C868" s="112">
        <f>C759+C794+C823+C862</f>
        <v>62092780</v>
      </c>
      <c r="D868" s="112">
        <f>D759+D794+D823+D862+D751</f>
        <v>58436336</v>
      </c>
      <c r="E868" s="59">
        <f>D868/C868*100</f>
        <v>94.11132179941049</v>
      </c>
      <c r="F868" s="2"/>
      <c r="G868" s="2"/>
    </row>
    <row r="869" spans="1:7" ht="33.75" x14ac:dyDescent="0.2">
      <c r="A869" s="100" t="s">
        <v>171</v>
      </c>
      <c r="B869" s="112">
        <f>SUM(B866:B868)</f>
        <v>144221716</v>
      </c>
      <c r="C869" s="112">
        <f>SUM(C866:C868)</f>
        <v>146092816</v>
      </c>
      <c r="D869" s="112">
        <f>SUM(D866:D868)</f>
        <v>139674479</v>
      </c>
      <c r="E869" s="59">
        <f>D869/C869*100</f>
        <v>95.606671720257623</v>
      </c>
      <c r="F869" s="70"/>
      <c r="G869" s="70"/>
    </row>
    <row r="870" spans="1:7" x14ac:dyDescent="0.2">
      <c r="A870" s="3"/>
      <c r="B870" s="100"/>
      <c r="C870" s="3"/>
      <c r="D870" s="3"/>
      <c r="E870" s="3"/>
      <c r="F870" s="2"/>
      <c r="G870" s="2"/>
    </row>
    <row r="871" spans="1:7" x14ac:dyDescent="0.2">
      <c r="A871" s="3"/>
      <c r="B871" s="3"/>
      <c r="C871" s="3"/>
      <c r="D871" s="3"/>
      <c r="E871" s="3"/>
      <c r="F871" s="2"/>
      <c r="G871" s="2"/>
    </row>
    <row r="872" spans="1:7" x14ac:dyDescent="0.2">
      <c r="A872" s="3"/>
      <c r="B872" s="3"/>
      <c r="C872" s="3"/>
      <c r="D872" s="3"/>
      <c r="E872" s="3"/>
      <c r="F872" s="2"/>
      <c r="G872" s="2"/>
    </row>
    <row r="873" spans="1:7" x14ac:dyDescent="0.2">
      <c r="A873" s="3"/>
      <c r="B873" s="3"/>
      <c r="C873" s="3"/>
      <c r="D873" s="3"/>
      <c r="E873" s="3"/>
      <c r="F873" s="2"/>
      <c r="G873" s="2"/>
    </row>
    <row r="874" spans="1:7" x14ac:dyDescent="0.2">
      <c r="A874" s="3"/>
      <c r="B874" s="3"/>
      <c r="C874" s="3"/>
      <c r="D874" s="3"/>
      <c r="E874" s="3"/>
      <c r="F874" s="2"/>
      <c r="G874" s="2"/>
    </row>
    <row r="875" spans="1:7" x14ac:dyDescent="0.2">
      <c r="A875" s="3"/>
      <c r="B875" s="3"/>
      <c r="C875" s="3"/>
      <c r="D875" s="3"/>
      <c r="E875" s="3"/>
      <c r="F875" s="2"/>
      <c r="G875" s="2"/>
    </row>
    <row r="876" spans="1:7" x14ac:dyDescent="0.2">
      <c r="A876" s="3"/>
      <c r="B876" s="3"/>
      <c r="C876" s="3"/>
      <c r="D876" s="3"/>
      <c r="E876" s="3"/>
      <c r="F876" s="2"/>
      <c r="G876" s="2"/>
    </row>
    <row r="877" spans="1:7" x14ac:dyDescent="0.2">
      <c r="A877" s="3"/>
      <c r="B877" s="3"/>
      <c r="C877" s="3"/>
      <c r="D877" s="3"/>
      <c r="E877" s="3"/>
      <c r="F877" s="2"/>
      <c r="G877" s="2"/>
    </row>
    <row r="878" spans="1:7" x14ac:dyDescent="0.2">
      <c r="A878" s="3"/>
      <c r="B878" s="3"/>
      <c r="C878" s="3"/>
      <c r="D878" s="3"/>
      <c r="E878" s="3"/>
      <c r="F878" s="2"/>
      <c r="G878" s="2"/>
    </row>
    <row r="879" spans="1:7" x14ac:dyDescent="0.2">
      <c r="A879" s="3"/>
      <c r="B879" s="3"/>
      <c r="C879" s="3"/>
      <c r="D879" s="3"/>
      <c r="E879" s="3"/>
      <c r="F879" s="2"/>
      <c r="G879" s="2"/>
    </row>
    <row r="880" spans="1:7" x14ac:dyDescent="0.2">
      <c r="A880" s="3"/>
      <c r="B880" s="3"/>
      <c r="C880" s="3"/>
      <c r="D880" s="3"/>
      <c r="E880" s="3"/>
      <c r="F880" s="2"/>
      <c r="G880" s="2"/>
    </row>
    <row r="881" spans="1:7" x14ac:dyDescent="0.2">
      <c r="A881" s="3"/>
      <c r="B881" s="3"/>
      <c r="C881" s="3"/>
      <c r="D881" s="3"/>
      <c r="E881" s="3"/>
      <c r="F881" s="2"/>
      <c r="G881" s="2"/>
    </row>
    <row r="882" spans="1:7" x14ac:dyDescent="0.2">
      <c r="A882" s="3"/>
      <c r="B882" s="3"/>
      <c r="C882" s="3"/>
      <c r="D882" s="3"/>
      <c r="E882" s="3"/>
      <c r="F882" s="2"/>
      <c r="G882" s="2"/>
    </row>
    <row r="883" spans="1:7" x14ac:dyDescent="0.2">
      <c r="A883" s="3"/>
      <c r="B883" s="3"/>
      <c r="C883" s="3"/>
      <c r="D883" s="3"/>
      <c r="E883" s="3"/>
      <c r="F883" s="2"/>
      <c r="G883" s="2"/>
    </row>
    <row r="884" spans="1:7" x14ac:dyDescent="0.2">
      <c r="A884" s="3"/>
      <c r="B884" s="3"/>
      <c r="C884" s="3"/>
      <c r="D884" s="3"/>
      <c r="E884" s="3"/>
      <c r="F884" s="2"/>
      <c r="G884" s="2"/>
    </row>
    <row r="885" spans="1:7" x14ac:dyDescent="0.2">
      <c r="A885" s="3"/>
      <c r="B885" s="3"/>
      <c r="C885" s="3"/>
      <c r="D885" s="3"/>
      <c r="E885" s="3"/>
      <c r="F885" s="2"/>
      <c r="G885" s="2"/>
    </row>
    <row r="886" spans="1:7" x14ac:dyDescent="0.2">
      <c r="A886" s="3"/>
      <c r="B886" s="3"/>
      <c r="C886" s="3"/>
      <c r="D886" s="3"/>
      <c r="E886" s="3"/>
      <c r="F886" s="2"/>
      <c r="G886" s="2"/>
    </row>
    <row r="887" spans="1:7" x14ac:dyDescent="0.2">
      <c r="A887" s="3"/>
      <c r="B887" s="3"/>
      <c r="C887" s="3"/>
      <c r="D887" s="3"/>
      <c r="E887" s="3"/>
      <c r="F887" s="2"/>
      <c r="G887" s="2"/>
    </row>
    <row r="888" spans="1:7" x14ac:dyDescent="0.2">
      <c r="A888" s="3"/>
      <c r="B888" s="3"/>
      <c r="C888" s="3"/>
      <c r="D888" s="3"/>
      <c r="E888" s="3"/>
      <c r="F888" s="2"/>
      <c r="G888" s="2"/>
    </row>
    <row r="889" spans="1:7" x14ac:dyDescent="0.2">
      <c r="A889" s="3"/>
      <c r="B889" s="3"/>
      <c r="C889" s="3"/>
      <c r="D889" s="3"/>
      <c r="E889" s="3"/>
      <c r="F889" s="2"/>
      <c r="G889" s="2"/>
    </row>
    <row r="890" spans="1:7" x14ac:dyDescent="0.2">
      <c r="A890" s="3"/>
      <c r="B890" s="3"/>
      <c r="C890" s="3"/>
      <c r="D890" s="3"/>
      <c r="E890" s="3"/>
      <c r="F890" s="2"/>
      <c r="G890" s="2"/>
    </row>
    <row r="891" spans="1:7" x14ac:dyDescent="0.2">
      <c r="A891" s="3"/>
      <c r="B891" s="3"/>
      <c r="C891" s="3"/>
      <c r="D891" s="3"/>
      <c r="E891" s="3"/>
      <c r="F891" s="2"/>
      <c r="G891" s="2"/>
    </row>
    <row r="892" spans="1:7" x14ac:dyDescent="0.2">
      <c r="A892" s="3"/>
      <c r="B892" s="3"/>
      <c r="C892" s="3"/>
      <c r="D892" s="3"/>
      <c r="E892" s="3"/>
      <c r="F892" s="2"/>
      <c r="G892" s="2"/>
    </row>
    <row r="893" spans="1:7" x14ac:dyDescent="0.2">
      <c r="A893" s="3"/>
      <c r="B893" s="3"/>
      <c r="C893" s="3"/>
      <c r="D893" s="3"/>
      <c r="E893" s="3"/>
      <c r="F893" s="2"/>
      <c r="G893" s="2"/>
    </row>
    <row r="894" spans="1:7" x14ac:dyDescent="0.2">
      <c r="A894" s="3"/>
      <c r="B894" s="3"/>
      <c r="C894" s="3"/>
      <c r="D894" s="3"/>
      <c r="E894" s="3"/>
      <c r="F894" s="2"/>
      <c r="G894" s="2"/>
    </row>
    <row r="895" spans="1:7" x14ac:dyDescent="0.2">
      <c r="A895" s="3"/>
      <c r="B895" s="3"/>
      <c r="C895" s="3"/>
      <c r="D895" s="3"/>
      <c r="E895" s="3"/>
      <c r="F895" s="2"/>
      <c r="G895" s="2"/>
    </row>
    <row r="896" spans="1:7" x14ac:dyDescent="0.2">
      <c r="A896" s="3"/>
      <c r="B896" s="3"/>
      <c r="C896" s="3"/>
      <c r="D896" s="3"/>
      <c r="E896" s="3"/>
      <c r="F896" s="2"/>
      <c r="G896" s="2"/>
    </row>
    <row r="897" spans="1:7" x14ac:dyDescent="0.2">
      <c r="A897" s="3"/>
      <c r="B897" s="3"/>
      <c r="C897" s="3"/>
      <c r="D897" s="3"/>
      <c r="E897" s="3"/>
      <c r="F897" s="2"/>
      <c r="G897" s="2"/>
    </row>
    <row r="898" spans="1:7" x14ac:dyDescent="0.2">
      <c r="A898" s="3"/>
      <c r="B898" s="3"/>
      <c r="C898" s="3"/>
      <c r="D898" s="3"/>
      <c r="E898" s="3"/>
      <c r="F898" s="2"/>
      <c r="G898" s="2"/>
    </row>
    <row r="899" spans="1:7" x14ac:dyDescent="0.2">
      <c r="A899" s="3"/>
      <c r="B899" s="3"/>
      <c r="C899" s="3"/>
      <c r="D899" s="3"/>
      <c r="E899" s="3"/>
      <c r="F899" s="2"/>
      <c r="G899" s="2"/>
    </row>
    <row r="900" spans="1:7" x14ac:dyDescent="0.2">
      <c r="A900" s="3"/>
      <c r="B900" s="3"/>
      <c r="C900" s="3"/>
      <c r="D900" s="3"/>
      <c r="E900" s="3"/>
      <c r="F900" s="2"/>
      <c r="G900" s="2"/>
    </row>
    <row r="901" spans="1:7" x14ac:dyDescent="0.2">
      <c r="A901" s="3"/>
      <c r="B901" s="3"/>
      <c r="C901" s="3"/>
      <c r="D901" s="3"/>
      <c r="E901" s="3"/>
      <c r="F901" s="2"/>
      <c r="G901" s="2"/>
    </row>
    <row r="902" spans="1:7" x14ac:dyDescent="0.2">
      <c r="A902" s="3"/>
      <c r="B902" s="3"/>
      <c r="C902" s="3"/>
      <c r="D902" s="3"/>
      <c r="E902" s="3"/>
      <c r="F902" s="2"/>
      <c r="G902" s="2"/>
    </row>
    <row r="903" spans="1:7" x14ac:dyDescent="0.2">
      <c r="A903" s="3"/>
      <c r="B903" s="3"/>
      <c r="C903" s="3"/>
      <c r="D903" s="3"/>
      <c r="E903" s="3"/>
      <c r="F903" s="2"/>
      <c r="G903" s="2"/>
    </row>
    <row r="904" spans="1:7" x14ac:dyDescent="0.2">
      <c r="A904" s="3"/>
      <c r="B904" s="3"/>
      <c r="C904" s="3"/>
      <c r="D904" s="3"/>
      <c r="E904" s="3"/>
      <c r="F904" s="2"/>
      <c r="G904" s="2"/>
    </row>
    <row r="905" spans="1:7" x14ac:dyDescent="0.2">
      <c r="A905" s="3"/>
      <c r="B905" s="3"/>
      <c r="C905" s="3"/>
      <c r="D905" s="3"/>
      <c r="E905" s="3"/>
      <c r="F905" s="2"/>
      <c r="G905" s="2"/>
    </row>
    <row r="906" spans="1:7" x14ac:dyDescent="0.2">
      <c r="A906" s="3"/>
      <c r="B906" s="3"/>
      <c r="C906" s="3"/>
      <c r="D906" s="3"/>
      <c r="E906" s="3"/>
      <c r="F906" s="2"/>
      <c r="G906" s="2"/>
    </row>
    <row r="907" spans="1:7" x14ac:dyDescent="0.2">
      <c r="A907" s="3"/>
      <c r="B907" s="3"/>
      <c r="C907" s="3"/>
      <c r="D907" s="3"/>
      <c r="E907" s="3"/>
      <c r="F907" s="2"/>
      <c r="G907" s="2"/>
    </row>
    <row r="908" spans="1:7" x14ac:dyDescent="0.2">
      <c r="A908" s="3"/>
      <c r="B908" s="3"/>
      <c r="C908" s="3"/>
      <c r="D908" s="3"/>
      <c r="E908" s="3"/>
      <c r="F908" s="2"/>
      <c r="G908" s="2"/>
    </row>
    <row r="909" spans="1:7" x14ac:dyDescent="0.2">
      <c r="A909" s="3"/>
      <c r="B909" s="3"/>
      <c r="C909" s="3"/>
      <c r="D909" s="3"/>
      <c r="E909" s="3"/>
      <c r="F909" s="2"/>
      <c r="G909" s="2"/>
    </row>
    <row r="910" spans="1:7" x14ac:dyDescent="0.2">
      <c r="A910" s="3"/>
      <c r="B910" s="3"/>
      <c r="C910" s="3"/>
      <c r="D910" s="3"/>
      <c r="E910" s="3"/>
      <c r="F910" s="2"/>
      <c r="G910" s="2"/>
    </row>
    <row r="911" spans="1:7" x14ac:dyDescent="0.2">
      <c r="A911" s="3"/>
      <c r="B911" s="3"/>
      <c r="C911" s="3"/>
      <c r="D911" s="3"/>
      <c r="E911" s="3"/>
      <c r="F911" s="2"/>
      <c r="G911" s="2"/>
    </row>
    <row r="912" spans="1:7" x14ac:dyDescent="0.2">
      <c r="A912" s="3"/>
      <c r="B912" s="3"/>
      <c r="C912" s="3"/>
      <c r="D912" s="3"/>
      <c r="E912" s="3"/>
      <c r="F912" s="2"/>
      <c r="G912" s="2"/>
    </row>
    <row r="913" spans="1:7" x14ac:dyDescent="0.2">
      <c r="A913" s="3"/>
      <c r="B913" s="3"/>
      <c r="C913" s="3"/>
      <c r="D913" s="3"/>
      <c r="E913" s="3"/>
      <c r="F913" s="2"/>
      <c r="G913" s="2"/>
    </row>
    <row r="914" spans="1:7" x14ac:dyDescent="0.2">
      <c r="A914" s="3"/>
      <c r="B914" s="3"/>
      <c r="C914" s="3"/>
      <c r="D914" s="3"/>
      <c r="E914" s="3"/>
      <c r="F914" s="2"/>
      <c r="G914" s="2"/>
    </row>
    <row r="915" spans="1:7" x14ac:dyDescent="0.2">
      <c r="A915" s="3"/>
      <c r="B915" s="3"/>
      <c r="C915" s="3"/>
      <c r="D915" s="3"/>
      <c r="E915" s="3"/>
      <c r="F915" s="2"/>
      <c r="G915" s="2"/>
    </row>
    <row r="916" spans="1:7" x14ac:dyDescent="0.2">
      <c r="A916" s="3"/>
      <c r="B916" s="3"/>
      <c r="C916" s="3"/>
      <c r="D916" s="3"/>
      <c r="E916" s="3"/>
      <c r="F916" s="2"/>
      <c r="G916" s="2"/>
    </row>
    <row r="917" spans="1:7" x14ac:dyDescent="0.2">
      <c r="A917" s="3"/>
      <c r="B917" s="3"/>
      <c r="C917" s="3"/>
      <c r="D917" s="3"/>
      <c r="E917" s="3"/>
      <c r="F917" s="2"/>
      <c r="G917" s="2"/>
    </row>
    <row r="918" spans="1:7" x14ac:dyDescent="0.2">
      <c r="A918" s="3"/>
      <c r="B918" s="3"/>
      <c r="C918" s="3"/>
      <c r="D918" s="3"/>
      <c r="E918" s="3"/>
      <c r="F918" s="2"/>
      <c r="G918" s="2"/>
    </row>
    <row r="919" spans="1:7" x14ac:dyDescent="0.2">
      <c r="A919" s="3"/>
      <c r="B919" s="3"/>
      <c r="C919" s="3"/>
      <c r="D919" s="3"/>
      <c r="E919" s="3"/>
      <c r="F919" s="2"/>
      <c r="G919" s="2"/>
    </row>
    <row r="920" spans="1:7" x14ac:dyDescent="0.2">
      <c r="A920" s="3"/>
      <c r="B920" s="3"/>
      <c r="C920" s="3"/>
      <c r="D920" s="3"/>
      <c r="E920" s="3"/>
      <c r="F920" s="2"/>
      <c r="G920" s="2"/>
    </row>
    <row r="921" spans="1:7" x14ac:dyDescent="0.2">
      <c r="A921" s="3"/>
      <c r="B921" s="3"/>
      <c r="C921" s="3"/>
      <c r="D921" s="3"/>
      <c r="E921" s="3"/>
      <c r="F921" s="2"/>
      <c r="G921" s="2"/>
    </row>
    <row r="922" spans="1:7" x14ac:dyDescent="0.2">
      <c r="A922" s="3"/>
      <c r="B922" s="3"/>
      <c r="C922" s="3"/>
      <c r="D922" s="3"/>
      <c r="E922" s="3"/>
      <c r="F922" s="2"/>
      <c r="G922" s="2"/>
    </row>
    <row r="923" spans="1:7" x14ac:dyDescent="0.2">
      <c r="A923" s="3"/>
      <c r="B923" s="3"/>
      <c r="C923" s="3"/>
      <c r="D923" s="3"/>
      <c r="E923" s="3"/>
      <c r="F923" s="2"/>
      <c r="G923" s="2"/>
    </row>
    <row r="924" spans="1:7" x14ac:dyDescent="0.2">
      <c r="A924" s="3"/>
      <c r="B924" s="3"/>
      <c r="C924" s="3"/>
      <c r="D924" s="3"/>
      <c r="E924" s="3"/>
      <c r="F924" s="2"/>
      <c r="G924" s="2"/>
    </row>
    <row r="925" spans="1:7" x14ac:dyDescent="0.2">
      <c r="A925" s="3"/>
      <c r="B925" s="3"/>
      <c r="C925" s="3"/>
      <c r="D925" s="3"/>
      <c r="E925" s="3"/>
      <c r="F925" s="2"/>
      <c r="G925" s="2"/>
    </row>
    <row r="926" spans="1:7" x14ac:dyDescent="0.2">
      <c r="A926" s="3"/>
      <c r="B926" s="3"/>
      <c r="C926" s="3"/>
      <c r="D926" s="2"/>
      <c r="E926" s="2"/>
      <c r="F926" s="2"/>
      <c r="G926" s="2"/>
    </row>
    <row r="927" spans="1:7" x14ac:dyDescent="0.2">
      <c r="A927" s="3"/>
      <c r="B927" s="3"/>
      <c r="C927" s="3"/>
      <c r="D927" s="2"/>
      <c r="E927" s="2"/>
      <c r="F927" s="2"/>
      <c r="G927" s="2"/>
    </row>
    <row r="928" spans="1:7" x14ac:dyDescent="0.2">
      <c r="A928" s="3"/>
      <c r="B928" s="3"/>
      <c r="C928" s="3"/>
      <c r="D928" s="2"/>
      <c r="E928" s="2"/>
      <c r="F928" s="2"/>
      <c r="G928" s="2"/>
    </row>
    <row r="929" spans="1:7" x14ac:dyDescent="0.2">
      <c r="A929" s="3"/>
      <c r="B929" s="3"/>
      <c r="C929" s="3"/>
      <c r="D929" s="2"/>
      <c r="E929" s="2"/>
      <c r="F929" s="2"/>
      <c r="G929" s="2"/>
    </row>
    <row r="930" spans="1:7" x14ac:dyDescent="0.2">
      <c r="A930" s="3"/>
      <c r="B930" s="3"/>
      <c r="C930" s="3"/>
      <c r="D930" s="2"/>
      <c r="E930" s="2"/>
      <c r="F930" s="2"/>
      <c r="G930" s="2"/>
    </row>
    <row r="931" spans="1:7" x14ac:dyDescent="0.2">
      <c r="A931" s="3"/>
      <c r="B931" s="3"/>
      <c r="C931" s="3"/>
      <c r="D931" s="2"/>
      <c r="E931" s="2"/>
      <c r="F931" s="2"/>
      <c r="G931" s="2"/>
    </row>
    <row r="932" spans="1:7" x14ac:dyDescent="0.2">
      <c r="A932" s="3"/>
      <c r="B932" s="3"/>
      <c r="C932" s="3"/>
      <c r="D932" s="2"/>
      <c r="E932" s="2"/>
      <c r="F932" s="2"/>
      <c r="G932" s="2"/>
    </row>
    <row r="933" spans="1:7" x14ac:dyDescent="0.2">
      <c r="A933" s="3"/>
      <c r="B933" s="3"/>
      <c r="C933" s="3"/>
      <c r="D933" s="2"/>
      <c r="E933" s="2"/>
      <c r="F933" s="2"/>
      <c r="G933" s="2"/>
    </row>
    <row r="934" spans="1:7" x14ac:dyDescent="0.2">
      <c r="A934" s="3"/>
      <c r="B934" s="3"/>
      <c r="C934" s="3"/>
      <c r="D934" s="2"/>
      <c r="E934" s="2"/>
      <c r="F934" s="2"/>
      <c r="G934" s="2"/>
    </row>
    <row r="935" spans="1:7" x14ac:dyDescent="0.2">
      <c r="A935" s="114"/>
      <c r="B935" s="3"/>
      <c r="C935" s="114"/>
    </row>
    <row r="936" spans="1:7" x14ac:dyDescent="0.2">
      <c r="A936" s="114"/>
      <c r="B936" s="114"/>
      <c r="C936" s="114"/>
    </row>
    <row r="937" spans="1:7" x14ac:dyDescent="0.2">
      <c r="B937" s="114"/>
    </row>
  </sheetData>
  <mergeCells count="48">
    <mergeCell ref="A737:E737"/>
    <mergeCell ref="A739:E739"/>
    <mergeCell ref="A755:E755"/>
    <mergeCell ref="A763:E763"/>
    <mergeCell ref="A797:E797"/>
    <mergeCell ref="A827:E827"/>
    <mergeCell ref="A606:E606"/>
    <mergeCell ref="A616:E616"/>
    <mergeCell ref="A656:E656"/>
    <mergeCell ref="A677:E677"/>
    <mergeCell ref="A718:E718"/>
    <mergeCell ref="A735:E735"/>
    <mergeCell ref="A420:E420"/>
    <mergeCell ref="A439:E439"/>
    <mergeCell ref="A450:E450"/>
    <mergeCell ref="A492:E492"/>
    <mergeCell ref="A515:E515"/>
    <mergeCell ref="A563:E563"/>
    <mergeCell ref="A354:E354"/>
    <mergeCell ref="A363:E363"/>
    <mergeCell ref="A373:E373"/>
    <mergeCell ref="A389:E389"/>
    <mergeCell ref="A416:E416"/>
    <mergeCell ref="A418:E418"/>
    <mergeCell ref="A254:E254"/>
    <mergeCell ref="A278:E278"/>
    <mergeCell ref="A280:E280"/>
    <mergeCell ref="A282:E282"/>
    <mergeCell ref="A301:E301"/>
    <mergeCell ref="A303:E303"/>
    <mergeCell ref="A146:E146"/>
    <mergeCell ref="A187:E187"/>
    <mergeCell ref="A189:E189"/>
    <mergeCell ref="A224:E224"/>
    <mergeCell ref="A236:E236"/>
    <mergeCell ref="A245:E245"/>
    <mergeCell ref="A51:E51"/>
    <mergeCell ref="A67:E67"/>
    <mergeCell ref="A90:E90"/>
    <mergeCell ref="A114:E114"/>
    <mergeCell ref="A125:E125"/>
    <mergeCell ref="A127:E127"/>
    <mergeCell ref="A1:E1"/>
    <mergeCell ref="A3:E3"/>
    <mergeCell ref="A5:E5"/>
    <mergeCell ref="A7:E7"/>
    <mergeCell ref="A11:E11"/>
    <mergeCell ref="A20:E20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2019-04-11T13:23:38Z</dcterms:created>
  <dcterms:modified xsi:type="dcterms:W3CDTF">2019-04-11T13:24:25Z</dcterms:modified>
</cp:coreProperties>
</file>