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60" windowHeight="6400" tabRatio="727" firstSheet="9" activeTab="18"/>
  </bookViews>
  <sheets>
    <sheet name="1.sz.mell." sheetId="1" r:id="rId1"/>
    <sheet name="ÖSSZEFÜGGÉSEK" sheetId="2" r:id="rId2"/>
    <sheet name="2.sz.mell  " sheetId="3" r:id="rId3"/>
    <sheet name="3.sz.mell  " sheetId="4" r:id="rId4"/>
    <sheet name="4.sz.mell." sheetId="5" r:id="rId5"/>
    <sheet name="5.sz.mell." sheetId="6" r:id="rId6"/>
    <sheet name="6.sz.mell." sheetId="7" r:id="rId7"/>
    <sheet name="7.sz. mell" sheetId="8" r:id="rId8"/>
    <sheet name="8.sz. mell" sheetId="9" r:id="rId9"/>
    <sheet name="9.sz.mell." sheetId="10" r:id="rId10"/>
    <sheet name="9.1 sz. mell" sheetId="11" r:id="rId11"/>
    <sheet name="9.2 sz. mell" sheetId="12" r:id="rId12"/>
    <sheet name="10. sz. mell" sheetId="13" r:id="rId13"/>
    <sheet name="11. sz. mell" sheetId="14" r:id="rId14"/>
    <sheet name="12.sz.mell" sheetId="15" r:id="rId15"/>
    <sheet name="13.sz.mell." sheetId="16" r:id="rId16"/>
    <sheet name="14.sz.mell" sheetId="17" r:id="rId17"/>
    <sheet name="15.sz.mell" sheetId="18" r:id="rId18"/>
    <sheet name="16.sz.mell" sheetId="19" r:id="rId19"/>
    <sheet name="1. sz tájékoztató t." sheetId="20" r:id="rId20"/>
    <sheet name="2.tájékoztató" sheetId="21" r:id="rId21"/>
    <sheet name="3.tájékoztató" sheetId="22" r:id="rId22"/>
    <sheet name="4.tájékoztató" sheetId="23" r:id="rId23"/>
    <sheet name="5. sz tájékoztató t." sheetId="24" r:id="rId24"/>
    <sheet name="6.sz tájékoztató" sheetId="25" r:id="rId25"/>
    <sheet name="7.1 sz. tájékoztató" sheetId="26" r:id="rId26"/>
    <sheet name="7.2 sz. tájékoztató" sheetId="27" r:id="rId27"/>
    <sheet name="7.3 sz. tájékoztató" sheetId="28" r:id="rId28"/>
    <sheet name="7.4 sz. tájékoztató" sheetId="29" r:id="rId29"/>
    <sheet name="8.sz tájékoztató" sheetId="30" r:id="rId30"/>
    <sheet name="9. sz. tájékoztató" sheetId="31" r:id="rId31"/>
  </sheets>
  <externalReferences>
    <externalReference r:id="rId34"/>
    <externalReference r:id="rId35"/>
  </externalReferences>
  <definedNames>
    <definedName name="_xlfn.IFERROR" hidden="1">#NAME?</definedName>
    <definedName name="_xlnm.Print_Titles" localSheetId="12">'10. sz. mell'!$1:$6</definedName>
    <definedName name="_xlnm.Print_Titles" localSheetId="9">'9.sz.mell.'!$1:$6</definedName>
    <definedName name="_xlnm.Print_Area" localSheetId="19">'1. sz tájékoztató t.'!$A$1:$E$154</definedName>
    <definedName name="_xlnm.Print_Area" localSheetId="0">'1.sz.mell.'!$A$1:$F$159</definedName>
    <definedName name="_xlnm.Print_Area" localSheetId="12">'10. sz. mell'!$A$1:$E$60</definedName>
    <definedName name="_xlnm.Print_Area" localSheetId="14">'12.sz.mell'!$A$1:$H$92</definedName>
    <definedName name="_xlnm.Print_Area" localSheetId="16">'14.sz.mell'!$A$1:$C$17</definedName>
    <definedName name="_xlnm.Print_Area" localSheetId="4">'4.sz.mell.'!$A$1:$E$160</definedName>
    <definedName name="_xlnm.Print_Area" localSheetId="22">'4.tájékoztató'!$A$1:$J$22</definedName>
    <definedName name="_xlnm.Print_Area" localSheetId="5">'5.sz.mell.'!$A$1:$E$160</definedName>
    <definedName name="_xlnm.Print_Area" localSheetId="6">'6.sz.mell.'!$A$1:$E$160</definedName>
    <definedName name="_xlnm.Print_Area" localSheetId="25">'7.1 sz. tájékoztató'!$A$1:$E$69</definedName>
    <definedName name="_xlnm.Print_Area" localSheetId="9">'9.sz.mell.'!$A$1:$E$159</definedName>
  </definedNames>
  <calcPr fullCalcOnLoad="1"/>
</workbook>
</file>

<file path=xl/sharedStrings.xml><?xml version="1.0" encoding="utf-8"?>
<sst xmlns="http://schemas.openxmlformats.org/spreadsheetml/2006/main" count="3937" uniqueCount="990">
  <si>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</si>
  <si>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</si>
  <si>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</si>
  <si>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</si>
  <si>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</si>
  <si>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</si>
  <si>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</si>
  <si>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</si>
  <si>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</si>
  <si>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</si>
  <si>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</si>
  <si>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</si>
  <si>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</si>
  <si>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</si>
  <si>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</si>
  <si>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</si>
  <si>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</si>
  <si>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</si>
  <si>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</si>
  <si>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</si>
  <si>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</si>
  <si>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</si>
  <si>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</si>
  <si>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</si>
  <si>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</si>
  <si>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</si>
  <si>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</si>
  <si>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</si>
  <si>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</si>
  <si>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</si>
  <si>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</si>
  <si>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</si>
  <si>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</si>
  <si>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</si>
  <si>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</si>
  <si>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</si>
  <si>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</si>
  <si>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</si>
  <si>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</si>
  <si>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</si>
  <si>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</si>
  <si>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</si>
  <si>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</si>
  <si>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Előirányzat-csoport, kiemelt előirányzat megnevezése</t>
  </si>
  <si>
    <t>Bevételek</t>
  </si>
  <si>
    <t>Kiadások</t>
  </si>
  <si>
    <t>Egyéb fejlesztési célú 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</si>
  <si>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</si>
  <si>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</si>
  <si>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</si>
  <si>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</si>
  <si>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</si>
  <si>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</si>
  <si>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</si>
  <si>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</si>
  <si>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</si>
  <si>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</si>
  <si>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</si>
  <si>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</si>
  <si>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</si>
  <si>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</si>
  <si>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</si>
  <si>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</si>
  <si>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</si>
  <si>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</si>
  <si>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</si>
  <si>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</si>
  <si>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</si>
  <si>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</si>
  <si>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</si>
  <si>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</si>
  <si>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</si>
  <si>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</si>
  <si>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</si>
  <si>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</si>
  <si>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</si>
  <si>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</si>
  <si>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</si>
  <si>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</si>
  <si>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</si>
  <si>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</si>
  <si>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</si>
  <si>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</si>
  <si>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</si>
  <si>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</si>
  <si>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</si>
  <si>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</si>
  <si>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</si>
  <si>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</si>
  <si>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</si>
  <si>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</si>
  <si>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</si>
  <si>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</si>
  <si>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</si>
  <si>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</si>
  <si>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</si>
  <si>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</si>
  <si>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</si>
  <si>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</si>
  <si>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</si>
  <si>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</si>
  <si>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</si>
  <si>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</si>
  <si>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</si>
  <si>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</si>
  <si>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</si>
  <si>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</si>
  <si>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</si>
  <si>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</si>
  <si>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</si>
  <si>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</si>
  <si>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</si>
  <si>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</si>
  <si>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</si>
  <si>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</si>
  <si>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</si>
  <si>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</si>
  <si>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</si>
  <si>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</si>
  <si>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</si>
  <si>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</si>
  <si>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</si>
  <si>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</si>
  <si>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</si>
  <si>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</si>
  <si>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</si>
  <si>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</si>
  <si>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</si>
  <si>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</si>
  <si>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</si>
  <si>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</si>
  <si>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</si>
  <si>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</si>
  <si>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</si>
  <si>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</si>
  <si>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</si>
  <si>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</si>
  <si>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</si>
  <si>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</si>
  <si>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</si>
  <si>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</si>
  <si>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</si>
  <si>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</si>
  <si>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</si>
  <si>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</si>
  <si>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</si>
  <si>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</si>
  <si>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</si>
  <si>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</si>
  <si>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</si>
  <si>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</si>
  <si>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</si>
  <si>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</si>
  <si>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</si>
  <si>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</si>
  <si>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</si>
  <si>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</si>
  <si>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</si>
  <si>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</si>
  <si>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</si>
  <si>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</si>
  <si>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</si>
  <si>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</si>
  <si>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</si>
  <si>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</si>
  <si>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</si>
  <si>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</si>
  <si>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</si>
  <si>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</si>
  <si>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</si>
  <si>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</si>
  <si>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</si>
  <si>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</si>
  <si>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</si>
  <si>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</si>
  <si>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</si>
  <si>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</si>
  <si>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</si>
  <si>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</si>
  <si>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</si>
  <si>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</si>
  <si>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</si>
  <si>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</si>
  <si>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</si>
  <si>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</si>
  <si>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</si>
  <si>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</si>
  <si>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</si>
  <si>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</si>
  <si>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</si>
  <si>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</si>
  <si>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</si>
  <si>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</si>
  <si>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</si>
  <si>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</si>
  <si>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</si>
  <si>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</si>
  <si>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</si>
  <si>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</si>
  <si>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</si>
  <si>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</si>
  <si>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</si>
  <si>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</si>
  <si>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</si>
  <si>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</si>
  <si>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</si>
  <si>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</si>
  <si>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</si>
  <si>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</si>
  <si>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</si>
  <si>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</si>
  <si>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</si>
  <si>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</si>
  <si>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</si>
  <si>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</si>
  <si>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</si>
  <si>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</si>
  <si>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</si>
  <si>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</si>
  <si>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</si>
  <si>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</si>
  <si>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</si>
  <si>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</si>
  <si>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</si>
  <si>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</si>
  <si>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</si>
  <si>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</si>
  <si>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</si>
  <si>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</si>
  <si>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</si>
  <si>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</si>
  <si>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</si>
  <si>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</si>
  <si>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</si>
  <si>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</si>
  <si>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</si>
  <si>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</si>
  <si>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</si>
  <si>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</si>
  <si>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</si>
  <si>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</si>
  <si>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</si>
  <si>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</si>
  <si>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</si>
  <si>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</si>
  <si>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</si>
  <si>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</si>
  <si>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</si>
  <si>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</si>
  <si>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</si>
  <si>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</si>
  <si>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</si>
  <si>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</si>
  <si>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</si>
  <si>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</si>
  <si>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</si>
  <si>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</si>
  <si>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</si>
  <si>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</si>
  <si>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</si>
  <si>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</si>
  <si>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</si>
  <si>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</si>
  <si>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</si>
  <si>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</si>
  <si>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</si>
  <si>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</si>
  <si>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</si>
  <si>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</si>
  <si>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</si>
  <si>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</si>
  <si>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</si>
  <si>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</si>
  <si>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</si>
  <si>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</si>
  <si>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</si>
  <si>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</si>
  <si>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</si>
  <si>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</si>
  <si>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</si>
  <si>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</si>
  <si>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</si>
  <si>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</si>
  <si>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</si>
  <si>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</si>
  <si>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</si>
  <si>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</si>
  <si>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</si>
  <si>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</si>
  <si>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</si>
  <si>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</si>
  <si>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</si>
  <si>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</si>
  <si>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</si>
  <si>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</si>
  <si>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</si>
  <si>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</si>
  <si>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</si>
  <si>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</si>
  <si>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</si>
  <si>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</si>
  <si>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</si>
  <si>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</si>
  <si>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</si>
  <si>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</si>
  <si>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</si>
  <si>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</si>
  <si>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</si>
  <si>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</si>
  <si>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</si>
  <si>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</si>
  <si>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</si>
  <si>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</si>
  <si>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</si>
  <si>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</si>
  <si>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</si>
  <si>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</si>
  <si>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</si>
  <si>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</si>
  <si>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</si>
  <si>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</si>
  <si>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</si>
  <si>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</si>
  <si>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</si>
  <si>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</si>
  <si>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</si>
  <si>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</si>
  <si>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</si>
  <si>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</si>
  <si>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</si>
  <si>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</si>
  <si>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</si>
  <si>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</si>
  <si>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</si>
  <si>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</si>
  <si>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</si>
  <si>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</si>
  <si>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</si>
  <si>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</si>
  <si>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</si>
  <si>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</si>
  <si>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</si>
  <si>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</si>
  <si>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</si>
  <si>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</si>
  <si>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</si>
  <si>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</si>
  <si>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</si>
  <si>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</si>
  <si>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</si>
  <si>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</si>
  <si>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</si>
  <si>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</si>
  <si>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</si>
  <si>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</si>
  <si>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</si>
  <si>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</si>
  <si>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</si>
  <si>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</si>
  <si>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</si>
  <si>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</si>
  <si>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</si>
  <si>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</si>
  <si>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</si>
  <si>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</si>
  <si>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</si>
  <si>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</si>
  <si>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</si>
  <si>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</si>
  <si>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</si>
  <si>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</si>
  <si>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</si>
  <si>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</si>
  <si>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</si>
  <si>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</si>
  <si>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</si>
  <si>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</si>
  <si>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</si>
  <si>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</si>
  <si>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</si>
  <si>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</si>
  <si>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</si>
  <si>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</si>
  <si>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</si>
  <si>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</si>
  <si>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</si>
  <si>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</si>
  <si>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</si>
  <si>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</si>
  <si>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</si>
  <si>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</si>
  <si>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</si>
  <si>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</si>
  <si>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</si>
  <si>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</si>
  <si>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</si>
  <si>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</si>
  <si>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</si>
  <si>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</si>
  <si>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</si>
  <si>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</si>
  <si>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</si>
  <si>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</si>
  <si>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</si>
  <si>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</si>
  <si>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>KIADÁSOK ÖSSZESEN: (1.+2.+3.)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</si>
  <si>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</si>
  <si>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</si>
  <si>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</si>
  <si>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</si>
  <si>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</si>
  <si>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</si>
  <si>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</si>
  <si>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Központi, irányító szervi támogatások folyósítása</t>
  </si>
  <si>
    <t>Közhatalmi bevételek (4.1.+….+4.7.)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</si>
  <si>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</si>
  <si>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</si>
  <si>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</si>
  <si>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</si>
  <si>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</si>
  <si>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</si>
  <si>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</si>
  <si>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Önkormányzatok szociális és gyermekjóléti, étkeztetési feladatainak támogatása</t>
  </si>
  <si>
    <t>Közhatalmi bevételek (4.1.+...+4.7.)</t>
  </si>
  <si>
    <t>Közhatalmi bevételek (4.1.+…..+4.7.)</t>
  </si>
  <si>
    <t>Közhatalmi bevételek (4.1.+…....+4.7.)</t>
  </si>
  <si>
    <t>Forintban</t>
  </si>
  <si>
    <t>Magánszemélyek kommunális adó</t>
  </si>
  <si>
    <t>NEMLEGES</t>
  </si>
  <si>
    <t>I</t>
  </si>
  <si>
    <t>Felhalmozási célú átvett pénzeszközök átvétele ÁHT-n kívülről</t>
  </si>
  <si>
    <t>Tervezett</t>
  </si>
  <si>
    <t>Tényleges</t>
  </si>
  <si>
    <t>forintban</t>
  </si>
  <si>
    <t>Működési bevétel fejlesztést szolgáló</t>
  </si>
  <si>
    <t>2018. évi teljesítés</t>
  </si>
  <si>
    <t>-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</si>
  <si>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</si>
  <si>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</si>
  <si>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</si>
  <si>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</si>
  <si>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</si>
  <si>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</si>
  <si>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</si>
  <si>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</si>
  <si>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</si>
  <si>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</si>
  <si>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</si>
  <si>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</si>
  <si>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</si>
  <si>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</si>
  <si>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</si>
  <si>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</si>
  <si>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</si>
  <si>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Választott tisztségviselők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</si>
  <si>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</si>
  <si>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</si>
  <si>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</si>
  <si>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</si>
  <si>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Beruházás  megnevezése</t>
  </si>
  <si>
    <t>Teljes költség</t>
  </si>
  <si>
    <t>Kivitelezés kezdési és befejezési éve</t>
  </si>
  <si>
    <t>ÖSSZESEN:</t>
  </si>
  <si>
    <t xml:space="preserve">Csengerújfalu Község Önkormányzat </t>
  </si>
  <si>
    <t>Felújítási kiadások előirányzata felújításonként</t>
  </si>
  <si>
    <t>Felújítás  megnevezése</t>
  </si>
  <si>
    <t>Csengerújfalu Község Önkormányzat</t>
  </si>
  <si>
    <t>Összesen</t>
  </si>
  <si>
    <t>EU-s projekt neve, azonosítója:</t>
  </si>
  <si>
    <t>Források</t>
  </si>
  <si>
    <t>2017.</t>
  </si>
  <si>
    <t>2018.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</si>
  <si>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</si>
  <si>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</si>
  <si>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</si>
  <si>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</si>
  <si>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</si>
  <si>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</si>
  <si>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</si>
  <si>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</si>
  <si>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</si>
  <si>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</si>
  <si>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</si>
  <si>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</si>
  <si>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2019.</t>
  </si>
  <si>
    <t>2020.</t>
  </si>
  <si>
    <t>Támogatott neve</t>
  </si>
  <si>
    <t>Hozzájárulás  (Ft)</t>
  </si>
  <si>
    <t>2020 után</t>
  </si>
  <si>
    <t>Kimutatás</t>
  </si>
  <si>
    <t>01 Alaptevékenység költségvetési bevételei</t>
  </si>
  <si>
    <t>02</t>
  </si>
  <si>
    <t>02 Alaptevékenység költségvetési kiadásai</t>
  </si>
  <si>
    <t>03</t>
  </si>
  <si>
    <t>I Alaptevékenység költségvetési egyenlege (=01-02)</t>
  </si>
  <si>
    <t>04</t>
  </si>
  <si>
    <t>03 Alaptevékenység finanszírozási bevételei</t>
  </si>
  <si>
    <t>05</t>
  </si>
  <si>
    <t>04 Alaptevékenység finanszírozási kiadásai</t>
  </si>
  <si>
    <t>06</t>
  </si>
  <si>
    <t>II. Alaptevékenység finanszírozási egyenlege (=03-04)</t>
  </si>
  <si>
    <t>07</t>
  </si>
  <si>
    <t>A) Alaptevékenység maradványa (=±I±II)</t>
  </si>
  <si>
    <t>08</t>
  </si>
  <si>
    <t>05 Vállalkozási tevékenység költségvetési bevételei</t>
  </si>
  <si>
    <t>09</t>
  </si>
  <si>
    <t>06 Vállalkozási tevékenység költségvetési kiadásai</t>
  </si>
  <si>
    <t>10</t>
  </si>
  <si>
    <t>III Vállalkozási tevékenység költségvetési egyenlege (=05-06)</t>
  </si>
  <si>
    <t>11</t>
  </si>
  <si>
    <t>07 Vállalkozási tevékenység finanszírozási bevételei</t>
  </si>
  <si>
    <t>12</t>
  </si>
  <si>
    <t>08 Vállalkozási tevékenység finanszírozási kiadásai</t>
  </si>
  <si>
    <t>13</t>
  </si>
  <si>
    <t>IV Vállalkozási tevékenység finanszírozási egyenlege (=07-08)</t>
  </si>
  <si>
    <t>14</t>
  </si>
  <si>
    <t>B) Vállalkozási tevékenység maradványa (=±III±IV)</t>
  </si>
  <si>
    <t>15</t>
  </si>
  <si>
    <t>C) Összes maradvány (=A+B)</t>
  </si>
  <si>
    <t>16</t>
  </si>
  <si>
    <t>D) Alaptevékenység kötelezettségvállalással terhelt maradványa</t>
  </si>
  <si>
    <t>17</t>
  </si>
  <si>
    <t>E) Alaptevékenység szabad maradványa (=A-D)</t>
  </si>
  <si>
    <t>18</t>
  </si>
  <si>
    <t>F) Vállalkozási tevékenységet terhelő befizetési kötelezettség (=B*0,1)</t>
  </si>
  <si>
    <t>19</t>
  </si>
  <si>
    <t>G) Vállalkozási tevékenység felhasználható maradványa (=B-F)</t>
  </si>
  <si>
    <t xml:space="preserve">
Többéves kihatással járó döntésekből származó kötelezettségek
célok szerint, évenkénti bontásban</t>
  </si>
  <si>
    <t>2. tájékozttó tábla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</si>
  <si>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</si>
  <si>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</si>
  <si>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</si>
  <si>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</si>
  <si>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</si>
  <si>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2020. utána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</si>
  <si>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</si>
  <si>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</si>
  <si>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</si>
  <si>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</si>
  <si>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</si>
  <si>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</si>
  <si>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</si>
  <si>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</si>
  <si>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</si>
  <si>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Az önkormányzat által nyújtott hitel és kölcsön alakulása
 lejárat és eszközök szerinti bontásban</t>
  </si>
  <si>
    <t>3. tájékoztató tábla</t>
  </si>
  <si>
    <t xml:space="preserve">Hitel, kölcsön </t>
  </si>
  <si>
    <t>Kölcsön-
nyújtás
éve</t>
  </si>
  <si>
    <t xml:space="preserve">Lejárat
éve </t>
  </si>
  <si>
    <t>Hitel, kölcsön állomány 2017. dec.31-én</t>
  </si>
  <si>
    <t>Hitel, kölcsön állomány december 31-én</t>
  </si>
  <si>
    <t>2019. után</t>
  </si>
  <si>
    <t xml:space="preserve">Rövid lejáratú </t>
  </si>
  <si>
    <t>Hosszú lejáratú</t>
  </si>
  <si>
    <t>Összesen (1+8)</t>
  </si>
  <si>
    <t>4. tájékoztató tábla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</si>
  <si>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</si>
  <si>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</si>
  <si>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</si>
  <si>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</si>
  <si>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</si>
  <si>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</si>
  <si>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</si>
  <si>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</si>
  <si>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</si>
  <si>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</si>
  <si>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</si>
  <si>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</si>
  <si>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</si>
  <si>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</si>
  <si>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</si>
  <si>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</si>
  <si>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</si>
  <si>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</si>
  <si>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</si>
  <si>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</si>
  <si>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</si>
  <si>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</si>
  <si>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</si>
  <si>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</si>
  <si>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8. tájékoztató tábla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</si>
  <si>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</si>
  <si>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</si>
  <si>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</si>
  <si>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</si>
  <si>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</si>
  <si>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</si>
  <si>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Támogatás összege</t>
  </si>
  <si>
    <t>29.</t>
  </si>
  <si>
    <t>30.</t>
  </si>
  <si>
    <t>31.</t>
  </si>
  <si>
    <t>32.</t>
  </si>
  <si>
    <t>33.</t>
  </si>
  <si>
    <t>9. tájékoztató tábla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</si>
  <si>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</si>
  <si>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</si>
  <si>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</si>
  <si>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</si>
  <si>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</si>
  <si>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</si>
  <si>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</si>
  <si>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</si>
  <si>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</si>
  <si>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</si>
  <si>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</si>
  <si>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</si>
  <si>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</si>
  <si>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</si>
  <si>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</si>
  <si>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</si>
  <si>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</si>
  <si>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</si>
  <si>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</si>
  <si>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</si>
  <si>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</si>
  <si>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</si>
  <si>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</si>
  <si>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</si>
  <si>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</si>
  <si>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</si>
  <si>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</si>
  <si>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</si>
  <si>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</si>
  <si>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</si>
  <si>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</si>
  <si>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</si>
  <si>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</si>
  <si>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</si>
  <si>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</si>
  <si>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</si>
  <si>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</si>
  <si>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</si>
  <si>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</si>
  <si>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</si>
  <si>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</si>
  <si>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</si>
  <si>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</si>
  <si>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</si>
  <si>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</si>
  <si>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</si>
  <si>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</si>
  <si>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</si>
  <si>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</si>
  <si>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</si>
  <si>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</si>
  <si>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</si>
  <si>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</si>
  <si>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</si>
  <si>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</si>
  <si>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</si>
  <si>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</si>
  <si>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</si>
  <si>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</si>
  <si>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</si>
  <si>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</si>
  <si>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</si>
  <si>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</si>
  <si>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</si>
  <si>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</si>
  <si>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</si>
  <si>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</si>
  <si>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</si>
  <si>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</si>
  <si>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</si>
  <si>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</si>
  <si>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</si>
  <si>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</si>
  <si>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</si>
  <si>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</si>
  <si>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</si>
  <si>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</si>
  <si>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</si>
  <si>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</si>
  <si>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</si>
  <si>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</si>
  <si>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</si>
  <si>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</si>
  <si>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</si>
  <si>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</si>
  <si>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</si>
  <si>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</si>
  <si>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</si>
  <si>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</si>
  <si>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</si>
  <si>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</si>
  <si>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</si>
  <si>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</si>
  <si>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</si>
  <si>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</si>
  <si>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</si>
  <si>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</si>
  <si>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</si>
  <si>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</si>
  <si>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</si>
  <si>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</si>
  <si>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</si>
  <si>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</si>
  <si>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</si>
  <si>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</si>
  <si>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</si>
  <si>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</si>
  <si>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</si>
  <si>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</si>
  <si>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</si>
  <si>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</si>
  <si>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</si>
  <si>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</si>
  <si>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</si>
  <si>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</si>
  <si>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</si>
  <si>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</si>
  <si>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</si>
  <si>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</si>
  <si>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</si>
  <si>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</si>
  <si>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</si>
  <si>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</si>
  <si>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</si>
  <si>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</si>
  <si>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</si>
  <si>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</si>
  <si>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</si>
  <si>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</si>
  <si>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</si>
  <si>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</si>
  <si>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</si>
  <si>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</si>
  <si>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</si>
  <si>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</si>
  <si>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</si>
  <si>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</si>
  <si>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</si>
  <si>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</si>
  <si>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</si>
  <si>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</si>
  <si>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</si>
  <si>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</si>
  <si>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</si>
  <si>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</si>
  <si>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</si>
  <si>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</si>
  <si>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</si>
  <si>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</si>
  <si>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</si>
  <si>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</si>
  <si>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</si>
  <si>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</si>
  <si>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</si>
  <si>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</si>
  <si>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</si>
  <si>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</si>
  <si>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</si>
  <si>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</si>
  <si>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</si>
  <si>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</si>
  <si>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</si>
  <si>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</si>
  <si>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</si>
  <si>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 xml:space="preserve">Kristályvíz Zrt. </t>
  </si>
  <si>
    <t>BURSA</t>
  </si>
  <si>
    <t>támogatás</t>
  </si>
  <si>
    <t>szociális alapfeladatok ellátása</t>
  </si>
  <si>
    <t xml:space="preserve">Népjóléti és Szociális Alapszolgáltatási Központ </t>
  </si>
  <si>
    <t>igazgatási feladatok ellátása</t>
  </si>
  <si>
    <t xml:space="preserve">Csenger Közös Önkormányzati Hivatal </t>
  </si>
  <si>
    <t>óvodai feladatok ellátása</t>
  </si>
  <si>
    <t>sport feladatok támogatása</t>
  </si>
  <si>
    <t>hozzájáruás</t>
  </si>
  <si>
    <t xml:space="preserve">   Csenger Többcélú Kistérségi Társutás </t>
  </si>
  <si>
    <t xml:space="preserve">   Tyukodi Csodák Világa Óvoda </t>
  </si>
  <si>
    <t xml:space="preserve">   Csengerújfalu Sportegyesület</t>
  </si>
  <si>
    <t xml:space="preserve">   Csengeri Önkormányzati Tűzoltóság</t>
  </si>
  <si>
    <t>2019. évi előirányzat</t>
  </si>
  <si>
    <t>2019. évi módosított előirányzat</t>
  </si>
  <si>
    <t>2019. évi teljesítés</t>
  </si>
  <si>
    <t>VP6-7.2.1-7.4.1.2-16 Külterületi út felújítása</t>
  </si>
  <si>
    <t xml:space="preserve">Start munka eszközbeszerzés </t>
  </si>
  <si>
    <t>TOP -3.2.1-15 Önkormányzati épületek energetikai felújítása</t>
  </si>
  <si>
    <t>ÁHT-m belüli megelőlegezések visszafizetése</t>
  </si>
  <si>
    <t>Önkormányzat beruházás saját erő</t>
  </si>
  <si>
    <t>2018. évi tény</t>
  </si>
  <si>
    <t>2019. évi módosított</t>
  </si>
  <si>
    <t>Tiszamenti Regionális Vízművek Zrt.</t>
  </si>
  <si>
    <t xml:space="preserve">  - Műtárgyaszóró</t>
  </si>
  <si>
    <t xml:space="preserve">  - Kultivátor</t>
  </si>
  <si>
    <t xml:space="preserve">  - Permetező</t>
  </si>
  <si>
    <t xml:space="preserve">  - Hólapát</t>
  </si>
  <si>
    <t>Sörpad, rendezvénysátor</t>
  </si>
  <si>
    <t>Konyha felújítás eszközbeszerzés</t>
  </si>
  <si>
    <t>Bagosi út felújítása</t>
  </si>
  <si>
    <t xml:space="preserve">orvosi ügyeleti hozzájárulás </t>
  </si>
  <si>
    <t>Polgárőr Egyesület</t>
  </si>
  <si>
    <t>2019. évi eredeti előirányzat</t>
  </si>
  <si>
    <t>Csengerújfalu Mesevilág Óvoda</t>
  </si>
  <si>
    <t>Kötelező feladatok bevétel, kiadás</t>
  </si>
  <si>
    <t>Önként vállalt feladatok bevétel, kiadás</t>
  </si>
  <si>
    <t>Pénzkészlet 2019. január 01-jén</t>
  </si>
  <si>
    <t>Záró pénzkészlet 2019. december 31-en</t>
  </si>
  <si>
    <t>Csengerújfalu Község Önkormányzat 2019. évi maradványáról</t>
  </si>
  <si>
    <t>Összeg</t>
  </si>
  <si>
    <t>Működési maradvány</t>
  </si>
  <si>
    <t>Csengerújfalu Község Önkormányzat 2019. évi maradványfelhasználásra tett javaslat</t>
  </si>
  <si>
    <t>2. melléklet …/2020. (…..) önkormányzati rendelethez</t>
  </si>
  <si>
    <t>3. mellléklet a …./2020. (..) önkormányzati rendelethez</t>
  </si>
  <si>
    <t>9. melléklet a…./2020. (…) önkormányzati rendelethez</t>
  </si>
  <si>
    <t>11. melléklet …./2020. (…..) önkormányzati rendelethez</t>
  </si>
  <si>
    <t>Adósságállomány alakulása lejárat, eszközök, bel- és külföldi hitelezők szerinti bontásban 2019 december 31-én</t>
  </si>
  <si>
    <t>K I M U T A T Á S
a 2019. évi céljelleggel juttatott támogatások felhasználásáról</t>
  </si>
  <si>
    <t>VAGYONKIMUTATÁS a könyvviteli mérlegben értékkel szereplő eszközökről 2019.</t>
  </si>
  <si>
    <t>2019. év</t>
  </si>
  <si>
    <t>VAGYONKIMUTATÁS az érték nélkül nyilvántartott eszközökről 2019.</t>
  </si>
  <si>
    <t>VAGYONKIMUTATÁS a függő követelésekről és a kötelezettségekről, a biztos (jövőben) követelésekről 2019.</t>
  </si>
  <si>
    <t>Csengerújfalu Község Önkormányzat tulajdonában álló gazdálkodó szervezetek működéséből származó kötelezettségek és részesedések alakulása 2019. évben</t>
  </si>
  <si>
    <t>2019. évi beruházási (felhalmozási) célú kiadásainak előirányzata feladatonként</t>
  </si>
  <si>
    <t>10. melléklet …./2020. (…..) önkormányzati rendelethez</t>
  </si>
  <si>
    <t>12. melléklet …./2020. (…..) önkormányzati rendelethez</t>
  </si>
  <si>
    <t>Felhalmozási maradvány</t>
  </si>
  <si>
    <t>7.4  tájékoztató tábla</t>
  </si>
  <si>
    <t>7.3  tájékoztató tábla</t>
  </si>
  <si>
    <t>7.2 tájékoztató tábla</t>
  </si>
  <si>
    <t>7.1 tájékoztató tábla</t>
  </si>
  <si>
    <t>6. tájékoztató tábla</t>
  </si>
  <si>
    <t>5. tájékoztató tábla</t>
  </si>
  <si>
    <t>EFOP 3.9.2 " Holnap itt fogant a mában."</t>
  </si>
  <si>
    <t>EFOP 1.5.3 Humán szolgáltatások fejlesztése</t>
  </si>
  <si>
    <t>Megelőlegezett állami támogatá</t>
  </si>
  <si>
    <t>Közfoglalkoztatási előlegmaradvány</t>
  </si>
  <si>
    <t>Önkormányzati Konyha működési maradványa</t>
  </si>
  <si>
    <t>Csengerújfalu Önkormányzati Konyha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</si>
  <si>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</si>
  <si>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</si>
  <si>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</si>
  <si>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</si>
  <si>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</si>
  <si>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</si>
  <si>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</si>
  <si>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</si>
  <si>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</si>
  <si>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</si>
  <si>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</si>
  <si>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</si>
  <si>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</si>
  <si>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</si>
  <si>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</si>
  <si>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</si>
  <si>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</si>
  <si>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</si>
  <si>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</si>
  <si>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</si>
  <si>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</si>
  <si>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</si>
  <si>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</si>
  <si>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</si>
  <si>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</si>
  <si>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</si>
  <si>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</si>
  <si>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</si>
  <si>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20 Egyéb kapott (járó) kamatok és kamatjellegű eredményszemléletű bevételek</t>
  </si>
  <si>
    <t>VIII Pénzügyi műveletek eredményszemléletű bevételei (=17+18+19+20+21)</t>
  </si>
  <si>
    <t>12/A - Mérleg</t>
  </si>
  <si>
    <t>#</t>
  </si>
  <si>
    <t>Előző időszak</t>
  </si>
  <si>
    <t>Módosítások (+/-)</t>
  </si>
  <si>
    <t>Tárgyi időszak</t>
  </si>
  <si>
    <t>A/II Tárgyi eszközök  (=A/II/1+...+A/II/5)</t>
  </si>
  <si>
    <t>21</t>
  </si>
  <si>
    <t>28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</si>
  <si>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</si>
  <si>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</si>
  <si>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</si>
  <si>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</si>
  <si>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</si>
  <si>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</si>
  <si>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</si>
  <si>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</si>
  <si>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</si>
  <si>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</si>
  <si>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</si>
  <si>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</si>
  <si>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</si>
  <si>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</si>
  <si>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</si>
  <si>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</si>
  <si>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</si>
  <si>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</si>
  <si>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</si>
  <si>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</si>
  <si>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</si>
  <si>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</si>
  <si>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</si>
  <si>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</si>
  <si>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</si>
  <si>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</si>
  <si>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</si>
  <si>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</si>
  <si>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</si>
  <si>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</si>
  <si>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</si>
  <si>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</si>
  <si>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</si>
  <si>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D/II/4d - ebből: költségvetési évet követően esedékes követelések kiszámlázott általános forgalmi adóra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</si>
  <si>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</si>
  <si>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</si>
  <si>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</si>
  <si>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</si>
  <si>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</si>
  <si>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</si>
  <si>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</si>
  <si>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</si>
  <si>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</si>
  <si>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</si>
  <si>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</si>
  <si>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</si>
  <si>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</si>
  <si>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</si>
  <si>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</si>
  <si>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</si>
  <si>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</si>
  <si>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</si>
  <si>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</si>
  <si>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</si>
  <si>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</si>
  <si>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</si>
  <si>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</si>
  <si>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</si>
  <si>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</si>
  <si>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</si>
  <si>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</si>
  <si>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</si>
  <si>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</si>
  <si>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</si>
  <si>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</si>
  <si>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</si>
  <si>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</si>
  <si>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</si>
  <si>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</si>
  <si>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</si>
  <si>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</si>
  <si>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</si>
  <si>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</si>
  <si>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</si>
  <si>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188</t>
  </si>
  <si>
    <t>H/I/5 Költségvetési évben esedékes kötelezettségek egyéb működési célú kiadásokra (&gt;=H/I/5a+H/I/5b)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</si>
  <si>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</si>
  <si>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</si>
  <si>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</si>
  <si>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</si>
  <si>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</si>
  <si>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</si>
  <si>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</si>
  <si>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</si>
  <si>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</si>
  <si>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</si>
  <si>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235</t>
  </si>
  <si>
    <t>H/III/2 Továbbadási célból folyósított támogatások, ellátások elszámolása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</si>
  <si>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</si>
  <si>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</si>
  <si>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</si>
  <si>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</si>
  <si>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</si>
  <si>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</si>
  <si>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</si>
  <si>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</si>
  <si>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</si>
  <si>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</si>
  <si>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</si>
  <si>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</si>
  <si>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</si>
  <si>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</si>
  <si>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</si>
  <si>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</si>
  <si>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13/A - Eredménykimutatás</t>
  </si>
  <si>
    <t>20</t>
  </si>
  <si>
    <t>22</t>
  </si>
  <si>
    <t>23</t>
  </si>
  <si>
    <t>24</t>
  </si>
  <si>
    <t>A)  TEVÉKENYSÉGEK EREDMÉNYE (=I±II+III-IV-V-VI-VII)</t>
  </si>
  <si>
    <t>32</t>
  </si>
  <si>
    <t>43</t>
  </si>
  <si>
    <t>B)  PÉNZÜGYI MŰVELETEK EREDMÉNYE (=VIII-IX)</t>
  </si>
  <si>
    <t>44</t>
  </si>
  <si>
    <t>C)  MÉRLEG SZERINTI EREDMÉNY (=±A±B)</t>
  </si>
  <si>
    <t>B/I Készletek (=B/I/1+…+B/I/5)</t>
  </si>
  <si>
    <t>B) NEMZETI VAGYONBA TARTOZÓ FORGÓESZKÖZÖK (=B/I+B/II)</t>
  </si>
  <si>
    <t>D/I/4c - ebből: költségvetési évben esedékes ellátási díjakra</t>
  </si>
  <si>
    <t>D/I/4i - ebből: költségvetési évben esdékes követelések egyéb működési bevételekre</t>
  </si>
  <si>
    <t>E/1/2 Más előzetesen felszámított levonhat általános forgalmi adó</t>
  </si>
  <si>
    <t>Csengerújfalu Mesevilág Óvoda működési maradványa</t>
  </si>
  <si>
    <t>15. melléklet …./2020. (…..) önkormányzati rendelethez</t>
  </si>
  <si>
    <t>16. melléklet …./2020. (…..)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</si>
</sst>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\ &quot;Ft&quot;"/>
    <numFmt numFmtId="176" formatCode="#,##0\ _F_t"/>
    <numFmt numFmtId="177" formatCode="#,###__"/>
    <numFmt numFmtId="178" formatCode="00"/>
    <numFmt numFmtId="179" formatCode="#,###__;\-#,###__"/>
    <numFmt numFmtId="180" formatCode="#,###\ _F_t;\-#,###\ _F_t"/>
    <numFmt numFmtId="181" formatCode="###\ ###\ ###\ ###\ ##0.00"/>
    <numFmt numFmtId="182" formatCode="[$¥€-2]\ #\ ##,000_);[Red]\([$€-2]\ #\ ##,000\)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</numFmts>
  <fonts count="10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 CE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sz val="11"/>
      <name val="Times New Roman CE"/>
      <family val="0"/>
    </font>
    <font>
      <u val="single"/>
      <sz val="8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2"/>
      <name val="Book Antiqua"/>
      <family val="1"/>
    </font>
    <font>
      <sz val="10"/>
      <name val="Arial CE"/>
      <family val="0"/>
    </font>
    <font>
      <sz val="10"/>
      <name val="MS Sans Serif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b/>
      <sz val="12"/>
      <color indexed="8"/>
      <name val="Book Antiqua"/>
      <family val="1"/>
    </font>
    <font>
      <sz val="8"/>
      <color indexed="8"/>
      <name val="Times New Roman CE"/>
      <family val="1"/>
    </font>
    <font>
      <sz val="12"/>
      <color indexed="8"/>
      <name val="Book Antiqua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  <font>
      <b/>
      <sz val="12"/>
      <color theme="1"/>
      <name val="Book Antiqua"/>
      <family val="1"/>
    </font>
    <font>
      <sz val="8"/>
      <color theme="1"/>
      <name val="Times New Roman CE"/>
      <family val="1"/>
    </font>
    <font>
      <sz val="12"/>
      <color rgb="FFFF0000"/>
      <name val="Times New Roman"/>
      <family val="1"/>
    </font>
    <font>
      <sz val="12"/>
      <color theme="1"/>
      <name val="Book Antiqua"/>
      <family val="1"/>
    </font>
    <font>
      <sz val="7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1">
    <xf numFmtId="0" fontId="0" fillId="0" borderId="0" xfId="0" applyAlignment="1">
      <alignment/>
    </xf>
    <xf numFmtId="0" fontId="0" fillId="0" borderId="0" xfId="64" applyFont="1" applyFill="1">
      <alignment/>
      <protection/>
    </xf>
    <xf numFmtId="0" fontId="0" fillId="0" borderId="0" xfId="0" applyFill="1" applyAlignment="1">
      <alignment vertical="center" wrapText="1"/>
    </xf>
    <xf numFmtId="0" fontId="5" fillId="0" borderId="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 wrapText="1"/>
      <protection/>
    </xf>
    <xf numFmtId="0" fontId="14" fillId="0" borderId="10" xfId="64" applyFont="1" applyFill="1" applyBorder="1" applyAlignment="1" applyProtection="1">
      <alignment horizontal="left" vertical="center" wrapText="1" indent="1"/>
      <protection/>
    </xf>
    <xf numFmtId="0" fontId="14" fillId="0" borderId="11" xfId="64" applyFont="1" applyFill="1" applyBorder="1" applyAlignment="1" applyProtection="1">
      <alignment horizontal="left" vertical="center" wrapText="1" indent="1"/>
      <protection/>
    </xf>
    <xf numFmtId="0" fontId="14" fillId="0" borderId="12" xfId="64" applyFont="1" applyFill="1" applyBorder="1" applyAlignment="1" applyProtection="1">
      <alignment horizontal="left" vertical="center" wrapText="1" indent="1"/>
      <protection/>
    </xf>
    <xf numFmtId="0" fontId="14" fillId="0" borderId="13" xfId="64" applyFont="1" applyFill="1" applyBorder="1" applyAlignment="1" applyProtection="1">
      <alignment horizontal="left" vertical="center" wrapText="1" indent="1"/>
      <protection/>
    </xf>
    <xf numFmtId="0" fontId="14" fillId="0" borderId="14" xfId="64" applyFont="1" applyFill="1" applyBorder="1" applyAlignment="1" applyProtection="1">
      <alignment horizontal="left" vertical="center" wrapText="1" indent="1"/>
      <protection/>
    </xf>
    <xf numFmtId="0" fontId="14" fillId="0" borderId="15" xfId="64" applyFont="1" applyFill="1" applyBorder="1" applyAlignment="1" applyProtection="1">
      <alignment horizontal="left" vertical="center" wrapText="1" indent="1"/>
      <protection/>
    </xf>
    <xf numFmtId="49" fontId="14" fillId="0" borderId="16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4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24" xfId="64" applyFont="1" applyFill="1" applyBorder="1" applyAlignment="1" applyProtection="1">
      <alignment horizontal="left" vertical="center" wrapText="1" indent="1"/>
      <protection/>
    </xf>
    <xf numFmtId="0" fontId="6" fillId="0" borderId="22" xfId="64" applyFont="1" applyFill="1" applyBorder="1" applyAlignment="1" applyProtection="1">
      <alignment horizontal="center" vertical="center" wrapText="1"/>
      <protection/>
    </xf>
    <xf numFmtId="0" fontId="6" fillId="0" borderId="23" xfId="64" applyFont="1" applyFill="1" applyBorder="1" applyAlignment="1" applyProtection="1">
      <alignment horizontal="center" vertical="center" wrapText="1"/>
      <protection/>
    </xf>
    <xf numFmtId="0" fontId="13" fillId="0" borderId="23" xfId="64" applyFont="1" applyFill="1" applyBorder="1" applyAlignment="1" applyProtection="1">
      <alignment vertical="center" wrapText="1"/>
      <protection/>
    </xf>
    <xf numFmtId="0" fontId="13" fillId="0" borderId="25" xfId="64" applyFont="1" applyFill="1" applyBorder="1" applyAlignment="1" applyProtection="1">
      <alignment vertical="center" wrapText="1"/>
      <protection/>
    </xf>
    <xf numFmtId="0" fontId="13" fillId="0" borderId="22" xfId="64" applyFont="1" applyFill="1" applyBorder="1" applyAlignment="1" applyProtection="1">
      <alignment horizontal="center" vertical="center" wrapText="1"/>
      <protection/>
    </xf>
    <xf numFmtId="0" fontId="13" fillId="0" borderId="23" xfId="64" applyFont="1" applyFill="1" applyBorder="1" applyAlignment="1" applyProtection="1">
      <alignment horizontal="center" vertical="center" wrapText="1"/>
      <protection/>
    </xf>
    <xf numFmtId="0" fontId="13" fillId="0" borderId="26" xfId="64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" fillId="0" borderId="0" xfId="64" applyFill="1">
      <alignment/>
      <protection/>
    </xf>
    <xf numFmtId="0" fontId="6" fillId="0" borderId="26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Fill="1">
      <alignment/>
      <protection/>
    </xf>
    <xf numFmtId="0" fontId="15" fillId="0" borderId="0" xfId="64" applyFont="1" applyFill="1">
      <alignment/>
      <protection/>
    </xf>
    <xf numFmtId="166" fontId="4" fillId="0" borderId="0" xfId="0" applyNumberFormat="1" applyFont="1" applyFill="1" applyAlignment="1">
      <alignment horizontal="right" vertical="center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7" xfId="0" applyNumberFormat="1" applyFont="1" applyFill="1" applyBorder="1" applyAlignment="1" applyProtection="1">
      <alignment vertical="center" wrapText="1"/>
      <protection locked="0"/>
    </xf>
    <xf numFmtId="166" fontId="8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7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29" xfId="0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5" fillId="0" borderId="0" xfId="64" applyFont="1" applyFill="1">
      <alignment/>
      <protection/>
    </xf>
    <xf numFmtId="166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32" xfId="0" applyFont="1" applyFill="1" applyBorder="1" applyAlignment="1" applyProtection="1">
      <alignment horizontal="right"/>
      <protection/>
    </xf>
    <xf numFmtId="166" fontId="20" fillId="0" borderId="32" xfId="64" applyNumberFormat="1" applyFont="1" applyFill="1" applyBorder="1" applyAlignment="1" applyProtection="1">
      <alignment horizontal="left" vertical="center"/>
      <protection/>
    </xf>
    <xf numFmtId="0" fontId="14" fillId="0" borderId="33" xfId="64" applyFont="1" applyFill="1" applyBorder="1" applyAlignment="1" applyProtection="1">
      <alignment horizontal="left" vertical="center" wrapText="1" indent="1"/>
      <protection/>
    </xf>
    <xf numFmtId="0" fontId="14" fillId="0" borderId="11" xfId="64" applyFont="1" applyFill="1" applyBorder="1" applyAlignment="1" applyProtection="1">
      <alignment horizontal="left" indent="6"/>
      <protection/>
    </xf>
    <xf numFmtId="0" fontId="14" fillId="0" borderId="11" xfId="64" applyFont="1" applyFill="1" applyBorder="1" applyAlignment="1" applyProtection="1">
      <alignment horizontal="left" vertical="center" wrapText="1" indent="6"/>
      <protection/>
    </xf>
    <xf numFmtId="0" fontId="14" fillId="0" borderId="15" xfId="64" applyFont="1" applyFill="1" applyBorder="1" applyAlignment="1" applyProtection="1">
      <alignment horizontal="left" vertical="center" wrapText="1" indent="6"/>
      <protection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64" applyFont="1" applyFill="1" applyBorder="1">
      <alignment/>
      <protection/>
    </xf>
    <xf numFmtId="0" fontId="6" fillId="0" borderId="34" xfId="64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left" vertical="center" wrapText="1" indent="1"/>
      <protection/>
    </xf>
    <xf numFmtId="0" fontId="17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vertical="center" wrapText="1"/>
      <protection/>
    </xf>
    <xf numFmtId="166" fontId="13" fillId="0" borderId="33" xfId="0" applyNumberFormat="1" applyFont="1" applyFill="1" applyBorder="1" applyAlignment="1" applyProtection="1">
      <alignment vertical="center" wrapText="1"/>
      <protection/>
    </xf>
    <xf numFmtId="166" fontId="13" fillId="0" borderId="35" xfId="0" applyNumberFormat="1" applyFont="1" applyFill="1" applyBorder="1" applyAlignment="1" applyProtection="1">
      <alignment vertical="center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0" borderId="36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166" fontId="14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166" fontId="13" fillId="0" borderId="40" xfId="64" applyNumberFormat="1" applyFont="1" applyFill="1" applyBorder="1" applyAlignment="1" applyProtection="1">
      <alignment horizontal="right" vertical="center" wrapText="1" indent="1"/>
      <protection/>
    </xf>
    <xf numFmtId="166" fontId="13" fillId="0" borderId="26" xfId="64" applyNumberFormat="1" applyFont="1" applyFill="1" applyBorder="1" applyAlignment="1" applyProtection="1">
      <alignment horizontal="right" vertical="center" wrapText="1" indent="1"/>
      <protection/>
    </xf>
    <xf numFmtId="166" fontId="14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64" applyNumberFormat="1" applyFont="1" applyFill="1" applyBorder="1" applyAlignment="1" applyProtection="1">
      <alignment horizontal="right" vertical="center" wrapText="1" indent="1"/>
      <protection/>
    </xf>
    <xf numFmtId="166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166" fontId="14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6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5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3" fillId="0" borderId="43" xfId="0" applyNumberFormat="1" applyFont="1" applyFill="1" applyBorder="1" applyAlignment="1" applyProtection="1">
      <alignment horizontal="center" vertical="center" wrapText="1"/>
      <protection/>
    </xf>
    <xf numFmtId="166" fontId="13" fillId="0" borderId="22" xfId="0" applyNumberFormat="1" applyFont="1" applyFill="1" applyBorder="1" applyAlignment="1" applyProtection="1">
      <alignment horizontal="center" vertical="center" wrapText="1"/>
      <protection/>
    </xf>
    <xf numFmtId="166" fontId="13" fillId="0" borderId="23" xfId="0" applyNumberFormat="1" applyFont="1" applyFill="1" applyBorder="1" applyAlignment="1" applyProtection="1">
      <alignment horizontal="center" vertical="center" wrapText="1"/>
      <protection/>
    </xf>
    <xf numFmtId="166" fontId="13" fillId="0" borderId="26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4" xfId="0" applyNumberFormat="1" applyFill="1" applyBorder="1" applyAlignment="1" applyProtection="1">
      <alignment horizontal="lef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5" xfId="0" applyNumberForma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46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48" xfId="64" applyFont="1" applyFill="1" applyBorder="1" applyAlignment="1" applyProtection="1">
      <alignment horizontal="center" vertical="center" wrapText="1"/>
      <protection/>
    </xf>
    <xf numFmtId="0" fontId="5" fillId="0" borderId="48" xfId="64" applyFont="1" applyFill="1" applyBorder="1" applyAlignment="1" applyProtection="1">
      <alignment vertical="center" wrapText="1"/>
      <protection/>
    </xf>
    <xf numFmtId="166" fontId="5" fillId="0" borderId="48" xfId="64" applyNumberFormat="1" applyFont="1" applyFill="1" applyBorder="1" applyAlignment="1" applyProtection="1">
      <alignment horizontal="right" vertical="center" wrapText="1" indent="1"/>
      <protection/>
    </xf>
    <xf numFmtId="0" fontId="14" fillId="0" borderId="48" xfId="64" applyFont="1" applyFill="1" applyBorder="1" applyAlignment="1" applyProtection="1">
      <alignment horizontal="right" vertical="center" wrapText="1" indent="1"/>
      <protection locked="0"/>
    </xf>
    <xf numFmtId="166" fontId="14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Alignment="1">
      <alignment horizontal="center" wrapText="1"/>
    </xf>
    <xf numFmtId="0" fontId="16" fillId="0" borderId="33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 horizontal="right" vertical="center" indent="1"/>
      <protection/>
    </xf>
    <xf numFmtId="166" fontId="0" fillId="0" borderId="47" xfId="0" applyNumberFormat="1" applyFill="1" applyBorder="1" applyAlignment="1" applyProtection="1">
      <alignment horizontal="lef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6" xfId="64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3" fillId="0" borderId="24" xfId="64" applyFont="1" applyFill="1" applyBorder="1" applyAlignment="1" applyProtection="1">
      <alignment horizontal="center" vertical="center" wrapText="1"/>
      <protection/>
    </xf>
    <xf numFmtId="0" fontId="13" fillId="0" borderId="25" xfId="64" applyFont="1" applyFill="1" applyBorder="1" applyAlignment="1" applyProtection="1">
      <alignment horizontal="center" vertical="center" wrapText="1"/>
      <protection/>
    </xf>
    <xf numFmtId="0" fontId="13" fillId="0" borderId="40" xfId="64" applyFont="1" applyFill="1" applyBorder="1" applyAlignment="1" applyProtection="1">
      <alignment horizontal="center" vertical="center" wrapText="1"/>
      <protection/>
    </xf>
    <xf numFmtId="166" fontId="14" fillId="0" borderId="27" xfId="64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4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33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166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64" applyFont="1" applyFill="1" applyProtection="1">
      <alignment/>
      <protection/>
    </xf>
    <xf numFmtId="0" fontId="5" fillId="0" borderId="0" xfId="64" applyFont="1" applyFill="1" applyProtection="1">
      <alignment/>
      <protection/>
    </xf>
    <xf numFmtId="166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4" fillId="0" borderId="18" xfId="64" applyNumberFormat="1" applyFont="1" applyFill="1" applyBorder="1" applyAlignment="1" applyProtection="1">
      <alignment horizontal="center" vertical="center" wrapText="1"/>
      <protection/>
    </xf>
    <xf numFmtId="49" fontId="14" fillId="0" borderId="17" xfId="64" applyNumberFormat="1" applyFont="1" applyFill="1" applyBorder="1" applyAlignment="1" applyProtection="1">
      <alignment horizontal="center" vertical="center" wrapText="1"/>
      <protection/>
    </xf>
    <xf numFmtId="49" fontId="14" fillId="0" borderId="19" xfId="64" applyNumberFormat="1" applyFont="1" applyFill="1" applyBorder="1" applyAlignment="1" applyProtection="1">
      <alignment horizontal="center" vertical="center" wrapText="1"/>
      <protection/>
    </xf>
    <xf numFmtId="0" fontId="13" fillId="0" borderId="34" xfId="64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4" applyFont="1" applyFill="1" applyBorder="1" applyAlignment="1" applyProtection="1">
      <alignment horizontal="left" vertical="center" wrapText="1" indent="1"/>
      <protection/>
    </xf>
    <xf numFmtId="0" fontId="14" fillId="0" borderId="11" xfId="64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4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Border="1" applyAlignment="1" applyProtection="1">
      <alignment vertical="center" wrapText="1"/>
      <protection/>
    </xf>
    <xf numFmtId="0" fontId="18" fillId="0" borderId="39" xfId="0" applyFont="1" applyBorder="1" applyAlignment="1" applyProtection="1">
      <alignment vertical="center" wrapTex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3" fillId="0" borderId="39" xfId="64" applyFont="1" applyFill="1" applyBorder="1" applyAlignment="1" applyProtection="1">
      <alignment horizontal="left" vertical="center" wrapText="1" indent="1"/>
      <protection/>
    </xf>
    <xf numFmtId="0" fontId="13" fillId="0" borderId="33" xfId="64" applyFont="1" applyFill="1" applyBorder="1" applyAlignment="1" applyProtection="1">
      <alignment vertical="center" wrapText="1"/>
      <protection/>
    </xf>
    <xf numFmtId="166" fontId="13" fillId="0" borderId="35" xfId="64" applyNumberFormat="1" applyFont="1" applyFill="1" applyBorder="1" applyAlignment="1" applyProtection="1">
      <alignment horizontal="right" vertical="center" wrapText="1" indent="1"/>
      <protection/>
    </xf>
    <xf numFmtId="0" fontId="14" fillId="0" borderId="29" xfId="64" applyFont="1" applyFill="1" applyBorder="1" applyAlignment="1" applyProtection="1">
      <alignment horizontal="left" vertical="center" wrapText="1" indent="7"/>
      <protection/>
    </xf>
    <xf numFmtId="166" fontId="18" fillId="0" borderId="26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64" applyFont="1" applyFill="1" applyBorder="1" applyAlignment="1" applyProtection="1">
      <alignment horizontal="left" vertical="center" wrapText="1"/>
      <protection/>
    </xf>
    <xf numFmtId="166" fontId="6" fillId="0" borderId="26" xfId="64" applyNumberFormat="1" applyFont="1" applyFill="1" applyBorder="1" applyAlignment="1" applyProtection="1">
      <alignment horizontal="right" vertical="center" wrapText="1" indent="1"/>
      <protection/>
    </xf>
    <xf numFmtId="166" fontId="6" fillId="0" borderId="26" xfId="64" applyNumberFormat="1" applyFont="1" applyFill="1" applyBorder="1" applyAlignment="1" applyProtection="1">
      <alignment vertical="center" wrapText="1"/>
      <protection/>
    </xf>
    <xf numFmtId="166" fontId="12" fillId="0" borderId="27" xfId="64" applyNumberFormat="1" applyFont="1" applyFill="1" applyBorder="1" applyAlignment="1" applyProtection="1">
      <alignment vertical="center" wrapText="1"/>
      <protection locked="0"/>
    </xf>
    <xf numFmtId="166" fontId="12" fillId="0" borderId="28" xfId="64" applyNumberFormat="1" applyFont="1" applyFill="1" applyBorder="1" applyAlignment="1" applyProtection="1">
      <alignment vertical="center" wrapText="1"/>
      <protection locked="0"/>
    </xf>
    <xf numFmtId="166" fontId="12" fillId="0" borderId="42" xfId="64" applyNumberFormat="1" applyFont="1" applyFill="1" applyBorder="1" applyAlignment="1" applyProtection="1">
      <alignment vertical="center" wrapText="1"/>
      <protection locked="0"/>
    </xf>
    <xf numFmtId="166" fontId="12" fillId="0" borderId="37" xfId="64" applyNumberFormat="1" applyFont="1" applyFill="1" applyBorder="1" applyAlignment="1" applyProtection="1">
      <alignment vertical="center" wrapText="1"/>
      <protection locked="0"/>
    </xf>
    <xf numFmtId="0" fontId="0" fillId="0" borderId="45" xfId="64" applyFont="1" applyFill="1" applyBorder="1" applyProtection="1">
      <alignment/>
      <protection/>
    </xf>
    <xf numFmtId="0" fontId="6" fillId="0" borderId="40" xfId="64" applyFont="1" applyFill="1" applyBorder="1" applyAlignment="1" applyProtection="1">
      <alignment horizontal="center" vertical="center" wrapText="1"/>
      <protection/>
    </xf>
    <xf numFmtId="0" fontId="6" fillId="0" borderId="52" xfId="64" applyFont="1" applyFill="1" applyBorder="1" applyAlignment="1" applyProtection="1">
      <alignment horizontal="center" wrapText="1"/>
      <protection/>
    </xf>
    <xf numFmtId="0" fontId="6" fillId="0" borderId="53" xfId="64" applyFont="1" applyFill="1" applyBorder="1" applyAlignment="1" applyProtection="1">
      <alignment horizontal="center" wrapText="1"/>
      <protection/>
    </xf>
    <xf numFmtId="0" fontId="6" fillId="0" borderId="43" xfId="64" applyFont="1" applyFill="1" applyBorder="1" applyAlignment="1" applyProtection="1">
      <alignment horizontal="center"/>
      <protection/>
    </xf>
    <xf numFmtId="3" fontId="6" fillId="0" borderId="26" xfId="64" applyNumberFormat="1" applyFont="1" applyFill="1" applyBorder="1" applyAlignment="1" applyProtection="1">
      <alignment vertical="center" wrapText="1"/>
      <protection/>
    </xf>
    <xf numFmtId="3" fontId="12" fillId="0" borderId="45" xfId="64" applyNumberFormat="1" applyFont="1" applyFill="1" applyBorder="1" applyProtection="1">
      <alignment/>
      <protection/>
    </xf>
    <xf numFmtId="3" fontId="12" fillId="0" borderId="54" xfId="64" applyNumberFormat="1" applyFont="1" applyFill="1" applyBorder="1" applyProtection="1">
      <alignment/>
      <protection/>
    </xf>
    <xf numFmtId="3" fontId="12" fillId="0" borderId="43" xfId="64" applyNumberFormat="1" applyFont="1" applyFill="1" applyBorder="1" applyProtection="1">
      <alignment/>
      <protection/>
    </xf>
    <xf numFmtId="3" fontId="12" fillId="0" borderId="44" xfId="64" applyNumberFormat="1" applyFont="1" applyFill="1" applyBorder="1" applyProtection="1">
      <alignment/>
      <protection/>
    </xf>
    <xf numFmtId="0" fontId="2" fillId="0" borderId="45" xfId="64" applyFill="1" applyBorder="1" applyProtection="1">
      <alignment/>
      <protection/>
    </xf>
    <xf numFmtId="0" fontId="13" fillId="0" borderId="45" xfId="64" applyFont="1" applyFill="1" applyBorder="1" applyAlignment="1" applyProtection="1">
      <alignment horizontal="center"/>
      <protection/>
    </xf>
    <xf numFmtId="0" fontId="2" fillId="0" borderId="44" xfId="64" applyFill="1" applyBorder="1" applyProtection="1">
      <alignment/>
      <protection/>
    </xf>
    <xf numFmtId="0" fontId="13" fillId="0" borderId="43" xfId="64" applyFont="1" applyFill="1" applyBorder="1" applyAlignment="1" applyProtection="1">
      <alignment horizontal="center"/>
      <protection/>
    </xf>
    <xf numFmtId="0" fontId="2" fillId="0" borderId="54" xfId="64" applyFill="1" applyBorder="1" applyProtection="1">
      <alignment/>
      <protection/>
    </xf>
    <xf numFmtId="0" fontId="2" fillId="0" borderId="43" xfId="64" applyFill="1" applyBorder="1" applyProtection="1">
      <alignment/>
      <protection/>
    </xf>
    <xf numFmtId="166" fontId="6" fillId="0" borderId="36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55" xfId="0" applyNumberFormat="1" applyFont="1" applyFill="1" applyBorder="1" applyAlignment="1" applyProtection="1">
      <alignment horizontal="centerContinuous" vertical="center" wrapText="1"/>
      <protection/>
    </xf>
    <xf numFmtId="166" fontId="97" fillId="0" borderId="0" xfId="0" applyNumberFormat="1" applyFont="1" applyFill="1" applyBorder="1" applyAlignment="1" applyProtection="1">
      <alignment horizontal="center" vertical="center" wrapText="1"/>
      <protection/>
    </xf>
    <xf numFmtId="166" fontId="6" fillId="0" borderId="56" xfId="0" applyNumberFormat="1" applyFont="1" applyFill="1" applyBorder="1" applyAlignment="1" applyProtection="1">
      <alignment horizontal="center" vertical="center" wrapText="1"/>
      <protection/>
    </xf>
    <xf numFmtId="166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64" applyFont="1" applyFill="1" applyBorder="1" applyProtection="1">
      <alignment/>
      <protection/>
    </xf>
    <xf numFmtId="0" fontId="0" fillId="0" borderId="54" xfId="64" applyFont="1" applyFill="1" applyBorder="1" applyProtection="1">
      <alignment/>
      <protection/>
    </xf>
    <xf numFmtId="0" fontId="0" fillId="0" borderId="43" xfId="64" applyFont="1" applyFill="1" applyBorder="1" applyProtection="1">
      <alignment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Fill="1" applyBorder="1" applyAlignment="1" applyProtection="1">
      <alignment horizontal="right" vertical="center" wrapText="1"/>
      <protection/>
    </xf>
    <xf numFmtId="3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45" xfId="0" applyNumberFormat="1" applyFont="1" applyFill="1" applyBorder="1" applyAlignment="1" applyProtection="1">
      <alignment horizontal="right" vertical="center" wrapText="1"/>
      <protection/>
    </xf>
    <xf numFmtId="3" fontId="12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4" xfId="0" applyNumberFormat="1" applyFont="1" applyFill="1" applyBorder="1" applyAlignment="1" applyProtection="1">
      <alignment horizontal="right" vertical="center" wrapText="1"/>
      <protection/>
    </xf>
    <xf numFmtId="3" fontId="6" fillId="0" borderId="26" xfId="64" applyNumberFormat="1" applyFont="1" applyFill="1" applyBorder="1" applyAlignment="1" applyProtection="1">
      <alignment horizontal="right" vertical="center" wrapText="1"/>
      <protection/>
    </xf>
    <xf numFmtId="3" fontId="6" fillId="0" borderId="26" xfId="64" applyNumberFormat="1" applyFont="1" applyFill="1" applyBorder="1" applyAlignment="1" applyProtection="1">
      <alignment horizontal="right" vertical="center" wrapText="1"/>
      <protection/>
    </xf>
    <xf numFmtId="3" fontId="6" fillId="0" borderId="40" xfId="64" applyNumberFormat="1" applyFont="1" applyFill="1" applyBorder="1" applyAlignment="1" applyProtection="1">
      <alignment horizontal="right" vertical="center" wrapText="1"/>
      <protection/>
    </xf>
    <xf numFmtId="3" fontId="6" fillId="0" borderId="43" xfId="64" applyNumberFormat="1" applyFont="1" applyFill="1" applyBorder="1" applyAlignment="1" applyProtection="1">
      <alignment horizontal="right" vertical="center" wrapText="1"/>
      <protection/>
    </xf>
    <xf numFmtId="3" fontId="16" fillId="0" borderId="26" xfId="0" applyNumberFormat="1" applyFont="1" applyBorder="1" applyAlignment="1" applyProtection="1">
      <alignment horizontal="right" vertical="center" wrapText="1"/>
      <protection/>
    </xf>
    <xf numFmtId="3" fontId="16" fillId="0" borderId="26" xfId="0" applyNumberFormat="1" applyFont="1" applyBorder="1" applyAlignment="1" applyProtection="1" quotePrefix="1">
      <alignment horizontal="right" vertical="center" wrapText="1"/>
      <protection/>
    </xf>
    <xf numFmtId="3" fontId="12" fillId="0" borderId="45" xfId="64" applyNumberFormat="1" applyFont="1" applyFill="1" applyBorder="1" applyAlignment="1" applyProtection="1">
      <alignment horizontal="right"/>
      <protection/>
    </xf>
    <xf numFmtId="3" fontId="12" fillId="0" borderId="54" xfId="64" applyNumberFormat="1" applyFont="1" applyFill="1" applyBorder="1" applyAlignment="1" applyProtection="1">
      <alignment horizontal="right"/>
      <protection/>
    </xf>
    <xf numFmtId="3" fontId="12" fillId="0" borderId="43" xfId="64" applyNumberFormat="1" applyFont="1" applyFill="1" applyBorder="1" applyAlignment="1" applyProtection="1">
      <alignment horizontal="right"/>
      <protection/>
    </xf>
    <xf numFmtId="3" fontId="12" fillId="0" borderId="44" xfId="64" applyNumberFormat="1" applyFont="1" applyFill="1" applyBorder="1" applyAlignment="1" applyProtection="1">
      <alignment horizontal="right"/>
      <protection/>
    </xf>
    <xf numFmtId="166" fontId="24" fillId="0" borderId="11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34" xfId="0" applyNumberFormat="1" applyFont="1" applyFill="1" applyBorder="1" applyAlignment="1" applyProtection="1">
      <alignment vertical="center" wrapText="1"/>
      <protection/>
    </xf>
    <xf numFmtId="166" fontId="12" fillId="0" borderId="27" xfId="0" applyNumberFormat="1" applyFont="1" applyFill="1" applyBorder="1" applyAlignment="1" applyProtection="1">
      <alignment vertical="center" wrapText="1"/>
      <protection locked="0"/>
    </xf>
    <xf numFmtId="166" fontId="12" fillId="0" borderId="28" xfId="0" applyNumberFormat="1" applyFont="1" applyFill="1" applyBorder="1" applyAlignment="1" applyProtection="1">
      <alignment vertical="center" wrapText="1"/>
      <protection locked="0"/>
    </xf>
    <xf numFmtId="166" fontId="12" fillId="0" borderId="42" xfId="0" applyNumberFormat="1" applyFont="1" applyFill="1" applyBorder="1" applyAlignment="1" applyProtection="1">
      <alignment vertical="center" wrapText="1"/>
      <protection locked="0"/>
    </xf>
    <xf numFmtId="166" fontId="6" fillId="0" borderId="26" xfId="0" applyNumberFormat="1" applyFont="1" applyFill="1" applyBorder="1" applyAlignment="1" applyProtection="1">
      <alignment vertical="center" wrapText="1"/>
      <protection/>
    </xf>
    <xf numFmtId="166" fontId="12" fillId="0" borderId="59" xfId="0" applyNumberFormat="1" applyFont="1" applyFill="1" applyBorder="1" applyAlignment="1" applyProtection="1">
      <alignment vertical="center" wrapText="1"/>
      <protection locked="0"/>
    </xf>
    <xf numFmtId="166" fontId="6" fillId="0" borderId="34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24" fillId="0" borderId="11" xfId="0" applyNumberFormat="1" applyFont="1" applyFill="1" applyBorder="1" applyAlignment="1" applyProtection="1">
      <alignment vertical="center" wrapText="1"/>
      <protection/>
    </xf>
    <xf numFmtId="0" fontId="6" fillId="0" borderId="53" xfId="64" applyFont="1" applyFill="1" applyBorder="1" applyAlignment="1" applyProtection="1">
      <alignment horizontal="center" vertical="center"/>
      <protection/>
    </xf>
    <xf numFmtId="3" fontId="12" fillId="0" borderId="45" xfId="64" applyNumberFormat="1" applyFont="1" applyFill="1" applyBorder="1" applyAlignment="1" applyProtection="1">
      <alignment horizontal="right"/>
      <protection/>
    </xf>
    <xf numFmtId="3" fontId="12" fillId="0" borderId="54" xfId="64" applyNumberFormat="1" applyFont="1" applyFill="1" applyBorder="1" applyAlignment="1" applyProtection="1">
      <alignment horizontal="right"/>
      <protection/>
    </xf>
    <xf numFmtId="3" fontId="12" fillId="0" borderId="43" xfId="64" applyNumberFormat="1" applyFont="1" applyFill="1" applyBorder="1" applyAlignment="1" applyProtection="1">
      <alignment horizontal="right"/>
      <protection/>
    </xf>
    <xf numFmtId="3" fontId="12" fillId="0" borderId="44" xfId="64" applyNumberFormat="1" applyFont="1" applyFill="1" applyBorder="1" applyAlignment="1" applyProtection="1">
      <alignment horizontal="right"/>
      <protection/>
    </xf>
    <xf numFmtId="0" fontId="6" fillId="0" borderId="43" xfId="64" applyFont="1" applyFill="1" applyBorder="1" applyAlignment="1" applyProtection="1">
      <alignment horizontal="center" vertical="center"/>
      <protection/>
    </xf>
    <xf numFmtId="3" fontId="6" fillId="0" borderId="43" xfId="64" applyNumberFormat="1" applyFont="1" applyFill="1" applyBorder="1" applyAlignment="1" applyProtection="1">
      <alignment vertical="center" wrapText="1"/>
      <protection/>
    </xf>
    <xf numFmtId="3" fontId="6" fillId="0" borderId="26" xfId="64" applyNumberFormat="1" applyFont="1" applyFill="1" applyBorder="1" applyAlignment="1" applyProtection="1">
      <alignment vertical="center" wrapText="1"/>
      <protection/>
    </xf>
    <xf numFmtId="3" fontId="16" fillId="0" borderId="26" xfId="0" applyNumberFormat="1" applyFont="1" applyBorder="1" applyAlignment="1" applyProtection="1">
      <alignment vertical="center" wrapText="1"/>
      <protection/>
    </xf>
    <xf numFmtId="3" fontId="16" fillId="0" borderId="26" xfId="0" applyNumberFormat="1" applyFont="1" applyBorder="1" applyAlignment="1" applyProtection="1" quotePrefix="1">
      <alignment vertical="center" wrapText="1"/>
      <protection/>
    </xf>
    <xf numFmtId="3" fontId="12" fillId="0" borderId="45" xfId="64" applyNumberFormat="1" applyFont="1" applyFill="1" applyBorder="1" applyAlignment="1" applyProtection="1">
      <alignment/>
      <protection/>
    </xf>
    <xf numFmtId="3" fontId="12" fillId="0" borderId="54" xfId="64" applyNumberFormat="1" applyFont="1" applyFill="1" applyBorder="1" applyAlignment="1" applyProtection="1">
      <alignment/>
      <protection/>
    </xf>
    <xf numFmtId="3" fontId="12" fillId="0" borderId="43" xfId="64" applyNumberFormat="1" applyFont="1" applyFill="1" applyBorder="1" applyAlignment="1" applyProtection="1">
      <alignment/>
      <protection/>
    </xf>
    <xf numFmtId="3" fontId="12" fillId="0" borderId="44" xfId="64" applyNumberFormat="1" applyFont="1" applyFill="1" applyBorder="1" applyAlignment="1" applyProtection="1">
      <alignment/>
      <protection/>
    </xf>
    <xf numFmtId="166" fontId="6" fillId="0" borderId="36" xfId="0" applyNumberFormat="1" applyFont="1" applyFill="1" applyBorder="1" applyAlignment="1" applyProtection="1">
      <alignment horizontal="center" vertical="center" wrapText="1"/>
      <protection/>
    </xf>
    <xf numFmtId="166" fontId="13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31" xfId="0" applyNumberFormat="1" applyFont="1" applyFill="1" applyBorder="1" applyAlignment="1" applyProtection="1">
      <alignment vertical="center" wrapText="1"/>
      <protection locked="0"/>
    </xf>
    <xf numFmtId="166" fontId="12" fillId="0" borderId="14" xfId="0" applyNumberFormat="1" applyFont="1" applyFill="1" applyBorder="1" applyAlignment="1" applyProtection="1">
      <alignment vertical="center" wrapText="1"/>
      <protection locked="0"/>
    </xf>
    <xf numFmtId="166" fontId="12" fillId="0" borderId="60" xfId="0" applyNumberFormat="1" applyFont="1" applyFill="1" applyBorder="1" applyAlignment="1" applyProtection="1">
      <alignment vertical="center" wrapText="1"/>
      <protection locked="0"/>
    </xf>
    <xf numFmtId="166" fontId="12" fillId="0" borderId="61" xfId="0" applyNumberFormat="1" applyFont="1" applyFill="1" applyBorder="1" applyAlignment="1" applyProtection="1">
      <alignment vertical="center" wrapText="1"/>
      <protection locked="0"/>
    </xf>
    <xf numFmtId="166" fontId="12" fillId="0" borderId="14" xfId="0" applyNumberFormat="1" applyFont="1" applyFill="1" applyBorder="1" applyAlignment="1" applyProtection="1">
      <alignment vertical="center" wrapText="1"/>
      <protection locked="0"/>
    </xf>
    <xf numFmtId="166" fontId="12" fillId="0" borderId="62" xfId="0" applyNumberFormat="1" applyFont="1" applyFill="1" applyBorder="1" applyAlignment="1" applyProtection="1">
      <alignment vertical="center" wrapText="1"/>
      <protection locked="0"/>
    </xf>
    <xf numFmtId="166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vertical="center" wrapText="1"/>
      <protection locked="0"/>
    </xf>
    <xf numFmtId="166" fontId="12" fillId="0" borderId="62" xfId="0" applyNumberFormat="1" applyFont="1" applyFill="1" applyBorder="1" applyAlignment="1" applyProtection="1">
      <alignment vertical="center" wrapText="1"/>
      <protection locked="0"/>
    </xf>
    <xf numFmtId="0" fontId="2" fillId="0" borderId="0" xfId="64" applyFont="1" applyFill="1" applyAlignment="1">
      <alignment wrapText="1"/>
      <protection/>
    </xf>
    <xf numFmtId="3" fontId="2" fillId="0" borderId="0" xfId="64" applyNumberFormat="1" applyFont="1" applyFill="1">
      <alignment/>
      <protection/>
    </xf>
    <xf numFmtId="16" fontId="2" fillId="0" borderId="0" xfId="64" applyNumberFormat="1" applyFont="1" applyFill="1">
      <alignment/>
      <protection/>
    </xf>
    <xf numFmtId="3" fontId="2" fillId="0" borderId="0" xfId="64" applyNumberFormat="1" applyFont="1" applyFill="1" applyAlignment="1">
      <alignment horizontal="right" vertical="center" indent="1"/>
      <protection/>
    </xf>
    <xf numFmtId="14" fontId="2" fillId="0" borderId="0" xfId="64" applyNumberFormat="1" applyFont="1" applyFill="1">
      <alignment/>
      <protection/>
    </xf>
    <xf numFmtId="0" fontId="14" fillId="0" borderId="52" xfId="64" applyFont="1" applyFill="1" applyBorder="1" applyProtection="1">
      <alignment/>
      <protection/>
    </xf>
    <xf numFmtId="0" fontId="0" fillId="0" borderId="63" xfId="64" applyFont="1" applyFill="1" applyBorder="1" applyProtection="1">
      <alignment/>
      <protection/>
    </xf>
    <xf numFmtId="2" fontId="13" fillId="0" borderId="43" xfId="64" applyNumberFormat="1" applyFont="1" applyFill="1" applyBorder="1" applyAlignment="1" applyProtection="1">
      <alignment horizontal="center"/>
      <protection/>
    </xf>
    <xf numFmtId="166" fontId="13" fillId="0" borderId="26" xfId="64" applyNumberFormat="1" applyFont="1" applyFill="1" applyBorder="1" applyAlignment="1" applyProtection="1">
      <alignment vertical="center" wrapText="1"/>
      <protection/>
    </xf>
    <xf numFmtId="0" fontId="14" fillId="0" borderId="43" xfId="64" applyFont="1" applyFill="1" applyBorder="1" applyProtection="1">
      <alignment/>
      <protection/>
    </xf>
    <xf numFmtId="166" fontId="13" fillId="0" borderId="43" xfId="64" applyNumberFormat="1" applyFont="1" applyFill="1" applyBorder="1" applyAlignment="1" applyProtection="1">
      <alignment horizontal="right" vertical="center" wrapText="1" indent="1"/>
      <protection/>
    </xf>
    <xf numFmtId="166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5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2" fillId="0" borderId="4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2" fillId="0" borderId="45" xfId="0" applyNumberFormat="1" applyFont="1" applyFill="1" applyBorder="1" applyAlignment="1">
      <alignment vertical="center" wrapText="1"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3" fontId="12" fillId="0" borderId="54" xfId="0" applyNumberFormat="1" applyFont="1" applyFill="1" applyBorder="1" applyAlignment="1">
      <alignment horizontal="right"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43" xfId="0" applyNumberFormat="1" applyFont="1" applyFill="1" applyBorder="1" applyAlignment="1">
      <alignment horizontal="right" vertical="center" wrapText="1"/>
    </xf>
    <xf numFmtId="3" fontId="12" fillId="0" borderId="43" xfId="0" applyNumberFormat="1" applyFont="1" applyFill="1" applyBorder="1" applyAlignment="1">
      <alignment vertical="center" wrapText="1"/>
    </xf>
    <xf numFmtId="3" fontId="12" fillId="0" borderId="44" xfId="0" applyNumberFormat="1" applyFont="1" applyFill="1" applyBorder="1" applyAlignment="1">
      <alignment horizontal="right" vertical="center" wrapText="1"/>
    </xf>
    <xf numFmtId="3" fontId="12" fillId="0" borderId="44" xfId="0" applyNumberFormat="1" applyFont="1" applyFill="1" applyBorder="1" applyAlignment="1">
      <alignment vertical="center" wrapText="1"/>
    </xf>
    <xf numFmtId="0" fontId="18" fillId="0" borderId="39" xfId="0" applyFont="1" applyBorder="1" applyAlignment="1" applyProtection="1">
      <alignment horizontal="center" wrapText="1"/>
      <protection/>
    </xf>
    <xf numFmtId="0" fontId="7" fillId="0" borderId="0" xfId="0" applyFont="1" applyFill="1" applyAlignment="1">
      <alignment vertical="center" wrapText="1"/>
    </xf>
    <xf numFmtId="49" fontId="14" fillId="0" borderId="20" xfId="64" applyNumberFormat="1" applyFont="1" applyFill="1" applyBorder="1" applyAlignment="1" applyProtection="1">
      <alignment horizontal="center" vertical="center" wrapText="1"/>
      <protection/>
    </xf>
    <xf numFmtId="49" fontId="14" fillId="0" borderId="16" xfId="64" applyNumberFormat="1" applyFont="1" applyFill="1" applyBorder="1" applyAlignment="1" applyProtection="1">
      <alignment horizontal="center" vertical="center" wrapText="1"/>
      <protection/>
    </xf>
    <xf numFmtId="3" fontId="12" fillId="0" borderId="28" xfId="64" applyNumberFormat="1" applyFont="1" applyFill="1" applyBorder="1" applyAlignment="1" applyProtection="1">
      <alignment horizontal="right" vertical="center" wrapText="1"/>
      <protection locked="0"/>
    </xf>
    <xf numFmtId="49" fontId="14" fillId="0" borderId="21" xfId="64" applyNumberFormat="1" applyFont="1" applyFill="1" applyBorder="1" applyAlignment="1" applyProtection="1">
      <alignment horizontal="center" vertical="center" wrapText="1"/>
      <protection/>
    </xf>
    <xf numFmtId="0" fontId="14" fillId="0" borderId="29" xfId="64" applyFont="1" applyFill="1" applyBorder="1" applyAlignment="1" applyProtection="1">
      <alignment horizontal="left" vertical="center" wrapText="1" indent="6"/>
      <protection/>
    </xf>
    <xf numFmtId="3" fontId="24" fillId="0" borderId="45" xfId="0" applyNumberFormat="1" applyFont="1" applyFill="1" applyBorder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3" fontId="12" fillId="0" borderId="45" xfId="0" applyNumberFormat="1" applyFont="1" applyFill="1" applyBorder="1" applyAlignment="1">
      <alignment horizontal="right" vertical="center" wrapText="1"/>
    </xf>
    <xf numFmtId="49" fontId="13" fillId="0" borderId="22" xfId="64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3" xfId="0" applyFont="1" applyFill="1" applyBorder="1" applyAlignment="1">
      <alignment vertical="center" wrapText="1"/>
    </xf>
    <xf numFmtId="0" fontId="0" fillId="0" borderId="43" xfId="0" applyFont="1" applyFill="1" applyBorder="1" applyAlignment="1" applyProtection="1">
      <alignment horizontal="right" vertical="center" wrapText="1" inden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3" fontId="12" fillId="0" borderId="45" xfId="0" applyNumberFormat="1" applyFont="1" applyFill="1" applyBorder="1" applyAlignment="1" applyProtection="1">
      <alignment vertical="center" wrapText="1"/>
      <protection/>
    </xf>
    <xf numFmtId="3" fontId="12" fillId="0" borderId="54" xfId="0" applyNumberFormat="1" applyFont="1" applyFill="1" applyBorder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3" xfId="0" applyNumberFormat="1" applyFont="1" applyFill="1" applyBorder="1" applyAlignment="1" applyProtection="1">
      <alignment vertical="center" wrapText="1"/>
      <protection/>
    </xf>
    <xf numFmtId="3" fontId="12" fillId="0" borderId="44" xfId="0" applyNumberFormat="1" applyFont="1" applyFill="1" applyBorder="1" applyAlignment="1" applyProtection="1">
      <alignment vertical="center" wrapText="1"/>
      <protection/>
    </xf>
    <xf numFmtId="3" fontId="6" fillId="0" borderId="26" xfId="0" applyNumberFormat="1" applyFont="1" applyFill="1" applyBorder="1" applyAlignment="1" applyProtection="1">
      <alignment vertical="center" wrapText="1"/>
      <protection/>
    </xf>
    <xf numFmtId="3" fontId="12" fillId="0" borderId="28" xfId="0" applyNumberFormat="1" applyFont="1" applyFill="1" applyBorder="1" applyAlignment="1" applyProtection="1">
      <alignment vertical="center" wrapText="1"/>
      <protection locked="0"/>
    </xf>
    <xf numFmtId="3" fontId="6" fillId="0" borderId="26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43" xfId="0" applyFont="1" applyFill="1" applyBorder="1" applyAlignment="1" applyProtection="1">
      <alignment vertical="center" wrapText="1"/>
      <protection/>
    </xf>
    <xf numFmtId="0" fontId="98" fillId="0" borderId="0" xfId="0" applyFont="1" applyAlignment="1">
      <alignment/>
    </xf>
    <xf numFmtId="166" fontId="99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6" fontId="99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center" vertical="center" wrapText="1"/>
      <protection/>
    </xf>
    <xf numFmtId="166" fontId="13" fillId="0" borderId="33" xfId="0" applyNumberFormat="1" applyFont="1" applyFill="1" applyBorder="1" applyAlignment="1" applyProtection="1">
      <alignment horizontal="center" vertical="center" wrapText="1"/>
      <protection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13" fillId="0" borderId="23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>
      <alignment vertical="center" wrapText="1"/>
    </xf>
    <xf numFmtId="166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166" fontId="12" fillId="0" borderId="41" xfId="0" applyNumberFormat="1" applyFont="1" applyFill="1" applyBorder="1" applyAlignment="1" applyProtection="1">
      <alignment vertical="center" wrapText="1"/>
      <protection locked="0"/>
    </xf>
    <xf numFmtId="166" fontId="12" fillId="0" borderId="28" xfId="0" applyNumberFormat="1" applyFont="1" applyFill="1" applyBorder="1" applyAlignment="1" applyProtection="1">
      <alignment vertical="center" wrapText="1"/>
      <protection locked="0"/>
    </xf>
    <xf numFmtId="166" fontId="12" fillId="0" borderId="59" xfId="0" applyNumberFormat="1" applyFont="1" applyFill="1" applyBorder="1" applyAlignment="1" applyProtection="1">
      <alignment vertical="center" wrapText="1"/>
      <protection locked="0"/>
    </xf>
    <xf numFmtId="166" fontId="12" fillId="0" borderId="42" xfId="0" applyNumberFormat="1" applyFont="1" applyFill="1" applyBorder="1" applyAlignment="1" applyProtection="1">
      <alignment vertical="center" wrapText="1"/>
      <protection locked="0"/>
    </xf>
    <xf numFmtId="166" fontId="12" fillId="0" borderId="27" xfId="0" applyNumberFormat="1" applyFont="1" applyFill="1" applyBorder="1" applyAlignment="1" applyProtection="1">
      <alignment vertical="center" wrapText="1"/>
      <protection locked="0"/>
    </xf>
    <xf numFmtId="166" fontId="12" fillId="0" borderId="3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vertical="center"/>
      <protection/>
    </xf>
    <xf numFmtId="49" fontId="14" fillId="0" borderId="67" xfId="0" applyNumberFormat="1" applyFont="1" applyFill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/>
    </xf>
    <xf numFmtId="49" fontId="19" fillId="0" borderId="17" xfId="0" applyNumberFormat="1" applyFont="1" applyFill="1" applyBorder="1" applyAlignment="1" applyProtection="1" quotePrefix="1">
      <alignment horizontal="left" vertical="center" indent="1"/>
      <protection/>
    </xf>
    <xf numFmtId="49" fontId="19" fillId="0" borderId="14" xfId="0" applyNumberFormat="1" applyFont="1" applyFill="1" applyBorder="1" applyAlignment="1" applyProtection="1" quotePrefix="1">
      <alignment horizontal="left" vertical="center" indent="1"/>
      <protection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19" fillId="0" borderId="28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  <xf numFmtId="49" fontId="14" fillId="0" borderId="14" xfId="0" applyNumberFormat="1" applyFont="1" applyFill="1" applyBorder="1" applyAlignment="1" applyProtection="1">
      <alignment vertical="center"/>
      <protection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3" fontId="14" fillId="0" borderId="28" xfId="0" applyNumberFormat="1" applyFont="1" applyFill="1" applyBorder="1" applyAlignment="1" applyProtection="1">
      <alignment vertical="center"/>
      <protection/>
    </xf>
    <xf numFmtId="49" fontId="14" fillId="0" borderId="19" xfId="0" applyNumberFormat="1" applyFont="1" applyFill="1" applyBorder="1" applyAlignment="1" applyProtection="1">
      <alignment vertical="center"/>
      <protection locked="0"/>
    </xf>
    <xf numFmtId="49" fontId="14" fillId="0" borderId="61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 applyProtection="1">
      <alignment vertical="center"/>
      <protection/>
    </xf>
    <xf numFmtId="49" fontId="6" fillId="0" borderId="36" xfId="0" applyNumberFormat="1" applyFont="1" applyFill="1" applyBorder="1" applyAlignment="1" applyProtection="1">
      <alignment vertical="center"/>
      <protection/>
    </xf>
    <xf numFmtId="3" fontId="14" fillId="0" borderId="23" xfId="0" applyNumberFormat="1" applyFont="1" applyFill="1" applyBorder="1" applyAlignment="1" applyProtection="1">
      <alignment vertical="center"/>
      <protection/>
    </xf>
    <xf numFmtId="3" fontId="14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vertical="center"/>
      <protection locked="0"/>
    </xf>
    <xf numFmtId="49" fontId="14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vertical="center"/>
      <protection/>
    </xf>
    <xf numFmtId="3" fontId="14" fillId="0" borderId="27" xfId="0" applyNumberFormat="1" applyFont="1" applyFill="1" applyBorder="1" applyAlignment="1" applyProtection="1">
      <alignment vertical="center"/>
      <protection/>
    </xf>
    <xf numFmtId="3" fontId="30" fillId="0" borderId="28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3" fontId="14" fillId="0" borderId="67" xfId="0" applyNumberFormat="1" applyFont="1" applyFill="1" applyBorder="1" applyAlignment="1" applyProtection="1">
      <alignment vertical="center"/>
      <protection/>
    </xf>
    <xf numFmtId="3" fontId="19" fillId="0" borderId="14" xfId="0" applyNumberFormat="1" applyFont="1" applyFill="1" applyBorder="1" applyAlignment="1" applyProtection="1" quotePrefix="1">
      <alignment horizontal="left" vertical="center" indent="1"/>
      <protection/>
    </xf>
    <xf numFmtId="3" fontId="14" fillId="0" borderId="61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/>
    </xf>
    <xf numFmtId="3" fontId="14" fillId="0" borderId="14" xfId="0" applyNumberFormat="1" applyFont="1" applyFill="1" applyBorder="1" applyAlignment="1" applyProtection="1">
      <alignment horizontal="right" vertical="center"/>
      <protection/>
    </xf>
    <xf numFmtId="0" fontId="27" fillId="0" borderId="0" xfId="61" applyFont="1" applyAlignment="1">
      <alignment horizontal="center"/>
      <protection/>
    </xf>
    <xf numFmtId="0" fontId="26" fillId="0" borderId="0" xfId="61">
      <alignment/>
      <protection/>
    </xf>
    <xf numFmtId="0" fontId="28" fillId="0" borderId="0" xfId="61" applyFont="1">
      <alignment/>
      <protection/>
    </xf>
    <xf numFmtId="49" fontId="28" fillId="0" borderId="20" xfId="61" applyNumberFormat="1" applyFont="1" applyBorder="1" applyAlignment="1">
      <alignment horizontal="center"/>
      <protection/>
    </xf>
    <xf numFmtId="0" fontId="28" fillId="0" borderId="13" xfId="61" applyFont="1" applyBorder="1">
      <alignment/>
      <protection/>
    </xf>
    <xf numFmtId="3" fontId="28" fillId="0" borderId="41" xfId="61" applyNumberFormat="1" applyFont="1" applyBorder="1">
      <alignment/>
      <protection/>
    </xf>
    <xf numFmtId="49" fontId="28" fillId="0" borderId="17" xfId="61" applyNumberFormat="1" applyFont="1" applyBorder="1" applyAlignment="1">
      <alignment horizontal="center"/>
      <protection/>
    </xf>
    <xf numFmtId="0" fontId="28" fillId="0" borderId="11" xfId="61" applyFont="1" applyBorder="1">
      <alignment/>
      <protection/>
    </xf>
    <xf numFmtId="3" fontId="28" fillId="0" borderId="28" xfId="61" applyNumberFormat="1" applyFont="1" applyBorder="1">
      <alignment/>
      <protection/>
    </xf>
    <xf numFmtId="49" fontId="27" fillId="0" borderId="17" xfId="61" applyNumberFormat="1" applyFont="1" applyBorder="1" applyAlignment="1">
      <alignment horizontal="center"/>
      <protection/>
    </xf>
    <xf numFmtId="0" fontId="27" fillId="0" borderId="11" xfId="61" applyFont="1" applyBorder="1">
      <alignment/>
      <protection/>
    </xf>
    <xf numFmtId="3" fontId="27" fillId="0" borderId="28" xfId="61" applyNumberFormat="1" applyFont="1" applyBorder="1">
      <alignment/>
      <protection/>
    </xf>
    <xf numFmtId="0" fontId="32" fillId="0" borderId="0" xfId="61" applyFont="1">
      <alignment/>
      <protection/>
    </xf>
    <xf numFmtId="49" fontId="27" fillId="0" borderId="21" xfId="61" applyNumberFormat="1" applyFont="1" applyBorder="1" applyAlignment="1">
      <alignment horizontal="center"/>
      <protection/>
    </xf>
    <xf numFmtId="0" fontId="27" fillId="0" borderId="29" xfId="61" applyFont="1" applyBorder="1">
      <alignment/>
      <protection/>
    </xf>
    <xf numFmtId="3" fontId="27" fillId="0" borderId="30" xfId="61" applyNumberFormat="1" applyFont="1" applyBorder="1">
      <alignment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68" xfId="0" applyNumberFormat="1" applyFont="1" applyFill="1" applyBorder="1" applyAlignment="1" applyProtection="1">
      <alignment horizontal="center" vertical="center"/>
      <protection/>
    </xf>
    <xf numFmtId="166" fontId="6" fillId="0" borderId="58" xfId="0" applyNumberFormat="1" applyFont="1" applyFill="1" applyBorder="1" applyAlignment="1" applyProtection="1">
      <alignment horizontal="center" vertical="center"/>
      <protection/>
    </xf>
    <xf numFmtId="166" fontId="6" fillId="0" borderId="30" xfId="0" applyNumberFormat="1" applyFont="1" applyFill="1" applyBorder="1" applyAlignment="1" applyProtection="1">
      <alignment horizontal="center" vertical="center" wrapText="1"/>
      <protection/>
    </xf>
    <xf numFmtId="166" fontId="13" fillId="0" borderId="50" xfId="0" applyNumberFormat="1" applyFont="1" applyFill="1" applyBorder="1" applyAlignment="1" applyProtection="1">
      <alignment horizontal="center" vertical="center" wrapText="1"/>
      <protection/>
    </xf>
    <xf numFmtId="166" fontId="13" fillId="0" borderId="23" xfId="0" applyNumberFormat="1" applyFont="1" applyFill="1" applyBorder="1" applyAlignment="1" applyProtection="1">
      <alignment horizontal="center" vertical="center" wrapText="1"/>
      <protection/>
    </xf>
    <xf numFmtId="166" fontId="13" fillId="0" borderId="56" xfId="0" applyNumberFormat="1" applyFont="1" applyFill="1" applyBorder="1" applyAlignment="1" applyProtection="1">
      <alignment horizontal="center" vertical="center" wrapText="1"/>
      <protection/>
    </xf>
    <xf numFmtId="166" fontId="13" fillId="0" borderId="47" xfId="0" applyNumberFormat="1" applyFont="1" applyFill="1" applyBorder="1" applyAlignment="1" applyProtection="1">
      <alignment horizontal="center" vertical="center" wrapText="1"/>
      <protection/>
    </xf>
    <xf numFmtId="166" fontId="13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3" fillId="0" borderId="13" xfId="0" applyNumberFormat="1" applyFont="1" applyFill="1" applyBorder="1" applyAlignment="1" applyProtection="1">
      <alignment vertical="center" wrapText="1"/>
      <protection/>
    </xf>
    <xf numFmtId="166" fontId="13" fillId="0" borderId="57" xfId="0" applyNumberFormat="1" applyFont="1" applyFill="1" applyBorder="1" applyAlignment="1" applyProtection="1">
      <alignment vertical="center" wrapText="1"/>
      <protection/>
    </xf>
    <xf numFmtId="166" fontId="13" fillId="0" borderId="52" xfId="0" applyNumberFormat="1" applyFont="1" applyFill="1" applyBorder="1" applyAlignment="1" applyProtection="1">
      <alignment vertical="center" wrapText="1"/>
      <protection/>
    </xf>
    <xf numFmtId="166" fontId="13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64" xfId="0" applyNumberFormat="1" applyFont="1" applyFill="1" applyBorder="1" applyAlignment="1" applyProtection="1">
      <alignment vertical="center" wrapText="1"/>
      <protection locked="0"/>
    </xf>
    <xf numFmtId="166" fontId="14" fillId="0" borderId="45" xfId="0" applyNumberFormat="1" applyFont="1" applyFill="1" applyBorder="1" applyAlignment="1" applyProtection="1">
      <alignment vertical="center" wrapTex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166" fontId="13" fillId="0" borderId="64" xfId="0" applyNumberFormat="1" applyFont="1" applyFill="1" applyBorder="1" applyAlignment="1" applyProtection="1">
      <alignment vertical="center" wrapText="1"/>
      <protection/>
    </xf>
    <xf numFmtId="166" fontId="13" fillId="0" borderId="45" xfId="0" applyNumberFormat="1" applyFont="1" applyFill="1" applyBorder="1" applyAlignment="1" applyProtection="1">
      <alignment vertical="center" wrapTex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3" fillId="0" borderId="10" xfId="0" applyNumberFormat="1" applyFont="1" applyFill="1" applyBorder="1" applyAlignment="1" applyProtection="1">
      <alignment vertical="center" wrapText="1"/>
      <protection/>
    </xf>
    <xf numFmtId="166" fontId="13" fillId="0" borderId="65" xfId="0" applyNumberFormat="1" applyFont="1" applyFill="1" applyBorder="1" applyAlignment="1" applyProtection="1">
      <alignment vertical="center" wrapText="1"/>
      <protection/>
    </xf>
    <xf numFmtId="1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0" xfId="0" applyNumberFormat="1" applyFont="1" applyFill="1" applyBorder="1" applyAlignment="1" applyProtection="1">
      <alignment vertical="center" wrapText="1"/>
      <protection locked="0"/>
    </xf>
    <xf numFmtId="166" fontId="14" fillId="0" borderId="65" xfId="0" applyNumberFormat="1" applyFont="1" applyFill="1" applyBorder="1" applyAlignment="1" applyProtection="1">
      <alignment vertical="center" wrapText="1"/>
      <protection locked="0"/>
    </xf>
    <xf numFmtId="166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4" fillId="33" borderId="56" xfId="0" applyNumberFormat="1" applyFont="1" applyFill="1" applyBorder="1" applyAlignment="1" applyProtection="1">
      <alignment vertical="center" wrapText="1"/>
      <protection/>
    </xf>
    <xf numFmtId="166" fontId="13" fillId="0" borderId="23" xfId="0" applyNumberFormat="1" applyFont="1" applyFill="1" applyBorder="1" applyAlignment="1" applyProtection="1">
      <alignment vertical="center" wrapText="1"/>
      <protection/>
    </xf>
    <xf numFmtId="166" fontId="13" fillId="0" borderId="56" xfId="0" applyNumberFormat="1" applyFont="1" applyFill="1" applyBorder="1" applyAlignment="1" applyProtection="1">
      <alignment vertical="center" wrapText="1"/>
      <protection/>
    </xf>
    <xf numFmtId="166" fontId="13" fillId="0" borderId="43" xfId="0" applyNumberFormat="1" applyFont="1" applyFill="1" applyBorder="1" applyAlignment="1" applyProtection="1">
      <alignment vertical="center" wrapText="1"/>
      <protection/>
    </xf>
    <xf numFmtId="166" fontId="1" fillId="0" borderId="0" xfId="0" applyNumberFormat="1" applyFont="1" applyFill="1" applyAlignment="1">
      <alignment vertical="center" wrapText="1"/>
    </xf>
    <xf numFmtId="166" fontId="6" fillId="0" borderId="58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166" fontId="6" fillId="0" borderId="50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6" fillId="0" borderId="56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166" fontId="13" fillId="0" borderId="22" xfId="0" applyNumberFormat="1" applyFont="1" applyFill="1" applyBorder="1" applyAlignment="1">
      <alignment horizontal="right" vertical="center" wrapText="1" indent="1"/>
    </xf>
    <xf numFmtId="166" fontId="13" fillId="0" borderId="43" xfId="0" applyNumberFormat="1" applyFont="1" applyFill="1" applyBorder="1" applyAlignment="1">
      <alignment horizontal="left" vertical="center" wrapText="1" indent="1"/>
    </xf>
    <xf numFmtId="166" fontId="0" fillId="33" borderId="43" xfId="0" applyNumberFormat="1" applyFont="1" applyFill="1" applyBorder="1" applyAlignment="1">
      <alignment horizontal="left" vertical="center" wrapText="1" indent="2"/>
    </xf>
    <xf numFmtId="166" fontId="0" fillId="33" borderId="36" xfId="0" applyNumberFormat="1" applyFont="1" applyFill="1" applyBorder="1" applyAlignment="1">
      <alignment horizontal="left" vertical="center" wrapText="1" indent="2"/>
    </xf>
    <xf numFmtId="166" fontId="13" fillId="0" borderId="22" xfId="0" applyNumberFormat="1" applyFont="1" applyFill="1" applyBorder="1" applyAlignment="1">
      <alignment vertical="center" wrapText="1"/>
    </xf>
    <xf numFmtId="166" fontId="13" fillId="0" borderId="23" xfId="0" applyNumberFormat="1" applyFont="1" applyFill="1" applyBorder="1" applyAlignment="1">
      <alignment vertical="center" wrapText="1"/>
    </xf>
    <xf numFmtId="166" fontId="13" fillId="0" borderId="26" xfId="0" applyNumberFormat="1" applyFont="1" applyFill="1" applyBorder="1" applyAlignment="1">
      <alignment vertical="center" wrapText="1"/>
    </xf>
    <xf numFmtId="166" fontId="13" fillId="0" borderId="17" xfId="0" applyNumberFormat="1" applyFont="1" applyFill="1" applyBorder="1" applyAlignment="1">
      <alignment horizontal="right" vertical="center" wrapText="1" indent="1"/>
    </xf>
    <xf numFmtId="166" fontId="14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28" xfId="0" applyNumberFormat="1" applyFont="1" applyFill="1" applyBorder="1" applyAlignment="1" applyProtection="1">
      <alignment vertical="center" wrapText="1"/>
      <protection locked="0"/>
    </xf>
    <xf numFmtId="166" fontId="0" fillId="33" borderId="43" xfId="0" applyNumberFormat="1" applyFont="1" applyFill="1" applyBorder="1" applyAlignment="1">
      <alignment horizontal="right" vertical="center" wrapText="1" indent="2"/>
    </xf>
    <xf numFmtId="166" fontId="0" fillId="33" borderId="36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6" fontId="14" fillId="0" borderId="11" xfId="0" applyNumberFormat="1" applyFont="1" applyFill="1" applyBorder="1" applyAlignment="1" applyProtection="1">
      <alignment vertical="center"/>
      <protection locked="0"/>
    </xf>
    <xf numFmtId="166" fontId="14" fillId="0" borderId="64" xfId="0" applyNumberFormat="1" applyFont="1" applyFill="1" applyBorder="1" applyAlignment="1" applyProtection="1">
      <alignment vertical="center"/>
      <protection locked="0"/>
    </xf>
    <xf numFmtId="166" fontId="13" fillId="0" borderId="64" xfId="0" applyNumberFormat="1" applyFont="1" applyFill="1" applyBorder="1" applyAlignment="1" applyProtection="1">
      <alignment vertical="center"/>
      <protection/>
    </xf>
    <xf numFmtId="166" fontId="13" fillId="0" borderId="28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6" fontId="14" fillId="0" borderId="15" xfId="0" applyNumberFormat="1" applyFont="1" applyFill="1" applyBorder="1" applyAlignment="1" applyProtection="1">
      <alignment vertical="center"/>
      <protection locked="0"/>
    </xf>
    <xf numFmtId="166" fontId="14" fillId="0" borderId="69" xfId="0" applyNumberFormat="1" applyFont="1" applyFill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vertical="center" wrapText="1"/>
      <protection/>
    </xf>
    <xf numFmtId="166" fontId="14" fillId="0" borderId="29" xfId="0" applyNumberFormat="1" applyFont="1" applyFill="1" applyBorder="1" applyAlignment="1" applyProtection="1">
      <alignment vertical="center"/>
      <protection locked="0"/>
    </xf>
    <xf numFmtId="166" fontId="14" fillId="0" borderId="58" xfId="0" applyNumberFormat="1" applyFont="1" applyFill="1" applyBorder="1" applyAlignment="1" applyProtection="1">
      <alignment vertical="center"/>
      <protection locked="0"/>
    </xf>
    <xf numFmtId="166" fontId="13" fillId="0" borderId="23" xfId="0" applyNumberFormat="1" applyFont="1" applyFill="1" applyBorder="1" applyAlignment="1" applyProtection="1">
      <alignment vertical="center"/>
      <protection/>
    </xf>
    <xf numFmtId="166" fontId="13" fillId="0" borderId="56" xfId="0" applyNumberFormat="1" applyFont="1" applyFill="1" applyBorder="1" applyAlignment="1" applyProtection="1">
      <alignment vertical="center"/>
      <protection/>
    </xf>
    <xf numFmtId="166" fontId="13" fillId="0" borderId="2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66" fontId="13" fillId="0" borderId="30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3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5" fillId="0" borderId="26" xfId="0" applyFont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center" vertical="top" wrapText="1"/>
      <protection/>
    </xf>
    <xf numFmtId="9" fontId="100" fillId="0" borderId="12" xfId="74" applyFont="1" applyBorder="1" applyAlignment="1" applyProtection="1">
      <alignment horizontal="center" vertical="center" wrapText="1"/>
      <protection locked="0"/>
    </xf>
    <xf numFmtId="168" fontId="37" fillId="0" borderId="27" xfId="42" applyNumberFormat="1" applyFont="1" applyBorder="1" applyAlignment="1" applyProtection="1">
      <alignment horizontal="center" vertical="top" wrapText="1"/>
      <protection locked="0"/>
    </xf>
    <xf numFmtId="0" fontId="35" fillId="0" borderId="17" xfId="0" applyFont="1" applyBorder="1" applyAlignment="1" applyProtection="1">
      <alignment horizontal="center" vertical="top" wrapText="1"/>
      <protection/>
    </xf>
    <xf numFmtId="9" fontId="100" fillId="0" borderId="11" xfId="74" applyFont="1" applyBorder="1" applyAlignment="1" applyProtection="1">
      <alignment horizontal="center" vertical="center" wrapText="1"/>
      <protection locked="0"/>
    </xf>
    <xf numFmtId="168" fontId="37" fillId="0" borderId="28" xfId="42" applyNumberFormat="1" applyFont="1" applyBorder="1" applyAlignment="1" applyProtection="1">
      <alignment horizontal="center" vertical="top" wrapText="1"/>
      <protection locked="0"/>
    </xf>
    <xf numFmtId="0" fontId="37" fillId="0" borderId="11" xfId="0" applyFont="1" applyBorder="1" applyAlignment="1" applyProtection="1">
      <alignment horizontal="left" vertical="top" wrapText="1"/>
      <protection locked="0"/>
    </xf>
    <xf numFmtId="9" fontId="37" fillId="0" borderId="11" xfId="74" applyFont="1" applyBorder="1" applyAlignment="1" applyProtection="1">
      <alignment horizontal="center" vertical="center" wrapText="1"/>
      <protection locked="0"/>
    </xf>
    <xf numFmtId="168" fontId="37" fillId="0" borderId="11" xfId="42" applyNumberFormat="1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top" wrapText="1"/>
      <protection/>
    </xf>
    <xf numFmtId="0" fontId="37" fillId="0" borderId="15" xfId="0" applyFont="1" applyBorder="1" applyAlignment="1" applyProtection="1">
      <alignment horizontal="left" vertical="top" wrapText="1"/>
      <protection locked="0"/>
    </xf>
    <xf numFmtId="9" fontId="37" fillId="0" borderId="15" xfId="74" applyFont="1" applyBorder="1" applyAlignment="1" applyProtection="1">
      <alignment horizontal="center" vertical="center" wrapText="1"/>
      <protection locked="0"/>
    </xf>
    <xf numFmtId="168" fontId="37" fillId="0" borderId="15" xfId="42" applyNumberFormat="1" applyFont="1" applyBorder="1" applyAlignment="1" applyProtection="1">
      <alignment horizontal="center" vertical="center" wrapText="1"/>
      <protection locked="0"/>
    </xf>
    <xf numFmtId="168" fontId="37" fillId="0" borderId="42" xfId="42" applyNumberFormat="1" applyFont="1" applyBorder="1" applyAlignment="1" applyProtection="1">
      <alignment horizontal="center" vertical="top" wrapText="1"/>
      <protection locked="0"/>
    </xf>
    <xf numFmtId="0" fontId="35" fillId="34" borderId="23" xfId="0" applyFont="1" applyFill="1" applyBorder="1" applyAlignment="1" applyProtection="1">
      <alignment horizontal="center" vertical="top" wrapText="1"/>
      <protection/>
    </xf>
    <xf numFmtId="168" fontId="37" fillId="0" borderId="23" xfId="42" applyNumberFormat="1" applyFont="1" applyBorder="1" applyAlignment="1" applyProtection="1">
      <alignment horizontal="center" vertical="center" wrapText="1"/>
      <protection/>
    </xf>
    <xf numFmtId="168" fontId="37" fillId="0" borderId="26" xfId="42" applyNumberFormat="1" applyFont="1" applyBorder="1" applyAlignment="1" applyProtection="1">
      <alignment horizontal="center" vertical="top" wrapText="1"/>
      <protection/>
    </xf>
    <xf numFmtId="0" fontId="4" fillId="0" borderId="0" xfId="0" applyFont="1" applyFill="1" applyAlignment="1">
      <alignment horizontal="right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indent="1"/>
    </xf>
    <xf numFmtId="3" fontId="0" fillId="0" borderId="41" xfId="0" applyNumberFormat="1" applyFont="1" applyFill="1" applyBorder="1" applyAlignment="1" applyProtection="1">
      <alignment horizontal="right" vertical="center"/>
      <protection locked="0"/>
    </xf>
    <xf numFmtId="3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0" fontId="14" fillId="0" borderId="11" xfId="0" applyFont="1" applyFill="1" applyBorder="1" applyAlignment="1" applyProtection="1">
      <alignment horizontal="left" vertical="center" indent="1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left" vertical="center" indent="1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6" fontId="13" fillId="0" borderId="26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7" fontId="6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indent="5"/>
    </xf>
    <xf numFmtId="177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77" fontId="12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177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177" fontId="6" fillId="0" borderId="41" xfId="0" applyNumberFormat="1" applyFont="1" applyFill="1" applyBorder="1" applyAlignment="1" applyProtection="1">
      <alignment horizontal="right" vertical="center"/>
      <protection/>
    </xf>
    <xf numFmtId="0" fontId="39" fillId="0" borderId="29" xfId="0" applyFont="1" applyFill="1" applyBorder="1" applyAlignment="1">
      <alignment horizontal="left" vertical="center" indent="5"/>
    </xf>
    <xf numFmtId="0" fontId="0" fillId="0" borderId="0" xfId="0" applyFill="1" applyBorder="1" applyAlignment="1" applyProtection="1">
      <alignment horizontal="left" vertical="center" wrapText="1" indent="1"/>
      <protection locked="0"/>
    </xf>
    <xf numFmtId="177" fontId="0" fillId="0" borderId="0" xfId="0" applyNumberFormat="1" applyFill="1" applyAlignment="1">
      <alignment/>
    </xf>
    <xf numFmtId="0" fontId="31" fillId="0" borderId="0" xfId="66" applyFill="1" applyProtection="1">
      <alignment/>
      <protection/>
    </xf>
    <xf numFmtId="0" fontId="40" fillId="0" borderId="0" xfId="66" applyFont="1" applyFill="1" applyProtection="1">
      <alignment/>
      <protection/>
    </xf>
    <xf numFmtId="0" fontId="20" fillId="0" borderId="25" xfId="65" applyFont="1" applyFill="1" applyBorder="1" applyAlignment="1" applyProtection="1">
      <alignment horizontal="center" vertical="center" textRotation="90"/>
      <protection/>
    </xf>
    <xf numFmtId="0" fontId="43" fillId="0" borderId="21" xfId="66" applyFont="1" applyFill="1" applyBorder="1" applyAlignment="1" applyProtection="1">
      <alignment horizontal="center" vertical="center" wrapText="1"/>
      <protection/>
    </xf>
    <xf numFmtId="0" fontId="43" fillId="0" borderId="29" xfId="66" applyFont="1" applyFill="1" applyBorder="1" applyAlignment="1" applyProtection="1">
      <alignment horizontal="center" vertical="center" wrapText="1"/>
      <protection/>
    </xf>
    <xf numFmtId="0" fontId="43" fillId="0" borderId="30" xfId="66" applyFont="1" applyFill="1" applyBorder="1" applyAlignment="1" applyProtection="1">
      <alignment horizontal="center" vertical="center" wrapText="1"/>
      <protection/>
    </xf>
    <xf numFmtId="0" fontId="18" fillId="0" borderId="20" xfId="66" applyFont="1" applyFill="1" applyBorder="1" applyAlignment="1" applyProtection="1">
      <alignment vertical="center" wrapText="1"/>
      <protection/>
    </xf>
    <xf numFmtId="178" fontId="14" fillId="0" borderId="13" xfId="65" applyNumberFormat="1" applyFont="1" applyFill="1" applyBorder="1" applyAlignment="1" applyProtection="1">
      <alignment horizontal="center" vertical="center"/>
      <protection/>
    </xf>
    <xf numFmtId="179" fontId="44" fillId="0" borderId="13" xfId="66" applyNumberFormat="1" applyFont="1" applyFill="1" applyBorder="1" applyAlignment="1" applyProtection="1">
      <alignment horizontal="right" vertical="center" wrapText="1"/>
      <protection locked="0"/>
    </xf>
    <xf numFmtId="0" fontId="18" fillId="0" borderId="17" xfId="66" applyFont="1" applyFill="1" applyBorder="1" applyAlignment="1" applyProtection="1">
      <alignment vertical="center" wrapText="1"/>
      <protection/>
    </xf>
    <xf numFmtId="178" fontId="14" fillId="0" borderId="11" xfId="65" applyNumberFormat="1" applyFont="1" applyFill="1" applyBorder="1" applyAlignment="1" applyProtection="1">
      <alignment horizontal="center" vertical="center"/>
      <protection/>
    </xf>
    <xf numFmtId="179" fontId="44" fillId="0" borderId="11" xfId="66" applyNumberFormat="1" applyFont="1" applyFill="1" applyBorder="1" applyAlignment="1" applyProtection="1">
      <alignment horizontal="right" vertical="center" wrapText="1"/>
      <protection/>
    </xf>
    <xf numFmtId="0" fontId="45" fillId="0" borderId="17" xfId="66" applyFont="1" applyFill="1" applyBorder="1" applyAlignment="1" applyProtection="1">
      <alignment horizontal="left" vertical="center" wrapText="1" indent="1"/>
      <protection/>
    </xf>
    <xf numFmtId="179" fontId="46" fillId="0" borderId="11" xfId="66" applyNumberFormat="1" applyFont="1" applyFill="1" applyBorder="1" applyAlignment="1" applyProtection="1">
      <alignment horizontal="right" vertical="center" wrapText="1"/>
      <protection locked="0"/>
    </xf>
    <xf numFmtId="179" fontId="46" fillId="0" borderId="11" xfId="66" applyNumberFormat="1" applyFont="1" applyFill="1" applyBorder="1" applyAlignment="1" applyProtection="1">
      <alignment horizontal="right" vertical="center" wrapText="1"/>
      <protection locked="0"/>
    </xf>
    <xf numFmtId="179" fontId="44" fillId="0" borderId="11" xfId="66" applyNumberFormat="1" applyFont="1" applyFill="1" applyBorder="1" applyAlignment="1" applyProtection="1">
      <alignment horizontal="right" vertical="center" wrapText="1"/>
      <protection/>
    </xf>
    <xf numFmtId="179" fontId="46" fillId="0" borderId="11" xfId="66" applyNumberFormat="1" applyFont="1" applyFill="1" applyBorder="1" applyAlignment="1" applyProtection="1">
      <alignment horizontal="right" vertical="center" wrapText="1"/>
      <protection/>
    </xf>
    <xf numFmtId="0" fontId="18" fillId="0" borderId="21" xfId="66" applyFont="1" applyFill="1" applyBorder="1" applyAlignment="1" applyProtection="1">
      <alignment vertical="center" wrapText="1"/>
      <protection/>
    </xf>
    <xf numFmtId="178" fontId="14" fillId="0" borderId="29" xfId="65" applyNumberFormat="1" applyFont="1" applyFill="1" applyBorder="1" applyAlignment="1" applyProtection="1">
      <alignment horizontal="center" vertical="center"/>
      <protection/>
    </xf>
    <xf numFmtId="179" fontId="44" fillId="0" borderId="29" xfId="66" applyNumberFormat="1" applyFont="1" applyFill="1" applyBorder="1" applyAlignment="1" applyProtection="1">
      <alignment horizontal="right" vertical="center" wrapText="1"/>
      <protection/>
    </xf>
    <xf numFmtId="0" fontId="0" fillId="0" borderId="0" xfId="65" applyFill="1" applyAlignment="1" applyProtection="1">
      <alignment vertical="center" wrapText="1"/>
      <protection/>
    </xf>
    <xf numFmtId="0" fontId="12" fillId="0" borderId="0" xfId="65" applyFont="1" applyFill="1" applyAlignment="1" applyProtection="1">
      <alignment horizontal="center" vertical="center"/>
      <protection/>
    </xf>
    <xf numFmtId="0" fontId="0" fillId="0" borderId="0" xfId="65" applyFill="1" applyAlignment="1" applyProtection="1">
      <alignment vertical="center"/>
      <protection/>
    </xf>
    <xf numFmtId="49" fontId="13" fillId="0" borderId="21" xfId="65" applyNumberFormat="1" applyFont="1" applyFill="1" applyBorder="1" applyAlignment="1" applyProtection="1">
      <alignment horizontal="center" vertical="center" wrapText="1"/>
      <protection/>
    </xf>
    <xf numFmtId="49" fontId="13" fillId="0" borderId="29" xfId="65" applyNumberFormat="1" applyFont="1" applyFill="1" applyBorder="1" applyAlignment="1" applyProtection="1">
      <alignment horizontal="center" vertical="center"/>
      <protection/>
    </xf>
    <xf numFmtId="49" fontId="13" fillId="0" borderId="30" xfId="65" applyNumberFormat="1" applyFont="1" applyFill="1" applyBorder="1" applyAlignment="1" applyProtection="1">
      <alignment horizontal="center" vertical="center"/>
      <protection/>
    </xf>
    <xf numFmtId="178" fontId="14" fillId="0" borderId="12" xfId="65" applyNumberFormat="1" applyFont="1" applyFill="1" applyBorder="1" applyAlignment="1" applyProtection="1">
      <alignment horizontal="center" vertical="center"/>
      <protection/>
    </xf>
    <xf numFmtId="180" fontId="14" fillId="0" borderId="27" xfId="65" applyNumberFormat="1" applyFont="1" applyFill="1" applyBorder="1" applyAlignment="1" applyProtection="1">
      <alignment vertical="center"/>
      <protection locked="0"/>
    </xf>
    <xf numFmtId="180" fontId="14" fillId="0" borderId="28" xfId="65" applyNumberFormat="1" applyFont="1" applyFill="1" applyBorder="1" applyAlignment="1" applyProtection="1">
      <alignment vertical="center"/>
      <protection locked="0"/>
    </xf>
    <xf numFmtId="180" fontId="13" fillId="0" borderId="28" xfId="65" applyNumberFormat="1" applyFont="1" applyFill="1" applyBorder="1" applyAlignment="1" applyProtection="1">
      <alignment vertical="center"/>
      <protection/>
    </xf>
    <xf numFmtId="0" fontId="13" fillId="0" borderId="21" xfId="65" applyFont="1" applyFill="1" applyBorder="1" applyAlignment="1" applyProtection="1">
      <alignment horizontal="left" vertical="center" wrapText="1"/>
      <protection/>
    </xf>
    <xf numFmtId="180" fontId="13" fillId="0" borderId="30" xfId="65" applyNumberFormat="1" applyFont="1" applyFill="1" applyBorder="1" applyAlignment="1" applyProtection="1">
      <alignment vertical="center"/>
      <protection/>
    </xf>
    <xf numFmtId="0" fontId="31" fillId="0" borderId="0" xfId="66" applyFill="1">
      <alignment/>
      <protection/>
    </xf>
    <xf numFmtId="0" fontId="16" fillId="0" borderId="24" xfId="66" applyFont="1" applyFill="1" applyBorder="1" applyAlignment="1">
      <alignment horizontal="center" vertical="center"/>
      <protection/>
    </xf>
    <xf numFmtId="0" fontId="16" fillId="0" borderId="25" xfId="66" applyFont="1" applyFill="1" applyBorder="1" applyAlignment="1">
      <alignment horizontal="center" vertical="center" wrapText="1"/>
      <protection/>
    </xf>
    <xf numFmtId="0" fontId="16" fillId="0" borderId="40" xfId="66" applyFont="1" applyFill="1" applyBorder="1" applyAlignment="1">
      <alignment horizontal="center" vertical="center" wrapText="1"/>
      <protection/>
    </xf>
    <xf numFmtId="0" fontId="16" fillId="0" borderId="22" xfId="66" applyFont="1" applyFill="1" applyBorder="1" applyAlignment="1">
      <alignment horizontal="center" vertical="center"/>
      <protection/>
    </xf>
    <xf numFmtId="0" fontId="16" fillId="0" borderId="23" xfId="66" applyFont="1" applyFill="1" applyBorder="1" applyAlignment="1">
      <alignment horizontal="center" vertical="center" wrapText="1"/>
      <protection/>
    </xf>
    <xf numFmtId="0" fontId="16" fillId="0" borderId="26" xfId="66" applyFont="1" applyFill="1" applyBorder="1" applyAlignment="1">
      <alignment horizontal="center" vertical="center" wrapText="1"/>
      <protection/>
    </xf>
    <xf numFmtId="0" fontId="17" fillId="0" borderId="17" xfId="66" applyFont="1" applyFill="1" applyBorder="1" applyProtection="1">
      <alignment/>
      <protection locked="0"/>
    </xf>
    <xf numFmtId="0" fontId="17" fillId="0" borderId="12" xfId="66" applyFont="1" applyFill="1" applyBorder="1" applyAlignment="1">
      <alignment horizontal="right" indent="1"/>
      <protection/>
    </xf>
    <xf numFmtId="3" fontId="17" fillId="0" borderId="12" xfId="66" applyNumberFormat="1" applyFont="1" applyFill="1" applyBorder="1" applyProtection="1">
      <alignment/>
      <protection locked="0"/>
    </xf>
    <xf numFmtId="3" fontId="17" fillId="0" borderId="27" xfId="66" applyNumberFormat="1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28" xfId="66" applyNumberFormat="1" applyFont="1" applyFill="1" applyBorder="1" applyProtection="1">
      <alignment/>
      <protection locked="0"/>
    </xf>
    <xf numFmtId="0" fontId="17" fillId="0" borderId="19" xfId="66" applyFont="1" applyFill="1" applyBorder="1" applyProtection="1">
      <alignment/>
      <protection locked="0"/>
    </xf>
    <xf numFmtId="0" fontId="17" fillId="0" borderId="15" xfId="66" applyFont="1" applyFill="1" applyBorder="1" applyAlignment="1">
      <alignment horizontal="right" indent="1"/>
      <protection/>
    </xf>
    <xf numFmtId="3" fontId="17" fillId="0" borderId="15" xfId="66" applyNumberFormat="1" applyFont="1" applyFill="1" applyBorder="1" applyProtection="1">
      <alignment/>
      <protection locked="0"/>
    </xf>
    <xf numFmtId="3" fontId="17" fillId="0" borderId="42" xfId="66" applyNumberFormat="1" applyFont="1" applyFill="1" applyBorder="1" applyProtection="1">
      <alignment/>
      <protection locked="0"/>
    </xf>
    <xf numFmtId="0" fontId="18" fillId="0" borderId="22" xfId="66" applyFont="1" applyFill="1" applyBorder="1" applyProtection="1">
      <alignment/>
      <protection locked="0"/>
    </xf>
    <xf numFmtId="0" fontId="17" fillId="0" borderId="23" xfId="66" applyFont="1" applyFill="1" applyBorder="1" applyAlignment="1">
      <alignment horizontal="right" indent="1"/>
      <protection/>
    </xf>
    <xf numFmtId="3" fontId="17" fillId="0" borderId="23" xfId="66" applyNumberFormat="1" applyFont="1" applyFill="1" applyBorder="1" applyProtection="1">
      <alignment/>
      <protection locked="0"/>
    </xf>
    <xf numFmtId="180" fontId="13" fillId="0" borderId="26" xfId="65" applyNumberFormat="1" applyFont="1" applyFill="1" applyBorder="1" applyAlignment="1" applyProtection="1">
      <alignment vertical="center"/>
      <protection/>
    </xf>
    <xf numFmtId="0" fontId="17" fillId="0" borderId="18" xfId="66" applyFont="1" applyFill="1" applyBorder="1" applyProtection="1">
      <alignment/>
      <protection locked="0"/>
    </xf>
    <xf numFmtId="3" fontId="17" fillId="0" borderId="70" xfId="66" applyNumberFormat="1" applyFont="1" applyFill="1" applyBorder="1">
      <alignment/>
      <protection/>
    </xf>
    <xf numFmtId="0" fontId="47" fillId="0" borderId="0" xfId="66" applyFont="1" applyFill="1">
      <alignment/>
      <protection/>
    </xf>
    <xf numFmtId="0" fontId="48" fillId="0" borderId="0" xfId="66" applyFont="1" applyFill="1">
      <alignment/>
      <protection/>
    </xf>
    <xf numFmtId="0" fontId="17" fillId="0" borderId="0" xfId="66" applyFont="1" applyFill="1">
      <alignment/>
      <protection/>
    </xf>
    <xf numFmtId="0" fontId="31" fillId="0" borderId="0" xfId="66" applyFont="1" applyFill="1">
      <alignment/>
      <protection/>
    </xf>
    <xf numFmtId="3" fontId="31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/>
      <protection/>
    </xf>
    <xf numFmtId="0" fontId="49" fillId="0" borderId="24" xfId="66" applyFont="1" applyFill="1" applyBorder="1" applyAlignment="1">
      <alignment horizontal="center" vertical="center"/>
      <protection/>
    </xf>
    <xf numFmtId="0" fontId="49" fillId="0" borderId="25" xfId="66" applyFont="1" applyFill="1" applyBorder="1" applyAlignment="1">
      <alignment horizontal="center" vertical="center" wrapText="1"/>
      <protection/>
    </xf>
    <xf numFmtId="0" fontId="49" fillId="0" borderId="40" xfId="66" applyFont="1" applyFill="1" applyBorder="1" applyAlignment="1">
      <alignment horizontal="center" vertical="center" wrapText="1"/>
      <protection/>
    </xf>
    <xf numFmtId="0" fontId="49" fillId="0" borderId="22" xfId="66" applyFont="1" applyFill="1" applyBorder="1" applyAlignment="1">
      <alignment horizontal="center" vertical="center"/>
      <protection/>
    </xf>
    <xf numFmtId="0" fontId="49" fillId="0" borderId="23" xfId="66" applyFont="1" applyFill="1" applyBorder="1" applyAlignment="1">
      <alignment horizontal="center" vertical="center" wrapText="1"/>
      <protection/>
    </xf>
    <xf numFmtId="0" fontId="49" fillId="0" borderId="26" xfId="66" applyFont="1" applyFill="1" applyBorder="1" applyAlignment="1">
      <alignment horizontal="center" vertical="center" wrapText="1"/>
      <protection/>
    </xf>
    <xf numFmtId="0" fontId="17" fillId="0" borderId="17" xfId="66" applyFont="1" applyFill="1" applyBorder="1" applyAlignment="1" applyProtection="1">
      <alignment horizontal="left" indent="1"/>
      <protection locked="0"/>
    </xf>
    <xf numFmtId="0" fontId="17" fillId="0" borderId="19" xfId="66" applyFont="1" applyFill="1" applyBorder="1" applyAlignment="1" applyProtection="1">
      <alignment horizontal="left" indent="1"/>
      <protection locked="0"/>
    </xf>
    <xf numFmtId="0" fontId="17" fillId="0" borderId="18" xfId="66" applyFont="1" applyFill="1" applyBorder="1" applyAlignment="1" applyProtection="1">
      <alignment horizontal="left" indent="1"/>
      <protection locked="0"/>
    </xf>
    <xf numFmtId="0" fontId="18" fillId="0" borderId="56" xfId="66" applyNumberFormat="1" applyFont="1" applyFill="1" applyBorder="1">
      <alignment/>
      <protection/>
    </xf>
    <xf numFmtId="0" fontId="17" fillId="0" borderId="21" xfId="66" applyFont="1" applyFill="1" applyBorder="1" applyAlignment="1" applyProtection="1">
      <alignment horizontal="left" indent="1"/>
      <protection locked="0"/>
    </xf>
    <xf numFmtId="0" fontId="17" fillId="0" borderId="29" xfId="66" applyFont="1" applyFill="1" applyBorder="1" applyAlignment="1">
      <alignment horizontal="right" indent="1"/>
      <protection/>
    </xf>
    <xf numFmtId="3" fontId="17" fillId="0" borderId="29" xfId="66" applyNumberFormat="1" applyFont="1" applyFill="1" applyBorder="1" applyProtection="1">
      <alignment/>
      <protection locked="0"/>
    </xf>
    <xf numFmtId="3" fontId="17" fillId="0" borderId="30" xfId="66" applyNumberFormat="1" applyFont="1" applyFill="1" applyBorder="1" applyProtection="1">
      <alignment/>
      <protection locked="0"/>
    </xf>
    <xf numFmtId="168" fontId="31" fillId="0" borderId="12" xfId="42" applyNumberFormat="1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center" indent="1"/>
      <protection locked="0"/>
    </xf>
    <xf numFmtId="0" fontId="0" fillId="0" borderId="13" xfId="0" applyFont="1" applyFill="1" applyBorder="1" applyAlignment="1" applyProtection="1">
      <alignment horizontal="left" vertical="center" indent="1"/>
      <protection locked="0"/>
    </xf>
    <xf numFmtId="0" fontId="14" fillId="0" borderId="18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>
      <alignment/>
    </xf>
    <xf numFmtId="166" fontId="13" fillId="0" borderId="26" xfId="64" applyNumberFormat="1" applyFont="1" applyBorder="1" applyAlignment="1">
      <alignment horizontal="right" vertical="center" wrapText="1" indent="1"/>
      <protection/>
    </xf>
    <xf numFmtId="166" fontId="14" fillId="0" borderId="27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28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42" xfId="64" applyNumberFormat="1" applyFont="1" applyBorder="1" applyAlignment="1" applyProtection="1">
      <alignment horizontal="right" vertical="center" wrapText="1"/>
      <protection locked="0"/>
    </xf>
    <xf numFmtId="166" fontId="13" fillId="0" borderId="26" xfId="64" applyNumberFormat="1" applyFont="1" applyBorder="1" applyAlignment="1">
      <alignment horizontal="right" vertical="center" wrapText="1" indent="1"/>
      <protection/>
    </xf>
    <xf numFmtId="166" fontId="14" fillId="0" borderId="28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27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30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0" xfId="64" applyNumberFormat="1" applyFont="1" applyBorder="1" applyAlignment="1">
      <alignment horizontal="right" vertical="center" wrapText="1" indent="1"/>
      <protection/>
    </xf>
    <xf numFmtId="166" fontId="14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3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35" xfId="64" applyNumberFormat="1" applyFont="1" applyBorder="1" applyAlignment="1">
      <alignment horizontal="right" vertical="center" wrapText="1" indent="1"/>
      <protection/>
    </xf>
    <xf numFmtId="166" fontId="14" fillId="0" borderId="37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38" xfId="64" applyNumberFormat="1" applyFont="1" applyBorder="1" applyAlignment="1" applyProtection="1">
      <alignment horizontal="right" vertical="center" wrapText="1" indent="1"/>
      <protection locked="0"/>
    </xf>
    <xf numFmtId="166" fontId="14" fillId="0" borderId="7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26" xfId="60" applyNumberFormat="1" applyFont="1" applyBorder="1" applyAlignment="1">
      <alignment horizontal="right" vertical="center" wrapText="1" indent="1"/>
      <protection/>
    </xf>
    <xf numFmtId="166" fontId="18" fillId="0" borderId="26" xfId="60" applyNumberFormat="1" applyFont="1" applyBorder="1" applyAlignment="1" applyProtection="1">
      <alignment horizontal="right" vertical="center" wrapText="1" indent="1"/>
      <protection locked="0"/>
    </xf>
    <xf numFmtId="166" fontId="18" fillId="0" borderId="26" xfId="60" applyNumberFormat="1" applyFont="1" applyBorder="1" applyAlignment="1" quotePrefix="1">
      <alignment horizontal="right" vertical="center" wrapText="1" indent="1"/>
      <protection/>
    </xf>
    <xf numFmtId="166" fontId="14" fillId="0" borderId="12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11" xfId="60" applyNumberFormat="1" applyFont="1" applyBorder="1" applyAlignment="1" applyProtection="1">
      <alignment horizontal="right" vertical="center" wrapText="1" indent="1"/>
      <protection locked="0"/>
    </xf>
    <xf numFmtId="166" fontId="19" fillId="0" borderId="10" xfId="60" applyNumberFormat="1" applyFont="1" applyBorder="1" applyAlignment="1">
      <alignment horizontal="right" vertical="center" wrapText="1" indent="1"/>
      <protection/>
    </xf>
    <xf numFmtId="166" fontId="14" fillId="0" borderId="11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27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28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17" xfId="60" applyNumberFormat="1" applyFont="1" applyBorder="1" applyAlignment="1">
      <alignment horizontal="left" vertical="center" wrapText="1" indent="1"/>
      <protection/>
    </xf>
    <xf numFmtId="166" fontId="14" fillId="0" borderId="28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64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17" xfId="60" applyNumberFormat="1" applyFont="1" applyBorder="1" applyAlignment="1" applyProtection="1">
      <alignment horizontal="left" vertical="center" wrapText="1" indent="1"/>
      <protection locked="0"/>
    </xf>
    <xf numFmtId="166" fontId="19" fillId="0" borderId="12" xfId="60" applyNumberFormat="1" applyFont="1" applyBorder="1" applyAlignment="1">
      <alignment horizontal="right" vertical="center" wrapText="1" indent="1"/>
      <protection/>
    </xf>
    <xf numFmtId="168" fontId="31" fillId="0" borderId="11" xfId="42" applyNumberFormat="1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left" vertical="top" wrapText="1"/>
      <protection locked="0"/>
    </xf>
    <xf numFmtId="166" fontId="2" fillId="0" borderId="17" xfId="60" applyNumberFormat="1" applyFont="1" applyBorder="1" applyAlignment="1" applyProtection="1">
      <alignment horizontal="left" vertical="center" wrapText="1"/>
      <protection locked="0"/>
    </xf>
    <xf numFmtId="166" fontId="2" fillId="0" borderId="11" xfId="60" applyNumberFormat="1" applyFont="1" applyBorder="1" applyAlignment="1" applyProtection="1">
      <alignment vertical="center" wrapText="1"/>
      <protection locked="0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166" fontId="2" fillId="0" borderId="17" xfId="60" applyNumberFormat="1" applyFont="1" applyBorder="1" applyAlignment="1" applyProtection="1">
      <alignment horizontal="left" vertical="center" wrapText="1"/>
      <protection locked="0"/>
    </xf>
    <xf numFmtId="166" fontId="2" fillId="0" borderId="11" xfId="60" applyNumberFormat="1" applyFont="1" applyBorder="1" applyAlignment="1" applyProtection="1">
      <alignment vertical="center" wrapText="1"/>
      <protection locked="0"/>
    </xf>
    <xf numFmtId="166" fontId="2" fillId="0" borderId="17" xfId="60" applyNumberFormat="1" applyFont="1" applyBorder="1" applyAlignment="1" applyProtection="1">
      <alignment vertical="center" wrapText="1"/>
      <protection locked="0"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26" xfId="60" applyNumberFormat="1" applyFont="1" applyBorder="1" applyAlignment="1" quotePrefix="1">
      <alignment horizontal="right" vertical="center" wrapText="1" indent="1"/>
      <protection/>
    </xf>
    <xf numFmtId="166" fontId="14" fillId="0" borderId="27" xfId="64" applyNumberFormat="1" applyFont="1" applyBorder="1" applyAlignment="1">
      <alignment horizontal="right" vertical="center" wrapText="1" indent="1"/>
      <protection/>
    </xf>
    <xf numFmtId="166" fontId="14" fillId="0" borderId="42" xfId="64" applyNumberFormat="1" applyFont="1" applyBorder="1" applyAlignment="1" applyProtection="1">
      <alignment horizontal="right" vertical="center" wrapText="1"/>
      <protection locked="0"/>
    </xf>
    <xf numFmtId="166" fontId="14" fillId="0" borderId="27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30" xfId="60" applyNumberFormat="1" applyFont="1" applyBorder="1" applyAlignment="1" applyProtection="1">
      <alignment horizontal="right" vertical="center" wrapText="1" indent="1"/>
      <protection locked="0"/>
    </xf>
    <xf numFmtId="0" fontId="98" fillId="35" borderId="24" xfId="0" applyFont="1" applyFill="1" applyBorder="1" applyAlignment="1">
      <alignment horizontal="center" vertical="center"/>
    </xf>
    <xf numFmtId="0" fontId="98" fillId="35" borderId="40" xfId="0" applyFont="1" applyFill="1" applyBorder="1" applyAlignment="1">
      <alignment horizontal="center" vertical="center"/>
    </xf>
    <xf numFmtId="0" fontId="98" fillId="0" borderId="22" xfId="0" applyFont="1" applyBorder="1" applyAlignment="1">
      <alignment/>
    </xf>
    <xf numFmtId="3" fontId="98" fillId="0" borderId="26" xfId="0" applyNumberFormat="1" applyFont="1" applyBorder="1" applyAlignment="1">
      <alignment/>
    </xf>
    <xf numFmtId="0" fontId="101" fillId="0" borderId="20" xfId="0" applyFont="1" applyBorder="1" applyAlignment="1">
      <alignment/>
    </xf>
    <xf numFmtId="3" fontId="101" fillId="0" borderId="27" xfId="0" applyNumberFormat="1" applyFont="1" applyBorder="1" applyAlignment="1">
      <alignment/>
    </xf>
    <xf numFmtId="0" fontId="101" fillId="0" borderId="17" xfId="0" applyFont="1" applyBorder="1" applyAlignment="1">
      <alignment/>
    </xf>
    <xf numFmtId="3" fontId="101" fillId="0" borderId="28" xfId="0" applyNumberFormat="1" applyFont="1" applyBorder="1" applyAlignment="1">
      <alignment/>
    </xf>
    <xf numFmtId="0" fontId="101" fillId="0" borderId="19" xfId="0" applyFont="1" applyBorder="1" applyAlignment="1">
      <alignment vertical="center" wrapText="1"/>
    </xf>
    <xf numFmtId="3" fontId="101" fillId="0" borderId="42" xfId="0" applyNumberFormat="1" applyFont="1" applyBorder="1" applyAlignment="1">
      <alignment horizontal="right" vertical="center"/>
    </xf>
    <xf numFmtId="0" fontId="101" fillId="0" borderId="18" xfId="0" applyFont="1" applyBorder="1" applyAlignment="1">
      <alignment/>
    </xf>
    <xf numFmtId="0" fontId="101" fillId="0" borderId="18" xfId="0" applyFont="1" applyBorder="1" applyAlignment="1">
      <alignment/>
    </xf>
    <xf numFmtId="0" fontId="29" fillId="0" borderId="0" xfId="0" applyFont="1" applyAlignment="1">
      <alignment vertical="center"/>
    </xf>
    <xf numFmtId="180" fontId="14" fillId="0" borderId="28" xfId="65" applyNumberFormat="1" applyFont="1" applyFill="1" applyBorder="1" applyAlignment="1" applyProtection="1">
      <alignment vertical="center"/>
      <protection locked="0"/>
    </xf>
    <xf numFmtId="179" fontId="102" fillId="0" borderId="11" xfId="66" applyNumberFormat="1" applyFont="1" applyFill="1" applyBorder="1" applyAlignment="1" applyProtection="1">
      <alignment horizontal="right" vertical="center" wrapText="1"/>
      <protection locked="0"/>
    </xf>
    <xf numFmtId="179" fontId="102" fillId="0" borderId="11" xfId="66" applyNumberFormat="1" applyFont="1" applyFill="1" applyBorder="1" applyAlignment="1" applyProtection="1">
      <alignment horizontal="right" vertical="center" wrapText="1"/>
      <protection/>
    </xf>
    <xf numFmtId="179" fontId="102" fillId="0" borderId="11" xfId="66" applyNumberFormat="1" applyFont="1" applyFill="1" applyBorder="1" applyAlignment="1" applyProtection="1">
      <alignment horizontal="right" vertical="center" wrapText="1"/>
      <protection locked="0"/>
    </xf>
    <xf numFmtId="179" fontId="46" fillId="0" borderId="11" xfId="66" applyNumberFormat="1" applyFont="1" applyFill="1" applyBorder="1" applyAlignment="1" applyProtection="1">
      <alignment horizontal="right" vertical="center" wrapText="1"/>
      <protection/>
    </xf>
    <xf numFmtId="179" fontId="44" fillId="36" borderId="13" xfId="66" applyNumberFormat="1" applyFont="1" applyFill="1" applyBorder="1" applyAlignment="1" applyProtection="1">
      <alignment horizontal="right" vertical="center" wrapText="1"/>
      <protection locked="0"/>
    </xf>
    <xf numFmtId="179" fontId="44" fillId="36" borderId="11" xfId="66" applyNumberFormat="1" applyFont="1" applyFill="1" applyBorder="1" applyAlignment="1" applyProtection="1">
      <alignment horizontal="right" vertical="center" wrapText="1"/>
      <protection/>
    </xf>
    <xf numFmtId="179" fontId="46" fillId="36" borderId="11" xfId="66" applyNumberFormat="1" applyFont="1" applyFill="1" applyBorder="1" applyAlignment="1" applyProtection="1">
      <alignment horizontal="right" vertical="center" wrapText="1"/>
      <protection locked="0"/>
    </xf>
    <xf numFmtId="179" fontId="102" fillId="36" borderId="11" xfId="66" applyNumberFormat="1" applyFont="1" applyFill="1" applyBorder="1" applyAlignment="1" applyProtection="1">
      <alignment horizontal="right" vertical="center" wrapText="1"/>
      <protection locked="0"/>
    </xf>
    <xf numFmtId="179" fontId="102" fillId="36" borderId="11" xfId="66" applyNumberFormat="1" applyFont="1" applyFill="1" applyBorder="1" applyAlignment="1" applyProtection="1">
      <alignment horizontal="right" vertical="center" wrapText="1"/>
      <protection/>
    </xf>
    <xf numFmtId="179" fontId="44" fillId="36" borderId="11" xfId="66" applyNumberFormat="1" applyFont="1" applyFill="1" applyBorder="1" applyAlignment="1" applyProtection="1">
      <alignment horizontal="right" vertical="center" wrapText="1"/>
      <protection/>
    </xf>
    <xf numFmtId="179" fontId="46" fillId="36" borderId="11" xfId="66" applyNumberFormat="1" applyFont="1" applyFill="1" applyBorder="1" applyAlignment="1" applyProtection="1">
      <alignment horizontal="right" vertical="center" wrapText="1"/>
      <protection/>
    </xf>
    <xf numFmtId="179" fontId="46" fillId="36" borderId="28" xfId="66" applyNumberFormat="1" applyFont="1" applyFill="1" applyBorder="1" applyAlignment="1" applyProtection="1">
      <alignment horizontal="right" vertical="center" wrapText="1"/>
      <protection/>
    </xf>
    <xf numFmtId="179" fontId="46" fillId="36" borderId="11" xfId="66" applyNumberFormat="1" applyFont="1" applyFill="1" applyBorder="1" applyAlignment="1" applyProtection="1">
      <alignment horizontal="right" vertical="center" wrapText="1"/>
      <protection locked="0"/>
    </xf>
    <xf numFmtId="179" fontId="46" fillId="36" borderId="11" xfId="66" applyNumberFormat="1" applyFont="1" applyFill="1" applyBorder="1" applyAlignment="1" applyProtection="1">
      <alignment horizontal="right" vertical="center" wrapText="1"/>
      <protection/>
    </xf>
    <xf numFmtId="179" fontId="102" fillId="36" borderId="11" xfId="66" applyNumberFormat="1" applyFont="1" applyFill="1" applyBorder="1" applyAlignment="1" applyProtection="1">
      <alignment horizontal="right" vertical="center" wrapText="1"/>
      <protection locked="0"/>
    </xf>
    <xf numFmtId="179" fontId="44" fillId="36" borderId="29" xfId="66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Alignment="1">
      <alignment/>
    </xf>
    <xf numFmtId="166" fontId="14" fillId="0" borderId="72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3" xfId="0" applyFont="1" applyFill="1" applyBorder="1" applyAlignment="1" applyProtection="1">
      <alignment horizontal="right" vertical="center" wrapText="1" indent="1"/>
      <protection/>
    </xf>
    <xf numFmtId="0" fontId="101" fillId="0" borderId="22" xfId="0" applyFont="1" applyBorder="1" applyAlignment="1">
      <alignment/>
    </xf>
    <xf numFmtId="3" fontId="101" fillId="0" borderId="26" xfId="0" applyNumberFormat="1" applyFont="1" applyBorder="1" applyAlignment="1">
      <alignment/>
    </xf>
    <xf numFmtId="0" fontId="50" fillId="0" borderId="18" xfId="0" applyFont="1" applyFill="1" applyBorder="1" applyAlignment="1" applyProtection="1">
      <alignment horizontal="left" vertical="top" wrapText="1"/>
      <protection/>
    </xf>
    <xf numFmtId="3" fontId="50" fillId="0" borderId="28" xfId="0" applyNumberFormat="1" applyFont="1" applyFill="1" applyBorder="1" applyAlignment="1" applyProtection="1">
      <alignment horizontal="right" vertical="center" wrapText="1"/>
      <protection/>
    </xf>
    <xf numFmtId="0" fontId="50" fillId="0" borderId="17" xfId="0" applyFont="1" applyFill="1" applyBorder="1" applyAlignment="1" applyProtection="1">
      <alignment horizontal="left" vertical="top" wrapText="1"/>
      <protection/>
    </xf>
    <xf numFmtId="0" fontId="101" fillId="0" borderId="21" xfId="0" applyFont="1" applyBorder="1" applyAlignment="1">
      <alignment/>
    </xf>
    <xf numFmtId="3" fontId="101" fillId="0" borderId="30" xfId="0" applyNumberFormat="1" applyFont="1" applyBorder="1" applyAlignment="1">
      <alignment/>
    </xf>
    <xf numFmtId="3" fontId="14" fillId="0" borderId="11" xfId="60" applyNumberFormat="1" applyFont="1" applyBorder="1" applyAlignment="1" applyProtection="1">
      <alignment vertical="center"/>
      <protection locked="0"/>
    </xf>
    <xf numFmtId="166" fontId="0" fillId="0" borderId="0" xfId="0" applyNumberFormat="1" applyAlignment="1">
      <alignment/>
    </xf>
    <xf numFmtId="0" fontId="26" fillId="0" borderId="0" xfId="63" applyFont="1" applyAlignment="1">
      <alignment horizontal="left" vertical="top" wrapText="1"/>
      <protection/>
    </xf>
    <xf numFmtId="0" fontId="26" fillId="0" borderId="0" xfId="63" applyFont="1" applyAlignment="1">
      <alignment horizontal="center" vertical="top" wrapText="1"/>
      <protection/>
    </xf>
    <xf numFmtId="3" fontId="26" fillId="0" borderId="0" xfId="63" applyNumberFormat="1" applyFont="1" applyAlignment="1">
      <alignment horizontal="right" vertical="top" wrapText="1"/>
      <protection/>
    </xf>
    <xf numFmtId="0" fontId="32" fillId="0" borderId="0" xfId="63" applyFont="1" applyAlignment="1">
      <alignment horizontal="center" vertical="top" wrapText="1"/>
      <protection/>
    </xf>
    <xf numFmtId="0" fontId="32" fillId="0" borderId="0" xfId="63" applyFont="1" applyAlignment="1">
      <alignment horizontal="left" vertical="top" wrapText="1"/>
      <protection/>
    </xf>
    <xf numFmtId="3" fontId="32" fillId="0" borderId="0" xfId="63" applyNumberFormat="1" applyFont="1" applyAlignment="1">
      <alignment horizontal="right" vertical="top" wrapText="1"/>
      <protection/>
    </xf>
    <xf numFmtId="0" fontId="53" fillId="37" borderId="0" xfId="63" applyFont="1" applyFill="1" applyAlignment="1">
      <alignment horizontal="center" vertical="top" wrapText="1"/>
      <protection/>
    </xf>
    <xf numFmtId="49" fontId="5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166" fontId="5" fillId="0" borderId="0" xfId="64" applyNumberFormat="1" applyFont="1" applyFill="1" applyBorder="1" applyAlignment="1" applyProtection="1">
      <alignment horizontal="center" vertical="center"/>
      <protection/>
    </xf>
    <xf numFmtId="166" fontId="20" fillId="0" borderId="32" xfId="64" applyNumberFormat="1" applyFont="1" applyFill="1" applyBorder="1" applyAlignment="1" applyProtection="1">
      <alignment horizontal="left" vertical="center"/>
      <protection/>
    </xf>
    <xf numFmtId="166" fontId="20" fillId="0" borderId="32" xfId="64" applyNumberFormat="1" applyFont="1" applyFill="1" applyBorder="1" applyAlignment="1" applyProtection="1">
      <alignment horizontal="left"/>
      <protection/>
    </xf>
    <xf numFmtId="0" fontId="5" fillId="0" borderId="0" xfId="64" applyFont="1" applyFill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6" fontId="6" fillId="0" borderId="53" xfId="0" applyNumberFormat="1" applyFont="1" applyFill="1" applyBorder="1" applyAlignment="1" applyProtection="1">
      <alignment horizontal="center" vertical="center" wrapText="1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textRotation="180" wrapText="1"/>
      <protection/>
    </xf>
    <xf numFmtId="166" fontId="97" fillId="0" borderId="48" xfId="0" applyNumberFormat="1" applyFont="1" applyFill="1" applyBorder="1" applyAlignment="1" applyProtection="1">
      <alignment horizontal="center" vertical="center" wrapText="1"/>
      <protection/>
    </xf>
    <xf numFmtId="166" fontId="6" fillId="0" borderId="52" xfId="0" applyNumberFormat="1" applyFont="1" applyFill="1" applyBorder="1" applyAlignment="1" applyProtection="1">
      <alignment horizontal="center" vertical="center" wrapText="1"/>
      <protection/>
    </xf>
    <xf numFmtId="166" fontId="6" fillId="0" borderId="74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98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 vertical="center" wrapText="1"/>
    </xf>
    <xf numFmtId="0" fontId="25" fillId="0" borderId="32" xfId="0" applyFont="1" applyBorder="1" applyAlignment="1" applyProtection="1">
      <alignment horizontal="right" vertical="top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6" fillId="0" borderId="50" xfId="0" applyFont="1" applyFill="1" applyBorder="1" applyAlignment="1" applyProtection="1" quotePrefix="1">
      <alignment horizontal="center" vertical="center"/>
      <protection/>
    </xf>
    <xf numFmtId="0" fontId="6" fillId="0" borderId="55" xfId="0" applyFont="1" applyFill="1" applyBorder="1" applyAlignment="1" applyProtection="1" quotePrefix="1">
      <alignment horizontal="center" vertical="center"/>
      <protection/>
    </xf>
    <xf numFmtId="0" fontId="6" fillId="0" borderId="34" xfId="0" applyFont="1" applyFill="1" applyBorder="1" applyAlignment="1" applyProtection="1" quotePrefix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center" vertical="top"/>
      <protection/>
    </xf>
    <xf numFmtId="0" fontId="25" fillId="0" borderId="0" xfId="0" applyFont="1" applyBorder="1" applyAlignment="1" applyProtection="1">
      <alignment horizontal="center" vertical="top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75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center" textRotation="90"/>
    </xf>
    <xf numFmtId="0" fontId="14" fillId="0" borderId="49" xfId="0" applyFont="1" applyFill="1" applyBorder="1" applyAlignment="1" applyProtection="1">
      <alignment horizontal="left" indent="1"/>
      <protection locked="0"/>
    </xf>
    <xf numFmtId="0" fontId="14" fillId="0" borderId="78" xfId="0" applyFont="1" applyFill="1" applyBorder="1" applyAlignment="1" applyProtection="1">
      <alignment horizontal="left" indent="1"/>
      <protection locked="0"/>
    </xf>
    <xf numFmtId="0" fontId="14" fillId="0" borderId="67" xfId="0" applyFont="1" applyFill="1" applyBorder="1" applyAlignment="1" applyProtection="1">
      <alignment horizontal="left" indent="1"/>
      <protection locked="0"/>
    </xf>
    <xf numFmtId="0" fontId="14" fillId="0" borderId="13" xfId="0" applyFont="1" applyFill="1" applyBorder="1" applyAlignment="1" applyProtection="1">
      <alignment horizontal="right" indent="1"/>
      <protection locked="0"/>
    </xf>
    <xf numFmtId="0" fontId="14" fillId="0" borderId="41" xfId="0" applyFont="1" applyFill="1" applyBorder="1" applyAlignment="1" applyProtection="1">
      <alignment horizontal="right" indent="1"/>
      <protection locked="0"/>
    </xf>
    <xf numFmtId="0" fontId="14" fillId="0" borderId="79" xfId="0" applyFont="1" applyFill="1" applyBorder="1" applyAlignment="1" applyProtection="1">
      <alignment horizontal="left" indent="1"/>
      <protection locked="0"/>
    </xf>
    <xf numFmtId="0" fontId="14" fillId="0" borderId="63" xfId="0" applyFont="1" applyFill="1" applyBorder="1" applyAlignment="1" applyProtection="1">
      <alignment horizontal="left" indent="1"/>
      <protection locked="0"/>
    </xf>
    <xf numFmtId="0" fontId="14" fillId="0" borderId="61" xfId="0" applyFont="1" applyFill="1" applyBorder="1" applyAlignment="1" applyProtection="1">
      <alignment horizontal="left" indent="1"/>
      <protection locked="0"/>
    </xf>
    <xf numFmtId="0" fontId="14" fillId="0" borderId="15" xfId="0" applyFont="1" applyFill="1" applyBorder="1" applyAlignment="1" applyProtection="1">
      <alignment horizontal="right" indent="1"/>
      <protection locked="0"/>
    </xf>
    <xf numFmtId="0" fontId="14" fillId="0" borderId="42" xfId="0" applyFont="1" applyFill="1" applyBorder="1" applyAlignment="1" applyProtection="1">
      <alignment horizontal="right" indent="1"/>
      <protection locked="0"/>
    </xf>
    <xf numFmtId="0" fontId="6" fillId="0" borderId="50" xfId="0" applyFont="1" applyFill="1" applyBorder="1" applyAlignment="1" applyProtection="1">
      <alignment horizontal="left" indent="1"/>
      <protection/>
    </xf>
    <xf numFmtId="0" fontId="6" fillId="0" borderId="55" xfId="0" applyFont="1" applyFill="1" applyBorder="1" applyAlignment="1" applyProtection="1">
      <alignment horizontal="left" indent="1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13" fillId="0" borderId="23" xfId="0" applyFont="1" applyFill="1" applyBorder="1" applyAlignment="1" applyProtection="1">
      <alignment horizontal="right" indent="1"/>
      <protection/>
    </xf>
    <xf numFmtId="0" fontId="13" fillId="0" borderId="26" xfId="0" applyFont="1" applyFill="1" applyBorder="1" applyAlignment="1" applyProtection="1">
      <alignment horizontal="right" indent="1"/>
      <protection/>
    </xf>
    <xf numFmtId="0" fontId="27" fillId="0" borderId="0" xfId="61" applyFont="1" applyAlignment="1">
      <alignment horizontal="center"/>
      <protection/>
    </xf>
    <xf numFmtId="0" fontId="29" fillId="0" borderId="0" xfId="0" applyFont="1" applyAlignment="1">
      <alignment horizontal="center" vertical="center"/>
    </xf>
    <xf numFmtId="0" fontId="53" fillId="37" borderId="0" xfId="63" applyFont="1" applyFill="1" applyAlignment="1">
      <alignment horizontal="center" vertical="top" wrapText="1"/>
      <protection/>
    </xf>
    <xf numFmtId="0" fontId="51" fillId="37" borderId="0" xfId="63" applyFill="1">
      <alignment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166" fontId="2" fillId="0" borderId="0" xfId="0" applyNumberFormat="1" applyFont="1" applyFill="1" applyAlignment="1">
      <alignment horizontal="center" textRotation="180" wrapText="1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9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3" xfId="0" applyNumberFormat="1" applyFont="1" applyFill="1" applyBorder="1" applyAlignment="1" applyProtection="1">
      <alignment horizontal="center" vertical="center"/>
      <protection/>
    </xf>
    <xf numFmtId="166" fontId="6" fillId="0" borderId="33" xfId="0" applyNumberFormat="1" applyFont="1" applyFill="1" applyBorder="1" applyAlignment="1" applyProtection="1">
      <alignment horizontal="center" vertical="center" wrapText="1"/>
      <protection/>
    </xf>
    <xf numFmtId="166" fontId="6" fillId="0" borderId="57" xfId="0" applyNumberFormat="1" applyFont="1" applyFill="1" applyBorder="1" applyAlignment="1" applyProtection="1">
      <alignment horizontal="center" vertical="center"/>
      <protection/>
    </xf>
    <xf numFmtId="166" fontId="6" fillId="0" borderId="78" xfId="0" applyNumberFormat="1" applyFont="1" applyFill="1" applyBorder="1" applyAlignment="1" applyProtection="1">
      <alignment horizontal="center" vertical="center"/>
      <protection/>
    </xf>
    <xf numFmtId="166" fontId="6" fillId="0" borderId="80" xfId="0" applyNumberFormat="1" applyFont="1" applyFill="1" applyBorder="1" applyAlignment="1" applyProtection="1">
      <alignment horizontal="center" vertical="center"/>
      <protection/>
    </xf>
    <xf numFmtId="166" fontId="6" fillId="0" borderId="53" xfId="0" applyNumberFormat="1" applyFont="1" applyFill="1" applyBorder="1" applyAlignment="1" applyProtection="1">
      <alignment horizontal="center" vertical="center" wrapText="1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66" fontId="1" fillId="0" borderId="0" xfId="0" applyNumberFormat="1" applyFont="1" applyFill="1" applyAlignment="1">
      <alignment horizontal="center" textRotation="180" wrapText="1"/>
    </xf>
    <xf numFmtId="166" fontId="6" fillId="0" borderId="53" xfId="0" applyNumberFormat="1" applyFont="1" applyFill="1" applyBorder="1" applyAlignment="1">
      <alignment horizontal="center" vertical="center" wrapText="1"/>
    </xf>
    <xf numFmtId="166" fontId="6" fillId="0" borderId="73" xfId="0" applyNumberFormat="1" applyFont="1" applyFill="1" applyBorder="1" applyAlignment="1">
      <alignment horizontal="center" vertical="center" wrapText="1"/>
    </xf>
    <xf numFmtId="166" fontId="6" fillId="0" borderId="53" xfId="0" applyNumberFormat="1" applyFont="1" applyFill="1" applyBorder="1" applyAlignment="1">
      <alignment horizontal="center" vertical="center"/>
    </xf>
    <xf numFmtId="166" fontId="6" fillId="0" borderId="73" xfId="0" applyNumberFormat="1" applyFont="1" applyFill="1" applyBorder="1" applyAlignment="1">
      <alignment horizontal="center" vertical="center"/>
    </xf>
    <xf numFmtId="166" fontId="6" fillId="0" borderId="75" xfId="0" applyNumberFormat="1" applyFont="1" applyFill="1" applyBorder="1" applyAlignment="1">
      <alignment horizontal="center" vertical="center" wrapText="1"/>
    </xf>
    <xf numFmtId="166" fontId="6" fillId="0" borderId="81" xfId="0" applyNumberFormat="1" applyFont="1" applyFill="1" applyBorder="1" applyAlignment="1">
      <alignment horizontal="center" vertical="center" wrapText="1"/>
    </xf>
    <xf numFmtId="166" fontId="6" fillId="0" borderId="57" xfId="0" applyNumberFormat="1" applyFont="1" applyFill="1" applyBorder="1" applyAlignment="1">
      <alignment horizontal="center" vertical="center" wrapText="1"/>
    </xf>
    <xf numFmtId="166" fontId="6" fillId="0" borderId="67" xfId="0" applyNumberFormat="1" applyFont="1" applyFill="1" applyBorder="1" applyAlignment="1">
      <alignment horizontal="center" vertical="center" wrapText="1"/>
    </xf>
    <xf numFmtId="166" fontId="6" fillId="0" borderId="76" xfId="0" applyNumberFormat="1" applyFont="1" applyFill="1" applyBorder="1" applyAlignment="1">
      <alignment horizontal="center" vertical="center" wrapText="1"/>
    </xf>
    <xf numFmtId="166" fontId="6" fillId="0" borderId="82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 applyProtection="1">
      <alignment horizontal="left" vertical="center" wrapText="1"/>
      <protection/>
    </xf>
    <xf numFmtId="0" fontId="6" fillId="0" borderId="48" xfId="0" applyFont="1" applyFill="1" applyBorder="1" applyAlignment="1" applyProtection="1">
      <alignment horizontal="left" vertical="center" wrapText="1"/>
      <protection/>
    </xf>
    <xf numFmtId="0" fontId="6" fillId="0" borderId="76" xfId="0" applyFont="1" applyFill="1" applyBorder="1" applyAlignment="1" applyProtection="1">
      <alignment horizontal="left" vertical="center" wrapText="1"/>
      <protection/>
    </xf>
    <xf numFmtId="0" fontId="13" fillId="0" borderId="50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 textRotation="180" wrapText="1"/>
    </xf>
    <xf numFmtId="0" fontId="4" fillId="0" borderId="32" xfId="0" applyFont="1" applyFill="1" applyBorder="1" applyAlignment="1">
      <alignment horizontal="right"/>
    </xf>
    <xf numFmtId="0" fontId="6" fillId="0" borderId="75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50" xfId="0" applyFont="1" applyFill="1" applyBorder="1" applyAlignment="1">
      <alignment horizontal="left" vertical="center" indent="2"/>
    </xf>
    <xf numFmtId="0" fontId="6" fillId="0" borderId="36" xfId="0" applyFont="1" applyFill="1" applyBorder="1" applyAlignment="1">
      <alignment horizontal="left" vertical="center" indent="2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66" applyFont="1" applyFill="1" applyAlignment="1" applyProtection="1">
      <alignment horizontal="center" vertical="center" wrapText="1"/>
      <protection/>
    </xf>
    <xf numFmtId="0" fontId="11" fillId="0" borderId="0" xfId="66" applyFont="1" applyFill="1" applyAlignment="1" applyProtection="1">
      <alignment horizontal="center" vertical="center"/>
      <protection/>
    </xf>
    <xf numFmtId="0" fontId="41" fillId="0" borderId="0" xfId="66" applyFont="1" applyFill="1" applyBorder="1" applyAlignment="1" applyProtection="1">
      <alignment horizontal="right"/>
      <protection/>
    </xf>
    <xf numFmtId="0" fontId="42" fillId="0" borderId="24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18" xfId="66" applyFont="1" applyFill="1" applyBorder="1" applyAlignment="1" applyProtection="1">
      <alignment horizontal="center" vertical="center" wrapText="1"/>
      <protection/>
    </xf>
    <xf numFmtId="0" fontId="20" fillId="0" borderId="25" xfId="65" applyFont="1" applyFill="1" applyBorder="1" applyAlignment="1" applyProtection="1">
      <alignment horizontal="center" vertical="center" textRotation="90"/>
      <protection/>
    </xf>
    <xf numFmtId="0" fontId="20" fillId="0" borderId="10" xfId="65" applyFont="1" applyFill="1" applyBorder="1" applyAlignment="1" applyProtection="1">
      <alignment horizontal="center" vertical="center" textRotation="90"/>
      <protection/>
    </xf>
    <xf numFmtId="0" fontId="20" fillId="0" borderId="12" xfId="65" applyFont="1" applyFill="1" applyBorder="1" applyAlignment="1" applyProtection="1">
      <alignment horizontal="center" vertical="center" textRotation="90"/>
      <protection/>
    </xf>
    <xf numFmtId="0" fontId="41" fillId="0" borderId="13" xfId="66" applyFont="1" applyFill="1" applyBorder="1" applyAlignment="1" applyProtection="1">
      <alignment horizontal="center" vertical="center" wrapText="1"/>
      <protection/>
    </xf>
    <xf numFmtId="0" fontId="41" fillId="0" borderId="11" xfId="66" applyFont="1" applyFill="1" applyBorder="1" applyAlignment="1" applyProtection="1">
      <alignment horizontal="center" vertical="center" wrapText="1"/>
      <protection/>
    </xf>
    <xf numFmtId="0" fontId="41" fillId="0" borderId="40" xfId="66" applyFont="1" applyFill="1" applyBorder="1" applyAlignment="1" applyProtection="1">
      <alignment horizontal="center" vertical="center" wrapText="1"/>
      <protection/>
    </xf>
    <xf numFmtId="0" fontId="41" fillId="0" borderId="27" xfId="66" applyFont="1" applyFill="1" applyBorder="1" applyAlignment="1" applyProtection="1">
      <alignment horizontal="center" vertical="center" wrapText="1"/>
      <protection/>
    </xf>
    <xf numFmtId="0" fontId="41" fillId="0" borderId="11" xfId="66" applyFont="1" applyFill="1" applyBorder="1" applyAlignment="1" applyProtection="1">
      <alignment horizontal="center" wrapText="1"/>
      <protection/>
    </xf>
    <xf numFmtId="0" fontId="41" fillId="0" borderId="28" xfId="66" applyFont="1" applyFill="1" applyBorder="1" applyAlignment="1" applyProtection="1">
      <alignment horizont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20" fillId="0" borderId="0" xfId="65" applyFont="1" applyFill="1" applyBorder="1" applyAlignment="1" applyProtection="1">
      <alignment horizontal="right" vertical="center"/>
      <protection/>
    </xf>
    <xf numFmtId="0" fontId="5" fillId="0" borderId="20" xfId="65" applyFont="1" applyFill="1" applyBorder="1" applyAlignment="1" applyProtection="1">
      <alignment horizontal="center" vertical="center" wrapText="1"/>
      <protection/>
    </xf>
    <xf numFmtId="0" fontId="5" fillId="0" borderId="17" xfId="65" applyFont="1" applyFill="1" applyBorder="1" applyAlignment="1" applyProtection="1">
      <alignment horizontal="center" vertical="center" wrapText="1"/>
      <protection/>
    </xf>
    <xf numFmtId="0" fontId="20" fillId="0" borderId="13" xfId="65" applyFont="1" applyFill="1" applyBorder="1" applyAlignment="1" applyProtection="1">
      <alignment horizontal="center" vertical="center" textRotation="90"/>
      <protection/>
    </xf>
    <xf numFmtId="0" fontId="20" fillId="0" borderId="11" xfId="65" applyFont="1" applyFill="1" applyBorder="1" applyAlignment="1" applyProtection="1">
      <alignment horizontal="center" vertical="center" textRotation="90"/>
      <protection/>
    </xf>
    <xf numFmtId="0" fontId="4" fillId="0" borderId="41" xfId="65" applyFont="1" applyFill="1" applyBorder="1" applyAlignment="1" applyProtection="1">
      <alignment horizontal="center" vertical="center" wrapText="1"/>
      <protection/>
    </xf>
    <xf numFmtId="0" fontId="4" fillId="0" borderId="28" xfId="65" applyFont="1" applyFill="1" applyBorder="1" applyAlignment="1" applyProtection="1">
      <alignment horizontal="center" vertical="center"/>
      <protection/>
    </xf>
    <xf numFmtId="0" fontId="11" fillId="0" borderId="0" xfId="66" applyFont="1" applyFill="1" applyAlignment="1">
      <alignment horizontal="center" vertical="center" wrapText="1"/>
      <protection/>
    </xf>
    <xf numFmtId="0" fontId="11" fillId="0" borderId="0" xfId="66" applyFont="1" applyFill="1" applyAlignment="1">
      <alignment horizontal="center" vertical="center"/>
      <protection/>
    </xf>
    <xf numFmtId="0" fontId="11" fillId="0" borderId="32" xfId="66" applyFont="1" applyFill="1" applyBorder="1" applyAlignment="1">
      <alignment horizontal="center"/>
      <protection/>
    </xf>
    <xf numFmtId="0" fontId="16" fillId="0" borderId="50" xfId="66" applyFont="1" applyFill="1" applyBorder="1" applyAlignment="1">
      <alignment horizontal="left"/>
      <protection/>
    </xf>
    <xf numFmtId="0" fontId="16" fillId="0" borderId="36" xfId="66" applyFont="1" applyFill="1" applyBorder="1" applyAlignment="1">
      <alignment horizontal="left"/>
      <protection/>
    </xf>
    <xf numFmtId="3" fontId="31" fillId="0" borderId="0" xfId="66" applyNumberFormat="1" applyFont="1" applyFill="1" applyAlignment="1">
      <alignment horizontal="center"/>
      <protection/>
    </xf>
    <xf numFmtId="0" fontId="31" fillId="0" borderId="0" xfId="66" applyFill="1" applyAlignment="1">
      <alignment horizontal="right"/>
      <protection/>
    </xf>
    <xf numFmtId="0" fontId="11" fillId="0" borderId="0" xfId="66" applyFont="1" applyFill="1" applyAlignment="1">
      <alignment horizontal="center" wrapText="1"/>
      <protection/>
    </xf>
    <xf numFmtId="0" fontId="11" fillId="0" borderId="0" xfId="66" applyFont="1" applyFill="1" applyAlignment="1">
      <alignment horizontal="center"/>
      <protection/>
    </xf>
    <xf numFmtId="0" fontId="31" fillId="0" borderId="32" xfId="66" applyFill="1" applyBorder="1" applyAlignment="1">
      <alignment horizontal="center"/>
      <protection/>
    </xf>
    <xf numFmtId="0" fontId="16" fillId="0" borderId="50" xfId="66" applyFont="1" applyFill="1" applyBorder="1" applyAlignment="1">
      <alignment horizontal="left" indent="1"/>
      <protection/>
    </xf>
    <xf numFmtId="0" fontId="16" fillId="0" borderId="36" xfId="66" applyFont="1" applyFill="1" applyBorder="1" applyAlignment="1">
      <alignment horizontal="left" indent="1"/>
      <protection/>
    </xf>
    <xf numFmtId="0" fontId="2" fillId="0" borderId="0" xfId="0" applyFont="1" applyAlignment="1" applyProtection="1">
      <alignment horizontal="center" vertical="center" textRotation="180"/>
      <protection/>
    </xf>
    <xf numFmtId="0" fontId="34" fillId="0" borderId="0" xfId="0" applyFont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wrapText="1"/>
      <protection/>
    </xf>
    <xf numFmtId="0" fontId="35" fillId="0" borderId="23" xfId="0" applyFont="1" applyBorder="1" applyAlignment="1" applyProtection="1">
      <alignment wrapText="1"/>
      <protection/>
    </xf>
    <xf numFmtId="0" fontId="29" fillId="0" borderId="0" xfId="0" applyFont="1" applyFill="1" applyAlignment="1" applyProtection="1">
      <alignment horizontal="center" vertical="top" wrapText="1"/>
      <protection locked="0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2 2" xfId="61"/>
    <cellStyle name="Normál 2 3" xfId="62"/>
    <cellStyle name="Normál 3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dxfs count="5">
    <dxf>
      <font>
        <color indexed="1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wnloads\1553178832_tablasoroza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wnloads\1527833763_tajekoztato%20tablazatok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</sheetNames>
    <sheetDataSet>
      <sheetData sheetId="0">
        <row r="2">
          <cell r="A2" t="str">
            <v>Költségvetési rendelet űrlapjainak összefüggései: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32">
        <row r="2">
          <cell r="E2" t="str">
            <v>Forintban!</v>
          </cell>
        </row>
      </sheetData>
      <sheetData sheetId="33">
        <row r="1">
          <cell r="J1" t="str">
            <v>Forintban!</v>
          </cell>
        </row>
      </sheetData>
      <sheetData sheetId="34">
        <row r="1">
          <cell r="H1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90" workbookViewId="0" topLeftCell="A112">
      <selection activeCell="E128" sqref="E128"/>
    </sheetView>
  </sheetViews>
  <sheetFormatPr defaultColWidth="9.25390625" defaultRowHeight="12.75"/>
  <cols>
    <col min="1" max="1" width="9.375" style="167" customWidth="1"/>
    <col min="2" max="2" width="91.75390625" style="167" customWidth="1"/>
    <col min="3" max="3" width="21.75390625" style="168" customWidth="1"/>
    <col min="4" max="4" width="21.375" style="182" customWidth="1"/>
    <col min="5" max="5" width="22.125" style="182" customWidth="1"/>
    <col min="6" max="6" width="25.375" style="182" customWidth="1"/>
    <col min="7" max="16384" width="9.25390625" style="182" customWidth="1"/>
  </cols>
  <sheetData>
    <row r="1" spans="1:3" ht="15.75" customHeight="1">
      <c r="A1" s="824" t="s">
        <v>6</v>
      </c>
      <c r="B1" s="824"/>
      <c r="C1" s="824"/>
    </row>
    <row r="2" spans="1:4" ht="15.75" customHeight="1" thickBot="1">
      <c r="A2" s="825" t="s">
        <v>92</v>
      </c>
      <c r="B2" s="825"/>
      <c r="C2" s="829" t="s">
        <v>426</v>
      </c>
      <c r="D2" s="829"/>
    </row>
    <row r="3" spans="1:5" ht="37.5" customHeight="1" thickBot="1">
      <c r="A3" s="21" t="s">
        <v>49</v>
      </c>
      <c r="B3" s="22" t="s">
        <v>8</v>
      </c>
      <c r="C3" s="31" t="s">
        <v>772</v>
      </c>
      <c r="D3" s="237" t="s">
        <v>773</v>
      </c>
      <c r="E3" s="289" t="s">
        <v>774</v>
      </c>
    </row>
    <row r="4" spans="1:5" s="183" customFormat="1" ht="12" customHeight="1" thickBot="1">
      <c r="A4" s="177" t="s">
        <v>394</v>
      </c>
      <c r="B4" s="178" t="s">
        <v>395</v>
      </c>
      <c r="C4" s="235" t="s">
        <v>396</v>
      </c>
      <c r="D4" s="238" t="s">
        <v>398</v>
      </c>
      <c r="E4" s="238" t="s">
        <v>397</v>
      </c>
    </row>
    <row r="5" spans="1:5" s="184" customFormat="1" ht="12" customHeight="1" thickBot="1">
      <c r="A5" s="18" t="s">
        <v>9</v>
      </c>
      <c r="B5" s="19" t="s">
        <v>162</v>
      </c>
      <c r="C5" s="713">
        <f>+C6+C7+C8+C9+C10+C11</f>
        <v>82334276</v>
      </c>
      <c r="D5" s="239">
        <f>+D6+D7+D8+D9+D10+D11</f>
        <v>77957117</v>
      </c>
      <c r="E5" s="268">
        <f>+E6+E7+E8+E9+E10+E11</f>
        <v>77957117</v>
      </c>
    </row>
    <row r="6" spans="1:5" s="184" customFormat="1" ht="12" customHeight="1">
      <c r="A6" s="13" t="s">
        <v>61</v>
      </c>
      <c r="B6" s="185" t="s">
        <v>163</v>
      </c>
      <c r="C6" s="714">
        <v>21232401</v>
      </c>
      <c r="D6" s="115">
        <v>22707401</v>
      </c>
      <c r="E6" s="115">
        <v>22707401</v>
      </c>
    </row>
    <row r="7" spans="1:5" s="184" customFormat="1" ht="12" customHeight="1">
      <c r="A7" s="12" t="s">
        <v>62</v>
      </c>
      <c r="B7" s="186" t="s">
        <v>164</v>
      </c>
      <c r="C7" s="715"/>
      <c r="D7" s="114">
        <v>7350050</v>
      </c>
      <c r="E7" s="114">
        <v>7350050</v>
      </c>
    </row>
    <row r="8" spans="1:5" s="184" customFormat="1" ht="12" customHeight="1">
      <c r="A8" s="12" t="s">
        <v>63</v>
      </c>
      <c r="B8" s="186" t="s">
        <v>422</v>
      </c>
      <c r="C8" s="715">
        <v>29873623</v>
      </c>
      <c r="D8" s="114">
        <v>30922116</v>
      </c>
      <c r="E8" s="114">
        <v>30922116</v>
      </c>
    </row>
    <row r="9" spans="1:5" s="184" customFormat="1" ht="12" customHeight="1">
      <c r="A9" s="12" t="s">
        <v>64</v>
      </c>
      <c r="B9" s="186" t="s">
        <v>166</v>
      </c>
      <c r="C9" s="715">
        <v>1800000</v>
      </c>
      <c r="D9" s="114">
        <v>1800000</v>
      </c>
      <c r="E9" s="114">
        <v>1800000</v>
      </c>
    </row>
    <row r="10" spans="1:5" s="184" customFormat="1" ht="12" customHeight="1">
      <c r="A10" s="12" t="s">
        <v>88</v>
      </c>
      <c r="B10" s="108" t="s">
        <v>333</v>
      </c>
      <c r="C10" s="715">
        <v>29428252</v>
      </c>
      <c r="D10" s="395">
        <v>14829280</v>
      </c>
      <c r="E10" s="395">
        <v>14829280</v>
      </c>
    </row>
    <row r="11" spans="1:5" s="184" customFormat="1" ht="12" customHeight="1" thickBot="1">
      <c r="A11" s="14" t="s">
        <v>65</v>
      </c>
      <c r="B11" s="109" t="s">
        <v>334</v>
      </c>
      <c r="C11" s="715"/>
      <c r="D11" s="114">
        <v>348270</v>
      </c>
      <c r="E11" s="114">
        <v>348270</v>
      </c>
    </row>
    <row r="12" spans="1:5" s="184" customFormat="1" ht="12" customHeight="1" thickBot="1">
      <c r="A12" s="18" t="s">
        <v>10</v>
      </c>
      <c r="B12" s="107" t="s">
        <v>167</v>
      </c>
      <c r="C12" s="713">
        <f>+C13+C14+C15+C16+C17</f>
        <v>64018497</v>
      </c>
      <c r="D12" s="239">
        <f>+D13+D14+D15+D16+D17</f>
        <v>102975723</v>
      </c>
      <c r="E12" s="268">
        <f>+E13+E14+E15+E16+E17</f>
        <v>83663182</v>
      </c>
    </row>
    <row r="13" spans="1:5" s="184" customFormat="1" ht="12" customHeight="1">
      <c r="A13" s="13" t="s">
        <v>67</v>
      </c>
      <c r="B13" s="185" t="s">
        <v>168</v>
      </c>
      <c r="C13" s="714"/>
      <c r="D13" s="115"/>
      <c r="E13" s="290"/>
    </row>
    <row r="14" spans="1:5" s="184" customFormat="1" ht="12" customHeight="1">
      <c r="A14" s="12" t="s">
        <v>68</v>
      </c>
      <c r="B14" s="186" t="s">
        <v>169</v>
      </c>
      <c r="C14" s="715"/>
      <c r="D14" s="114"/>
      <c r="E14" s="290"/>
    </row>
    <row r="15" spans="1:5" s="184" customFormat="1" ht="12" customHeight="1">
      <c r="A15" s="12" t="s">
        <v>69</v>
      </c>
      <c r="B15" s="186" t="s">
        <v>325</v>
      </c>
      <c r="C15" s="715"/>
      <c r="D15" s="114"/>
      <c r="E15" s="290"/>
    </row>
    <row r="16" spans="1:5" s="184" customFormat="1" ht="12" customHeight="1">
      <c r="A16" s="12" t="s">
        <v>70</v>
      </c>
      <c r="B16" s="186" t="s">
        <v>326</v>
      </c>
      <c r="C16" s="715"/>
      <c r="D16" s="114"/>
      <c r="E16" s="290"/>
    </row>
    <row r="17" spans="1:5" s="184" customFormat="1" ht="12" customHeight="1">
      <c r="A17" s="12" t="s">
        <v>71</v>
      </c>
      <c r="B17" s="186" t="s">
        <v>170</v>
      </c>
      <c r="C17" s="715">
        <v>64018497</v>
      </c>
      <c r="D17" s="114">
        <v>102975723</v>
      </c>
      <c r="E17" s="290">
        <v>83663182</v>
      </c>
    </row>
    <row r="18" spans="1:5" s="184" customFormat="1" ht="12" customHeight="1" thickBot="1">
      <c r="A18" s="14" t="s">
        <v>77</v>
      </c>
      <c r="B18" s="109" t="s">
        <v>171</v>
      </c>
      <c r="C18" s="716">
        <v>15472270</v>
      </c>
      <c r="D18" s="116">
        <v>15472270</v>
      </c>
      <c r="E18" s="290">
        <v>3492818</v>
      </c>
    </row>
    <row r="19" spans="1:5" s="184" customFormat="1" ht="12" customHeight="1" thickBot="1">
      <c r="A19" s="18" t="s">
        <v>11</v>
      </c>
      <c r="B19" s="19" t="s">
        <v>172</v>
      </c>
      <c r="C19" s="713">
        <f>+C20+C21+C22+C23+C24</f>
        <v>48597267</v>
      </c>
      <c r="D19" s="239">
        <f>+D20+D21+D22+D23+D24</f>
        <v>93493090</v>
      </c>
      <c r="E19" s="268">
        <f>+E20+E21+E22+E23+E24</f>
        <v>67343285</v>
      </c>
    </row>
    <row r="20" spans="1:5" s="184" customFormat="1" ht="12" customHeight="1">
      <c r="A20" s="13" t="s">
        <v>50</v>
      </c>
      <c r="B20" s="185" t="s">
        <v>173</v>
      </c>
      <c r="C20" s="714"/>
      <c r="D20" s="115">
        <v>44895823</v>
      </c>
      <c r="E20" s="290">
        <v>44895823</v>
      </c>
    </row>
    <row r="21" spans="1:5" s="184" customFormat="1" ht="12" customHeight="1">
      <c r="A21" s="12" t="s">
        <v>51</v>
      </c>
      <c r="B21" s="186" t="s">
        <v>174</v>
      </c>
      <c r="C21" s="715"/>
      <c r="D21" s="114"/>
      <c r="E21" s="290"/>
    </row>
    <row r="22" spans="1:5" s="184" customFormat="1" ht="12" customHeight="1">
      <c r="A22" s="12" t="s">
        <v>52</v>
      </c>
      <c r="B22" s="186" t="s">
        <v>327</v>
      </c>
      <c r="C22" s="715"/>
      <c r="D22" s="114"/>
      <c r="E22" s="290"/>
    </row>
    <row r="23" spans="1:5" s="184" customFormat="1" ht="12" customHeight="1">
      <c r="A23" s="12" t="s">
        <v>53</v>
      </c>
      <c r="B23" s="186" t="s">
        <v>328</v>
      </c>
      <c r="C23" s="715"/>
      <c r="D23" s="114"/>
      <c r="E23" s="290"/>
    </row>
    <row r="24" spans="1:5" s="184" customFormat="1" ht="12" customHeight="1">
      <c r="A24" s="12" t="s">
        <v>110</v>
      </c>
      <c r="B24" s="186" t="s">
        <v>175</v>
      </c>
      <c r="C24" s="715">
        <v>48597267</v>
      </c>
      <c r="D24" s="114">
        <v>48597267</v>
      </c>
      <c r="E24" s="290">
        <v>22447462</v>
      </c>
    </row>
    <row r="25" spans="1:5" s="184" customFormat="1" ht="12" customHeight="1" thickBot="1">
      <c r="A25" s="14" t="s">
        <v>111</v>
      </c>
      <c r="B25" s="187" t="s">
        <v>176</v>
      </c>
      <c r="C25" s="717">
        <v>46674716</v>
      </c>
      <c r="D25" s="116">
        <v>46674716</v>
      </c>
      <c r="E25" s="290">
        <v>21067673</v>
      </c>
    </row>
    <row r="26" spans="1:5" s="184" customFormat="1" ht="12" customHeight="1" thickBot="1">
      <c r="A26" s="18" t="s">
        <v>112</v>
      </c>
      <c r="B26" s="19" t="s">
        <v>414</v>
      </c>
      <c r="C26" s="718">
        <f>SUM(C27:C33)</f>
        <v>3010000</v>
      </c>
      <c r="D26" s="239">
        <f>SUM(D27:D33)</f>
        <v>3010000</v>
      </c>
      <c r="E26" s="268">
        <f>SUM(E27:E33)</f>
        <v>3256690</v>
      </c>
    </row>
    <row r="27" spans="1:5" s="184" customFormat="1" ht="12" customHeight="1">
      <c r="A27" s="13" t="s">
        <v>177</v>
      </c>
      <c r="B27" s="185" t="s">
        <v>418</v>
      </c>
      <c r="C27" s="714"/>
      <c r="D27" s="714"/>
      <c r="E27" s="290"/>
    </row>
    <row r="28" spans="1:5" s="184" customFormat="1" ht="12" customHeight="1">
      <c r="A28" s="12" t="s">
        <v>178</v>
      </c>
      <c r="B28" s="186" t="s">
        <v>427</v>
      </c>
      <c r="C28" s="715">
        <v>350000</v>
      </c>
      <c r="D28" s="715">
        <v>350000</v>
      </c>
      <c r="E28" s="290">
        <v>206715</v>
      </c>
    </row>
    <row r="29" spans="1:5" s="184" customFormat="1" ht="12" customHeight="1">
      <c r="A29" s="12" t="s">
        <v>179</v>
      </c>
      <c r="B29" s="186" t="s">
        <v>420</v>
      </c>
      <c r="C29" s="715">
        <v>1000000</v>
      </c>
      <c r="D29" s="715">
        <v>1000000</v>
      </c>
      <c r="E29" s="290">
        <v>1695763</v>
      </c>
    </row>
    <row r="30" spans="1:5" s="184" customFormat="1" ht="12" customHeight="1">
      <c r="A30" s="12" t="s">
        <v>180</v>
      </c>
      <c r="B30" s="186" t="s">
        <v>421</v>
      </c>
      <c r="C30" s="715"/>
      <c r="D30" s="715"/>
      <c r="E30" s="290"/>
    </row>
    <row r="31" spans="1:5" s="184" customFormat="1" ht="12" customHeight="1">
      <c r="A31" s="12" t="s">
        <v>415</v>
      </c>
      <c r="B31" s="186" t="s">
        <v>181</v>
      </c>
      <c r="C31" s="715">
        <v>1600000</v>
      </c>
      <c r="D31" s="715">
        <v>1600000</v>
      </c>
      <c r="E31" s="290">
        <v>1305772</v>
      </c>
    </row>
    <row r="32" spans="1:5" s="184" customFormat="1" ht="12" customHeight="1">
      <c r="A32" s="12" t="s">
        <v>416</v>
      </c>
      <c r="B32" s="186" t="s">
        <v>182</v>
      </c>
      <c r="C32" s="715"/>
      <c r="D32" s="715"/>
      <c r="E32" s="290"/>
    </row>
    <row r="33" spans="1:5" s="184" customFormat="1" ht="12" customHeight="1" thickBot="1">
      <c r="A33" s="14" t="s">
        <v>417</v>
      </c>
      <c r="B33" s="187" t="s">
        <v>183</v>
      </c>
      <c r="C33" s="716">
        <v>60000</v>
      </c>
      <c r="D33" s="716">
        <v>60000</v>
      </c>
      <c r="E33" s="290">
        <v>48440</v>
      </c>
    </row>
    <row r="34" spans="1:5" s="184" customFormat="1" ht="12" customHeight="1" thickBot="1">
      <c r="A34" s="18" t="s">
        <v>13</v>
      </c>
      <c r="B34" s="19" t="s">
        <v>335</v>
      </c>
      <c r="C34" s="713">
        <f>SUM(C35:C45)</f>
        <v>12625072</v>
      </c>
      <c r="D34" s="239">
        <f>SUM(D35:D45)</f>
        <v>17984281</v>
      </c>
      <c r="E34" s="268">
        <f>SUM(E35:E45)</f>
        <v>20187036</v>
      </c>
    </row>
    <row r="35" spans="1:5" s="184" customFormat="1" ht="12" customHeight="1">
      <c r="A35" s="13" t="s">
        <v>54</v>
      </c>
      <c r="B35" s="185" t="s">
        <v>186</v>
      </c>
      <c r="C35" s="714"/>
      <c r="D35" s="115">
        <v>1647583</v>
      </c>
      <c r="E35" s="290">
        <v>1647583</v>
      </c>
    </row>
    <row r="36" spans="1:5" s="184" customFormat="1" ht="12" customHeight="1">
      <c r="A36" s="12" t="s">
        <v>55</v>
      </c>
      <c r="B36" s="186" t="s">
        <v>187</v>
      </c>
      <c r="C36" s="715">
        <v>2036110</v>
      </c>
      <c r="D36" s="114">
        <v>6461882</v>
      </c>
      <c r="E36" s="290">
        <v>4671258</v>
      </c>
    </row>
    <row r="37" spans="1:5" s="184" customFormat="1" ht="12" customHeight="1">
      <c r="A37" s="12" t="s">
        <v>56</v>
      </c>
      <c r="B37" s="186" t="s">
        <v>188</v>
      </c>
      <c r="C37" s="715">
        <v>1778713</v>
      </c>
      <c r="D37" s="114"/>
      <c r="E37" s="290">
        <v>1146215</v>
      </c>
    </row>
    <row r="38" spans="1:5" s="184" customFormat="1" ht="12" customHeight="1">
      <c r="A38" s="12" t="s">
        <v>114</v>
      </c>
      <c r="B38" s="186" t="s">
        <v>189</v>
      </c>
      <c r="C38" s="715"/>
      <c r="D38" s="114"/>
      <c r="E38" s="290">
        <v>450860</v>
      </c>
    </row>
    <row r="39" spans="1:5" s="184" customFormat="1" ht="12" customHeight="1">
      <c r="A39" s="12" t="s">
        <v>115</v>
      </c>
      <c r="B39" s="186" t="s">
        <v>190</v>
      </c>
      <c r="C39" s="715">
        <v>6028596</v>
      </c>
      <c r="D39" s="114">
        <v>7028596</v>
      </c>
      <c r="E39" s="290">
        <v>7372564</v>
      </c>
    </row>
    <row r="40" spans="1:5" s="184" customFormat="1" ht="12" customHeight="1">
      <c r="A40" s="12" t="s">
        <v>116</v>
      </c>
      <c r="B40" s="186" t="s">
        <v>191</v>
      </c>
      <c r="C40" s="715">
        <v>2781653</v>
      </c>
      <c r="D40" s="114">
        <v>2846220</v>
      </c>
      <c r="E40" s="290">
        <v>3328901</v>
      </c>
    </row>
    <row r="41" spans="1:5" s="184" customFormat="1" ht="12" customHeight="1">
      <c r="A41" s="12" t="s">
        <v>117</v>
      </c>
      <c r="B41" s="186" t="s">
        <v>192</v>
      </c>
      <c r="C41" s="715"/>
      <c r="D41" s="114"/>
      <c r="E41" s="290"/>
    </row>
    <row r="42" spans="1:5" s="184" customFormat="1" ht="12" customHeight="1">
      <c r="A42" s="12" t="s">
        <v>118</v>
      </c>
      <c r="B42" s="186" t="s">
        <v>193</v>
      </c>
      <c r="C42" s="715"/>
      <c r="D42" s="114"/>
      <c r="E42" s="290"/>
    </row>
    <row r="43" spans="1:5" s="184" customFormat="1" ht="12" customHeight="1">
      <c r="A43" s="12" t="s">
        <v>184</v>
      </c>
      <c r="B43" s="186" t="s">
        <v>194</v>
      </c>
      <c r="C43" s="719"/>
      <c r="D43" s="117"/>
      <c r="E43" s="290"/>
    </row>
    <row r="44" spans="1:5" s="184" customFormat="1" ht="12" customHeight="1">
      <c r="A44" s="14" t="s">
        <v>185</v>
      </c>
      <c r="B44" s="187" t="s">
        <v>337</v>
      </c>
      <c r="C44" s="720"/>
      <c r="D44" s="173"/>
      <c r="E44" s="290">
        <v>135500</v>
      </c>
    </row>
    <row r="45" spans="1:5" s="184" customFormat="1" ht="12" customHeight="1" thickBot="1">
      <c r="A45" s="14" t="s">
        <v>336</v>
      </c>
      <c r="B45" s="109" t="s">
        <v>195</v>
      </c>
      <c r="C45" s="720"/>
      <c r="D45" s="173"/>
      <c r="E45" s="290">
        <v>1434155</v>
      </c>
    </row>
    <row r="46" spans="1:5" s="184" customFormat="1" ht="12" customHeight="1" thickBot="1">
      <c r="A46" s="18" t="s">
        <v>14</v>
      </c>
      <c r="B46" s="19" t="s">
        <v>196</v>
      </c>
      <c r="C46" s="713">
        <f>SUM(C47:C51)</f>
        <v>300000</v>
      </c>
      <c r="D46" s="239">
        <f>SUM(D47:D51)</f>
        <v>300000</v>
      </c>
      <c r="E46" s="268">
        <f>SUM(E47:E51)</f>
        <v>150000</v>
      </c>
    </row>
    <row r="47" spans="1:5" s="184" customFormat="1" ht="12" customHeight="1">
      <c r="A47" s="13" t="s">
        <v>57</v>
      </c>
      <c r="B47" s="185" t="s">
        <v>200</v>
      </c>
      <c r="C47" s="721"/>
      <c r="D47" s="217"/>
      <c r="E47" s="290"/>
    </row>
    <row r="48" spans="1:5" s="184" customFormat="1" ht="12" customHeight="1">
      <c r="A48" s="12" t="s">
        <v>58</v>
      </c>
      <c r="B48" s="186" t="s">
        <v>201</v>
      </c>
      <c r="C48" s="719"/>
      <c r="D48" s="117"/>
      <c r="E48" s="290"/>
    </row>
    <row r="49" spans="1:5" s="184" customFormat="1" ht="12" customHeight="1">
      <c r="A49" s="12" t="s">
        <v>197</v>
      </c>
      <c r="B49" s="186" t="s">
        <v>202</v>
      </c>
      <c r="C49" s="719">
        <v>300000</v>
      </c>
      <c r="D49" s="117">
        <v>300000</v>
      </c>
      <c r="E49" s="290">
        <v>150000</v>
      </c>
    </row>
    <row r="50" spans="1:5" s="184" customFormat="1" ht="12" customHeight="1">
      <c r="A50" s="12" t="s">
        <v>198</v>
      </c>
      <c r="B50" s="186" t="s">
        <v>203</v>
      </c>
      <c r="C50" s="719"/>
      <c r="D50" s="117"/>
      <c r="E50" s="290"/>
    </row>
    <row r="51" spans="1:5" s="184" customFormat="1" ht="12" customHeight="1" thickBot="1">
      <c r="A51" s="14" t="s">
        <v>199</v>
      </c>
      <c r="B51" s="109" t="s">
        <v>204</v>
      </c>
      <c r="C51" s="720"/>
      <c r="D51" s="173"/>
      <c r="E51" s="290"/>
    </row>
    <row r="52" spans="1:5" s="184" customFormat="1" ht="12" customHeight="1" thickBot="1">
      <c r="A52" s="18" t="s">
        <v>119</v>
      </c>
      <c r="B52" s="19" t="s">
        <v>205</v>
      </c>
      <c r="C52" s="713">
        <f>SUM(C53:C55)</f>
        <v>0</v>
      </c>
      <c r="D52" s="239">
        <f>SUM(D53:D55)</f>
        <v>0</v>
      </c>
      <c r="E52" s="268">
        <f>SUM(E53:E55)</f>
        <v>0</v>
      </c>
    </row>
    <row r="53" spans="1:5" s="184" customFormat="1" ht="12" customHeight="1">
      <c r="A53" s="13" t="s">
        <v>59</v>
      </c>
      <c r="B53" s="185" t="s">
        <v>206</v>
      </c>
      <c r="C53" s="714"/>
      <c r="D53" s="230"/>
      <c r="E53" s="290"/>
    </row>
    <row r="54" spans="1:5" s="184" customFormat="1" ht="12" customHeight="1">
      <c r="A54" s="12" t="s">
        <v>60</v>
      </c>
      <c r="B54" s="186" t="s">
        <v>329</v>
      </c>
      <c r="C54" s="715"/>
      <c r="D54" s="231"/>
      <c r="E54" s="290"/>
    </row>
    <row r="55" spans="1:5" s="184" customFormat="1" ht="12" customHeight="1">
      <c r="A55" s="12" t="s">
        <v>209</v>
      </c>
      <c r="B55" s="186" t="s">
        <v>207</v>
      </c>
      <c r="C55" s="715"/>
      <c r="D55" s="231"/>
      <c r="E55" s="290"/>
    </row>
    <row r="56" spans="1:5" s="184" customFormat="1" ht="12" customHeight="1" thickBot="1">
      <c r="A56" s="14" t="s">
        <v>210</v>
      </c>
      <c r="B56" s="109" t="s">
        <v>208</v>
      </c>
      <c r="C56" s="716"/>
      <c r="D56" s="232"/>
      <c r="E56" s="290"/>
    </row>
    <row r="57" spans="1:5" s="184" customFormat="1" ht="12" customHeight="1" thickBot="1">
      <c r="A57" s="18" t="s">
        <v>16</v>
      </c>
      <c r="B57" s="107" t="s">
        <v>211</v>
      </c>
      <c r="C57" s="713">
        <f>SUM(C58:C60)</f>
        <v>0</v>
      </c>
      <c r="D57" s="239">
        <f>SUM(D58:D60)</f>
        <v>0</v>
      </c>
      <c r="E57" s="268">
        <f>SUM(E58:E60)</f>
        <v>0</v>
      </c>
    </row>
    <row r="58" spans="1:5" s="184" customFormat="1" ht="12" customHeight="1">
      <c r="A58" s="13" t="s">
        <v>120</v>
      </c>
      <c r="B58" s="185" t="s">
        <v>213</v>
      </c>
      <c r="C58" s="719"/>
      <c r="D58" s="231"/>
      <c r="E58" s="290"/>
    </row>
    <row r="59" spans="1:5" s="184" customFormat="1" ht="12" customHeight="1">
      <c r="A59" s="12" t="s">
        <v>121</v>
      </c>
      <c r="B59" s="186" t="s">
        <v>330</v>
      </c>
      <c r="C59" s="719"/>
      <c r="D59" s="231"/>
      <c r="E59" s="290"/>
    </row>
    <row r="60" spans="1:5" s="184" customFormat="1" ht="12" customHeight="1">
      <c r="A60" s="12" t="s">
        <v>142</v>
      </c>
      <c r="B60" s="186" t="s">
        <v>214</v>
      </c>
      <c r="C60" s="719"/>
      <c r="D60" s="231"/>
      <c r="E60" s="290"/>
    </row>
    <row r="61" spans="1:5" s="184" customFormat="1" ht="12" customHeight="1" thickBot="1">
      <c r="A61" s="14" t="s">
        <v>212</v>
      </c>
      <c r="B61" s="109" t="s">
        <v>215</v>
      </c>
      <c r="C61" s="719"/>
      <c r="D61" s="231"/>
      <c r="E61" s="290"/>
    </row>
    <row r="62" spans="1:5" s="184" customFormat="1" ht="12" customHeight="1" thickBot="1">
      <c r="A62" s="227" t="s">
        <v>377</v>
      </c>
      <c r="B62" s="19" t="s">
        <v>216</v>
      </c>
      <c r="C62" s="718">
        <f>+C5+C12+C19+C26+C34+C46+C52+C57</f>
        <v>210885112</v>
      </c>
      <c r="D62" s="239">
        <f>+D5+D12+D19+D26+D34+D46+D52+D57</f>
        <v>295720211</v>
      </c>
      <c r="E62" s="268">
        <f>+E5+E12+E19+E26+E34+E46+E52+E57</f>
        <v>252557310</v>
      </c>
    </row>
    <row r="63" spans="1:5" s="184" customFormat="1" ht="12" customHeight="1" thickBot="1">
      <c r="A63" s="219" t="s">
        <v>217</v>
      </c>
      <c r="B63" s="107" t="s">
        <v>218</v>
      </c>
      <c r="C63" s="713">
        <f>SUM(C64:C66)</f>
        <v>0</v>
      </c>
      <c r="D63" s="239">
        <f>SUM(D64:D66)</f>
        <v>0</v>
      </c>
      <c r="E63" s="268">
        <f>SUM(E64:E66)</f>
        <v>0</v>
      </c>
    </row>
    <row r="64" spans="1:5" s="184" customFormat="1" ht="12" customHeight="1">
      <c r="A64" s="13" t="s">
        <v>248</v>
      </c>
      <c r="B64" s="185" t="s">
        <v>219</v>
      </c>
      <c r="C64" s="719"/>
      <c r="D64" s="231"/>
      <c r="E64" s="290"/>
    </row>
    <row r="65" spans="1:5" s="184" customFormat="1" ht="12" customHeight="1">
      <c r="A65" s="12" t="s">
        <v>257</v>
      </c>
      <c r="B65" s="186" t="s">
        <v>220</v>
      </c>
      <c r="C65" s="719"/>
      <c r="D65" s="231"/>
      <c r="E65" s="290"/>
    </row>
    <row r="66" spans="1:5" s="184" customFormat="1" ht="12" customHeight="1" thickBot="1">
      <c r="A66" s="14" t="s">
        <v>258</v>
      </c>
      <c r="B66" s="221" t="s">
        <v>362</v>
      </c>
      <c r="C66" s="719"/>
      <c r="D66" s="231"/>
      <c r="E66" s="290"/>
    </row>
    <row r="67" spans="1:5" s="184" customFormat="1" ht="12" customHeight="1" thickBot="1">
      <c r="A67" s="219" t="s">
        <v>221</v>
      </c>
      <c r="B67" s="107" t="s">
        <v>222</v>
      </c>
      <c r="C67" s="713">
        <f>SUM(C68:C71)</f>
        <v>0</v>
      </c>
      <c r="D67" s="229">
        <f>SUM(D68:D71)</f>
        <v>0</v>
      </c>
      <c r="E67" s="268">
        <f>SUM(E68:E71)</f>
        <v>0</v>
      </c>
    </row>
    <row r="68" spans="1:5" s="184" customFormat="1" ht="12" customHeight="1">
      <c r="A68" s="13" t="s">
        <v>89</v>
      </c>
      <c r="B68" s="185" t="s">
        <v>223</v>
      </c>
      <c r="C68" s="719"/>
      <c r="D68" s="231"/>
      <c r="E68" s="290"/>
    </row>
    <row r="69" spans="1:5" s="184" customFormat="1" ht="12" customHeight="1">
      <c r="A69" s="12" t="s">
        <v>90</v>
      </c>
      <c r="B69" s="186" t="s">
        <v>224</v>
      </c>
      <c r="C69" s="719"/>
      <c r="D69" s="231"/>
      <c r="E69" s="290"/>
    </row>
    <row r="70" spans="1:5" s="184" customFormat="1" ht="12" customHeight="1">
      <c r="A70" s="12" t="s">
        <v>249</v>
      </c>
      <c r="B70" s="186" t="s">
        <v>225</v>
      </c>
      <c r="C70" s="720"/>
      <c r="D70" s="231"/>
      <c r="E70" s="290"/>
    </row>
    <row r="71" spans="1:5" s="184" customFormat="1" ht="12" customHeight="1" thickBot="1">
      <c r="A71" s="14" t="s">
        <v>250</v>
      </c>
      <c r="B71" s="109" t="s">
        <v>226</v>
      </c>
      <c r="C71" s="722"/>
      <c r="D71" s="231"/>
      <c r="E71" s="290"/>
    </row>
    <row r="72" spans="1:5" s="184" customFormat="1" ht="12" customHeight="1" thickBot="1">
      <c r="A72" s="219" t="s">
        <v>227</v>
      </c>
      <c r="B72" s="107" t="s">
        <v>228</v>
      </c>
      <c r="C72" s="713">
        <f>SUM(C73:C74)</f>
        <v>80167902</v>
      </c>
      <c r="D72" s="239">
        <f>SUM(D73:D74)</f>
        <v>81191847</v>
      </c>
      <c r="E72" s="268">
        <f>SUM(E73:E74)</f>
        <v>81191847</v>
      </c>
    </row>
    <row r="73" spans="1:5" s="184" customFormat="1" ht="12" customHeight="1">
      <c r="A73" s="13" t="s">
        <v>251</v>
      </c>
      <c r="B73" s="185" t="s">
        <v>229</v>
      </c>
      <c r="C73" s="723">
        <v>80167902</v>
      </c>
      <c r="D73" s="117">
        <f>80151992+1039855</f>
        <v>81191847</v>
      </c>
      <c r="E73" s="117">
        <f>80151992+1039855</f>
        <v>81191847</v>
      </c>
    </row>
    <row r="74" spans="1:5" s="184" customFormat="1" ht="12" customHeight="1" thickBot="1">
      <c r="A74" s="14" t="s">
        <v>252</v>
      </c>
      <c r="B74" s="109" t="s">
        <v>230</v>
      </c>
      <c r="C74" s="722"/>
      <c r="D74" s="117"/>
      <c r="E74" s="290"/>
    </row>
    <row r="75" spans="1:5" s="184" customFormat="1" ht="12" customHeight="1" thickBot="1">
      <c r="A75" s="219" t="s">
        <v>231</v>
      </c>
      <c r="B75" s="107" t="s">
        <v>232</v>
      </c>
      <c r="C75" s="713">
        <f>SUM(C76:C78)</f>
        <v>0</v>
      </c>
      <c r="D75" s="239">
        <f>SUM(D76:D78)</f>
        <v>0</v>
      </c>
      <c r="E75" s="268">
        <f>SUM(E76:E78)</f>
        <v>3140241</v>
      </c>
    </row>
    <row r="76" spans="1:5" s="184" customFormat="1" ht="12" customHeight="1">
      <c r="A76" s="13" t="s">
        <v>253</v>
      </c>
      <c r="B76" s="185" t="s">
        <v>233</v>
      </c>
      <c r="C76" s="719"/>
      <c r="D76" s="117"/>
      <c r="E76" s="290">
        <v>3140241</v>
      </c>
    </row>
    <row r="77" spans="1:5" s="184" customFormat="1" ht="12" customHeight="1">
      <c r="A77" s="12" t="s">
        <v>254</v>
      </c>
      <c r="B77" s="186" t="s">
        <v>234</v>
      </c>
      <c r="C77" s="719"/>
      <c r="D77" s="240"/>
      <c r="E77" s="290"/>
    </row>
    <row r="78" spans="1:5" s="184" customFormat="1" ht="12" customHeight="1" thickBot="1">
      <c r="A78" s="14" t="s">
        <v>255</v>
      </c>
      <c r="B78" s="109" t="s">
        <v>235</v>
      </c>
      <c r="C78" s="722"/>
      <c r="D78" s="240"/>
      <c r="E78" s="290"/>
    </row>
    <row r="79" spans="1:5" s="184" customFormat="1" ht="12" customHeight="1" thickBot="1">
      <c r="A79" s="219" t="s">
        <v>236</v>
      </c>
      <c r="B79" s="107" t="s">
        <v>256</v>
      </c>
      <c r="C79" s="713">
        <f>SUM(C80:C83)</f>
        <v>0</v>
      </c>
      <c r="D79" s="239">
        <f>SUM(D80:D83)</f>
        <v>0</v>
      </c>
      <c r="E79" s="268">
        <f>SUM(E80:E83)</f>
        <v>0</v>
      </c>
    </row>
    <row r="80" spans="1:5" s="184" customFormat="1" ht="12" customHeight="1">
      <c r="A80" s="188" t="s">
        <v>237</v>
      </c>
      <c r="B80" s="185" t="s">
        <v>238</v>
      </c>
      <c r="C80" s="719"/>
      <c r="D80" s="240"/>
      <c r="E80" s="290"/>
    </row>
    <row r="81" spans="1:5" s="184" customFormat="1" ht="12" customHeight="1">
      <c r="A81" s="189" t="s">
        <v>239</v>
      </c>
      <c r="B81" s="186" t="s">
        <v>240</v>
      </c>
      <c r="C81" s="719"/>
      <c r="D81" s="240"/>
      <c r="E81" s="290"/>
    </row>
    <row r="82" spans="1:5" s="184" customFormat="1" ht="12" customHeight="1">
      <c r="A82" s="189" t="s">
        <v>241</v>
      </c>
      <c r="B82" s="186" t="s">
        <v>242</v>
      </c>
      <c r="C82" s="719"/>
      <c r="D82" s="240"/>
      <c r="E82" s="290"/>
    </row>
    <row r="83" spans="1:5" s="184" customFormat="1" ht="12" customHeight="1" thickBot="1">
      <c r="A83" s="190" t="s">
        <v>243</v>
      </c>
      <c r="B83" s="109" t="s">
        <v>244</v>
      </c>
      <c r="C83" s="719"/>
      <c r="D83" s="241"/>
      <c r="E83" s="291"/>
    </row>
    <row r="84" spans="1:5" s="184" customFormat="1" ht="12" customHeight="1" thickBot="1">
      <c r="A84" s="219" t="s">
        <v>245</v>
      </c>
      <c r="B84" s="107" t="s">
        <v>376</v>
      </c>
      <c r="C84" s="724"/>
      <c r="D84" s="242"/>
      <c r="E84" s="292"/>
    </row>
    <row r="85" spans="1:5" s="184" customFormat="1" ht="13.5" customHeight="1" thickBot="1">
      <c r="A85" s="219" t="s">
        <v>247</v>
      </c>
      <c r="B85" s="107" t="s">
        <v>246</v>
      </c>
      <c r="C85" s="724"/>
      <c r="D85" s="243"/>
      <c r="E85" s="293"/>
    </row>
    <row r="86" spans="1:5" s="184" customFormat="1" ht="15.75" customHeight="1" thickBot="1">
      <c r="A86" s="219" t="s">
        <v>259</v>
      </c>
      <c r="B86" s="191" t="s">
        <v>379</v>
      </c>
      <c r="C86" s="718">
        <f>+C63+C67+C72+C75+C79+C85+C84</f>
        <v>80167902</v>
      </c>
      <c r="D86" s="239">
        <f>+D63+D67+D72+D75+D79+D85+D84</f>
        <v>81191847</v>
      </c>
      <c r="E86" s="268">
        <f>+E63+E67+E72+E75+E79+E85+E84</f>
        <v>84332088</v>
      </c>
    </row>
    <row r="87" spans="1:5" s="184" customFormat="1" ht="16.5" customHeight="1" thickBot="1">
      <c r="A87" s="220" t="s">
        <v>378</v>
      </c>
      <c r="B87" s="192" t="s">
        <v>380</v>
      </c>
      <c r="C87" s="718">
        <f>+C62+C86</f>
        <v>291053014</v>
      </c>
      <c r="D87" s="229">
        <f>+D62+D86</f>
        <v>376912058</v>
      </c>
      <c r="E87" s="268">
        <f>+E62+E86</f>
        <v>336889398</v>
      </c>
    </row>
    <row r="88" spans="1:3" s="184" customFormat="1" ht="18" customHeight="1">
      <c r="A88" s="3"/>
      <c r="B88" s="4"/>
      <c r="C88" s="119"/>
    </row>
    <row r="89" spans="1:3" ht="16.5" customHeight="1">
      <c r="A89" s="824" t="s">
        <v>37</v>
      </c>
      <c r="B89" s="824"/>
      <c r="C89" s="824"/>
    </row>
    <row r="90" spans="1:4" s="193" customFormat="1" ht="16.5" customHeight="1" thickBot="1">
      <c r="A90" s="826" t="s">
        <v>93</v>
      </c>
      <c r="B90" s="826"/>
      <c r="C90" s="828" t="s">
        <v>426</v>
      </c>
      <c r="D90" s="828"/>
    </row>
    <row r="91" spans="1:5" ht="37.5" customHeight="1" thickBot="1">
      <c r="A91" s="21" t="s">
        <v>49</v>
      </c>
      <c r="B91" s="22" t="s">
        <v>38</v>
      </c>
      <c r="C91" s="31" t="s">
        <v>772</v>
      </c>
      <c r="D91" s="237" t="s">
        <v>773</v>
      </c>
      <c r="E91" s="289" t="s">
        <v>774</v>
      </c>
    </row>
    <row r="92" spans="1:5" s="183" customFormat="1" ht="12" customHeight="1" thickBot="1">
      <c r="A92" s="25" t="s">
        <v>394</v>
      </c>
      <c r="B92" s="26" t="s">
        <v>395</v>
      </c>
      <c r="C92" s="27" t="s">
        <v>396</v>
      </c>
      <c r="D92" s="247" t="s">
        <v>398</v>
      </c>
      <c r="E92" s="294" t="s">
        <v>397</v>
      </c>
    </row>
    <row r="93" spans="1:5" ht="12" customHeight="1" thickBot="1">
      <c r="A93" s="20" t="s">
        <v>9</v>
      </c>
      <c r="B93" s="24" t="s">
        <v>338</v>
      </c>
      <c r="C93" s="725">
        <f>C94+C95+C96+C97+C98+C111</f>
        <v>184302942</v>
      </c>
      <c r="D93" s="271">
        <f>D94+D95+D96+D97+D98+D111</f>
        <v>222619104</v>
      </c>
      <c r="E93" s="295">
        <f>E94+E95+E96+E97+E98+E111</f>
        <v>191146877</v>
      </c>
    </row>
    <row r="94" spans="1:6" ht="12" customHeight="1">
      <c r="A94" s="15" t="s">
        <v>61</v>
      </c>
      <c r="B94" s="8" t="s">
        <v>39</v>
      </c>
      <c r="C94" s="726">
        <v>68097791</v>
      </c>
      <c r="D94" s="113">
        <v>102547165</v>
      </c>
      <c r="E94" s="299">
        <v>97313409</v>
      </c>
      <c r="F94" s="182">
        <f>E94/D94</f>
        <v>0.9489624505952944</v>
      </c>
    </row>
    <row r="95" spans="1:6" ht="12" customHeight="1">
      <c r="A95" s="12" t="s">
        <v>62</v>
      </c>
      <c r="B95" s="6" t="s">
        <v>122</v>
      </c>
      <c r="C95" s="715">
        <v>10981087</v>
      </c>
      <c r="D95" s="114">
        <v>16070229</v>
      </c>
      <c r="E95" s="299">
        <v>13393261</v>
      </c>
      <c r="F95" s="182">
        <f>E95/D95</f>
        <v>0.833420668740937</v>
      </c>
    </row>
    <row r="96" spans="1:6" ht="12" customHeight="1">
      <c r="A96" s="12" t="s">
        <v>63</v>
      </c>
      <c r="B96" s="6" t="s">
        <v>87</v>
      </c>
      <c r="C96" s="716">
        <v>65691371</v>
      </c>
      <c r="D96" s="116">
        <v>73176847</v>
      </c>
      <c r="E96" s="299">
        <v>50512963</v>
      </c>
      <c r="F96" s="182">
        <f>E96/D96</f>
        <v>0.6902861365426144</v>
      </c>
    </row>
    <row r="97" spans="1:6" ht="12" customHeight="1">
      <c r="A97" s="12" t="s">
        <v>64</v>
      </c>
      <c r="B97" s="9" t="s">
        <v>123</v>
      </c>
      <c r="C97" s="716">
        <v>20700000</v>
      </c>
      <c r="D97" s="116">
        <v>23959653</v>
      </c>
      <c r="E97" s="299">
        <v>23609653</v>
      </c>
      <c r="F97" s="182">
        <f>E97/D97</f>
        <v>0.9853921089758687</v>
      </c>
    </row>
    <row r="98" spans="1:5" ht="12" customHeight="1">
      <c r="A98" s="12" t="s">
        <v>72</v>
      </c>
      <c r="B98" s="17" t="s">
        <v>124</v>
      </c>
      <c r="C98" s="716">
        <v>18832693</v>
      </c>
      <c r="D98" s="396">
        <v>6865210</v>
      </c>
      <c r="E98" s="299">
        <v>6317591</v>
      </c>
    </row>
    <row r="99" spans="1:5" ht="12" customHeight="1">
      <c r="A99" s="12" t="s">
        <v>65</v>
      </c>
      <c r="B99" s="6" t="s">
        <v>343</v>
      </c>
      <c r="C99" s="716"/>
      <c r="D99" s="116"/>
      <c r="E99" s="299"/>
    </row>
    <row r="100" spans="1:5" ht="12" customHeight="1">
      <c r="A100" s="12" t="s">
        <v>66</v>
      </c>
      <c r="B100" s="69" t="s">
        <v>342</v>
      </c>
      <c r="C100" s="716"/>
      <c r="D100" s="116"/>
      <c r="E100" s="299"/>
    </row>
    <row r="101" spans="1:5" ht="12" customHeight="1">
      <c r="A101" s="12" t="s">
        <v>73</v>
      </c>
      <c r="B101" s="69" t="s">
        <v>341</v>
      </c>
      <c r="C101" s="716"/>
      <c r="D101" s="116"/>
      <c r="E101" s="299"/>
    </row>
    <row r="102" spans="1:5" ht="12" customHeight="1">
      <c r="A102" s="12" t="s">
        <v>74</v>
      </c>
      <c r="B102" s="67" t="s">
        <v>262</v>
      </c>
      <c r="C102" s="716"/>
      <c r="D102" s="116"/>
      <c r="E102" s="299"/>
    </row>
    <row r="103" spans="1:5" ht="12" customHeight="1">
      <c r="A103" s="12" t="s">
        <v>75</v>
      </c>
      <c r="B103" s="68" t="s">
        <v>263</v>
      </c>
      <c r="C103" s="716"/>
      <c r="D103" s="116"/>
      <c r="E103" s="299"/>
    </row>
    <row r="104" spans="1:5" ht="12" customHeight="1">
      <c r="A104" s="12" t="s">
        <v>76</v>
      </c>
      <c r="B104" s="68" t="s">
        <v>264</v>
      </c>
      <c r="C104" s="716"/>
      <c r="D104" s="116"/>
      <c r="E104" s="299"/>
    </row>
    <row r="105" spans="1:5" ht="12" customHeight="1">
      <c r="A105" s="12" t="s">
        <v>78</v>
      </c>
      <c r="B105" s="67" t="s">
        <v>265</v>
      </c>
      <c r="C105" s="716">
        <v>16981953</v>
      </c>
      <c r="D105" s="396">
        <v>5780470</v>
      </c>
      <c r="E105" s="299">
        <v>5265641</v>
      </c>
    </row>
    <row r="106" spans="1:5" ht="12" customHeight="1">
      <c r="A106" s="12" t="s">
        <v>125</v>
      </c>
      <c r="B106" s="67" t="s">
        <v>266</v>
      </c>
      <c r="C106" s="716"/>
      <c r="D106" s="116"/>
      <c r="E106" s="299"/>
    </row>
    <row r="107" spans="1:5" ht="12" customHeight="1">
      <c r="A107" s="12" t="s">
        <v>260</v>
      </c>
      <c r="B107" s="68" t="s">
        <v>267</v>
      </c>
      <c r="C107" s="716"/>
      <c r="D107" s="116"/>
      <c r="E107" s="299"/>
    </row>
    <row r="108" spans="1:5" ht="12" customHeight="1">
      <c r="A108" s="11" t="s">
        <v>261</v>
      </c>
      <c r="B108" s="69" t="s">
        <v>268</v>
      </c>
      <c r="C108" s="716"/>
      <c r="D108" s="116"/>
      <c r="E108" s="299"/>
    </row>
    <row r="109" spans="1:5" ht="12" customHeight="1">
      <c r="A109" s="12" t="s">
        <v>339</v>
      </c>
      <c r="B109" s="69" t="s">
        <v>269</v>
      </c>
      <c r="C109" s="716"/>
      <c r="D109" s="116"/>
      <c r="E109" s="299"/>
    </row>
    <row r="110" spans="1:5" ht="12" customHeight="1">
      <c r="A110" s="14" t="s">
        <v>340</v>
      </c>
      <c r="B110" s="69" t="s">
        <v>270</v>
      </c>
      <c r="C110" s="716">
        <v>1850740</v>
      </c>
      <c r="D110" s="116">
        <v>1084740</v>
      </c>
      <c r="E110" s="299">
        <v>1051950</v>
      </c>
    </row>
    <row r="111" spans="1:5" ht="12" customHeight="1">
      <c r="A111" s="12" t="s">
        <v>344</v>
      </c>
      <c r="B111" s="9" t="s">
        <v>40</v>
      </c>
      <c r="C111" s="715"/>
      <c r="D111" s="114"/>
      <c r="E111" s="299"/>
    </row>
    <row r="112" spans="1:5" ht="12" customHeight="1">
      <c r="A112" s="12" t="s">
        <v>345</v>
      </c>
      <c r="B112" s="6" t="s">
        <v>347</v>
      </c>
      <c r="C112" s="715"/>
      <c r="D112" s="114"/>
      <c r="E112" s="299"/>
    </row>
    <row r="113" spans="1:5" ht="12" customHeight="1" thickBot="1">
      <c r="A113" s="16" t="s">
        <v>346</v>
      </c>
      <c r="B113" s="225" t="s">
        <v>348</v>
      </c>
      <c r="C113" s="727"/>
      <c r="D113" s="120"/>
      <c r="E113" s="300"/>
    </row>
    <row r="114" spans="1:5" ht="12" customHeight="1" thickBot="1">
      <c r="A114" s="222" t="s">
        <v>10</v>
      </c>
      <c r="B114" s="223" t="s">
        <v>271</v>
      </c>
      <c r="C114" s="728">
        <f>+C115+C117+C119</f>
        <v>104633831</v>
      </c>
      <c r="D114" s="271">
        <f>+D115+D117+D119</f>
        <v>152176713</v>
      </c>
      <c r="E114" s="239">
        <f>+E115+E117+E119</f>
        <v>121989997</v>
      </c>
    </row>
    <row r="115" spans="1:5" ht="12" customHeight="1">
      <c r="A115" s="13" t="s">
        <v>67</v>
      </c>
      <c r="B115" s="6" t="s">
        <v>141</v>
      </c>
      <c r="C115" s="714">
        <v>9275851</v>
      </c>
      <c r="D115" s="115">
        <v>16445078</v>
      </c>
      <c r="E115" s="299">
        <v>9195695</v>
      </c>
    </row>
    <row r="116" spans="1:5" ht="12" customHeight="1">
      <c r="A116" s="13" t="s">
        <v>68</v>
      </c>
      <c r="B116" s="10" t="s">
        <v>275</v>
      </c>
      <c r="C116" s="714">
        <v>7353300</v>
      </c>
      <c r="D116" s="115">
        <v>7486650</v>
      </c>
      <c r="E116" s="299">
        <v>7486650</v>
      </c>
    </row>
    <row r="117" spans="1:5" ht="12" customHeight="1">
      <c r="A117" s="13" t="s">
        <v>69</v>
      </c>
      <c r="B117" s="10" t="s">
        <v>126</v>
      </c>
      <c r="C117" s="715">
        <v>95057980</v>
      </c>
      <c r="D117" s="114">
        <v>135431635</v>
      </c>
      <c r="E117" s="299">
        <v>112694302</v>
      </c>
    </row>
    <row r="118" spans="1:5" ht="12" customHeight="1">
      <c r="A118" s="13" t="s">
        <v>70</v>
      </c>
      <c r="B118" s="10" t="s">
        <v>276</v>
      </c>
      <c r="C118" s="729">
        <v>95057980</v>
      </c>
      <c r="D118" s="105">
        <v>95057980</v>
      </c>
      <c r="E118" s="299">
        <v>95047243</v>
      </c>
    </row>
    <row r="119" spans="1:5" ht="12" customHeight="1">
      <c r="A119" s="13" t="s">
        <v>71</v>
      </c>
      <c r="B119" s="109" t="s">
        <v>143</v>
      </c>
      <c r="C119" s="729">
        <v>300000</v>
      </c>
      <c r="D119" s="105">
        <v>300000</v>
      </c>
      <c r="E119" s="299">
        <v>100000</v>
      </c>
    </row>
    <row r="120" spans="1:5" ht="12" customHeight="1">
      <c r="A120" s="13" t="s">
        <v>77</v>
      </c>
      <c r="B120" s="108" t="s">
        <v>331</v>
      </c>
      <c r="C120" s="729"/>
      <c r="D120" s="105"/>
      <c r="E120" s="299"/>
    </row>
    <row r="121" spans="1:5" ht="12" customHeight="1">
      <c r="A121" s="13" t="s">
        <v>79</v>
      </c>
      <c r="B121" s="181" t="s">
        <v>281</v>
      </c>
      <c r="C121" s="729"/>
      <c r="D121" s="105"/>
      <c r="E121" s="299"/>
    </row>
    <row r="122" spans="1:5" ht="15">
      <c r="A122" s="13" t="s">
        <v>127</v>
      </c>
      <c r="B122" s="68" t="s">
        <v>264</v>
      </c>
      <c r="C122" s="729"/>
      <c r="D122" s="105"/>
      <c r="E122" s="299"/>
    </row>
    <row r="123" spans="1:5" ht="12" customHeight="1">
      <c r="A123" s="13" t="s">
        <v>128</v>
      </c>
      <c r="B123" s="68" t="s">
        <v>280</v>
      </c>
      <c r="C123" s="729"/>
      <c r="D123" s="105"/>
      <c r="E123" s="299"/>
    </row>
    <row r="124" spans="1:5" ht="12" customHeight="1">
      <c r="A124" s="13" t="s">
        <v>129</v>
      </c>
      <c r="B124" s="68" t="s">
        <v>279</v>
      </c>
      <c r="C124" s="729"/>
      <c r="D124" s="105"/>
      <c r="E124" s="299"/>
    </row>
    <row r="125" spans="1:5" ht="12" customHeight="1">
      <c r="A125" s="13" t="s">
        <v>272</v>
      </c>
      <c r="B125" s="68" t="s">
        <v>267</v>
      </c>
      <c r="C125" s="729"/>
      <c r="D125" s="105"/>
      <c r="E125" s="299"/>
    </row>
    <row r="126" spans="1:5" ht="12" customHeight="1">
      <c r="A126" s="13" t="s">
        <v>273</v>
      </c>
      <c r="B126" s="68" t="s">
        <v>278</v>
      </c>
      <c r="C126" s="729">
        <v>300000</v>
      </c>
      <c r="D126" s="105">
        <v>300000</v>
      </c>
      <c r="E126" s="299">
        <v>100000</v>
      </c>
    </row>
    <row r="127" spans="1:5" ht="15.75" thickBot="1">
      <c r="A127" s="11" t="s">
        <v>274</v>
      </c>
      <c r="B127" s="68" t="s">
        <v>277</v>
      </c>
      <c r="C127" s="730"/>
      <c r="D127" s="106"/>
      <c r="E127" s="299"/>
    </row>
    <row r="128" spans="1:5" ht="12" customHeight="1" thickBot="1">
      <c r="A128" s="18" t="s">
        <v>11</v>
      </c>
      <c r="B128" s="56" t="s">
        <v>349</v>
      </c>
      <c r="C128" s="713">
        <f>+C93+C114</f>
        <v>288936773</v>
      </c>
      <c r="D128" s="268">
        <f>+D93+D114</f>
        <v>374795817</v>
      </c>
      <c r="E128" s="239">
        <f>+E93+E114</f>
        <v>313136874</v>
      </c>
    </row>
    <row r="129" spans="1:5" ht="12" customHeight="1" thickBot="1">
      <c r="A129" s="18" t="s">
        <v>12</v>
      </c>
      <c r="B129" s="56" t="s">
        <v>350</v>
      </c>
      <c r="C129" s="713">
        <f>+C130+C131+C132</f>
        <v>0</v>
      </c>
      <c r="D129" s="268">
        <f>+D130+D131+D132</f>
        <v>0</v>
      </c>
      <c r="E129" s="239">
        <f>+E130+E131+E132</f>
        <v>0</v>
      </c>
    </row>
    <row r="130" spans="1:5" ht="12" customHeight="1">
      <c r="A130" s="13" t="s">
        <v>177</v>
      </c>
      <c r="B130" s="10" t="s">
        <v>357</v>
      </c>
      <c r="C130" s="729"/>
      <c r="D130" s="233"/>
      <c r="E130" s="299"/>
    </row>
    <row r="131" spans="1:5" ht="12" customHeight="1">
      <c r="A131" s="13" t="s">
        <v>178</v>
      </c>
      <c r="B131" s="10" t="s">
        <v>358</v>
      </c>
      <c r="C131" s="729"/>
      <c r="D131" s="274"/>
      <c r="E131" s="299"/>
    </row>
    <row r="132" spans="1:5" ht="12" customHeight="1" thickBot="1">
      <c r="A132" s="11" t="s">
        <v>179</v>
      </c>
      <c r="B132" s="10" t="s">
        <v>359</v>
      </c>
      <c r="C132" s="729"/>
      <c r="D132" s="274"/>
      <c r="E132" s="299"/>
    </row>
    <row r="133" spans="1:5" ht="12" customHeight="1" thickBot="1">
      <c r="A133" s="18" t="s">
        <v>13</v>
      </c>
      <c r="B133" s="56" t="s">
        <v>351</v>
      </c>
      <c r="C133" s="713">
        <f>SUM(C134:C139)</f>
        <v>0</v>
      </c>
      <c r="D133" s="268">
        <f>SUM(D134:D139)</f>
        <v>0</v>
      </c>
      <c r="E133" s="239">
        <f>SUM(E134:E139)</f>
        <v>0</v>
      </c>
    </row>
    <row r="134" spans="1:5" ht="12" customHeight="1">
      <c r="A134" s="13" t="s">
        <v>54</v>
      </c>
      <c r="B134" s="7" t="s">
        <v>360</v>
      </c>
      <c r="C134" s="729"/>
      <c r="D134" s="274"/>
      <c r="E134" s="299"/>
    </row>
    <row r="135" spans="1:5" ht="12" customHeight="1">
      <c r="A135" s="13" t="s">
        <v>55</v>
      </c>
      <c r="B135" s="7" t="s">
        <v>352</v>
      </c>
      <c r="C135" s="729"/>
      <c r="D135" s="274"/>
      <c r="E135" s="299"/>
    </row>
    <row r="136" spans="1:5" ht="12" customHeight="1">
      <c r="A136" s="13" t="s">
        <v>56</v>
      </c>
      <c r="B136" s="7" t="s">
        <v>353</v>
      </c>
      <c r="C136" s="729"/>
      <c r="D136" s="274"/>
      <c r="E136" s="299"/>
    </row>
    <row r="137" spans="1:5" ht="12" customHeight="1">
      <c r="A137" s="13" t="s">
        <v>114</v>
      </c>
      <c r="B137" s="7" t="s">
        <v>354</v>
      </c>
      <c r="C137" s="729"/>
      <c r="D137" s="274"/>
      <c r="E137" s="299"/>
    </row>
    <row r="138" spans="1:5" ht="12" customHeight="1">
      <c r="A138" s="13" t="s">
        <v>115</v>
      </c>
      <c r="B138" s="7" t="s">
        <v>355</v>
      </c>
      <c r="C138" s="730"/>
      <c r="D138" s="274"/>
      <c r="E138" s="299"/>
    </row>
    <row r="139" spans="1:5" ht="12" customHeight="1" thickBot="1">
      <c r="A139" s="11" t="s">
        <v>116</v>
      </c>
      <c r="B139" s="7" t="s">
        <v>356</v>
      </c>
      <c r="C139" s="731"/>
      <c r="D139" s="274"/>
      <c r="E139" s="299"/>
    </row>
    <row r="140" spans="1:5" ht="12" customHeight="1" thickBot="1">
      <c r="A140" s="18" t="s">
        <v>14</v>
      </c>
      <c r="B140" s="56" t="s">
        <v>364</v>
      </c>
      <c r="C140" s="718">
        <f>+C141+C142+C143+C144</f>
        <v>2116241</v>
      </c>
      <c r="D140" s="269">
        <f>+D141+D142+D143+D144</f>
        <v>2116241</v>
      </c>
      <c r="E140" s="296">
        <f>+E141+E142+E143+E144</f>
        <v>2116241</v>
      </c>
    </row>
    <row r="141" spans="1:5" ht="12" customHeight="1">
      <c r="A141" s="13" t="s">
        <v>57</v>
      </c>
      <c r="B141" s="7" t="s">
        <v>282</v>
      </c>
      <c r="C141" s="729"/>
      <c r="D141" s="233"/>
      <c r="E141" s="299"/>
    </row>
    <row r="142" spans="1:5" ht="12" customHeight="1">
      <c r="A142" s="13" t="s">
        <v>58</v>
      </c>
      <c r="B142" s="7" t="s">
        <v>283</v>
      </c>
      <c r="C142" s="729">
        <v>2116241</v>
      </c>
      <c r="D142" s="105">
        <v>2116241</v>
      </c>
      <c r="E142" s="299">
        <v>2116241</v>
      </c>
    </row>
    <row r="143" spans="1:5" ht="12" customHeight="1">
      <c r="A143" s="13" t="s">
        <v>197</v>
      </c>
      <c r="B143" s="7" t="s">
        <v>365</v>
      </c>
      <c r="C143" s="730"/>
      <c r="D143" s="233"/>
      <c r="E143" s="299"/>
    </row>
    <row r="144" spans="1:5" ht="12" customHeight="1" thickBot="1">
      <c r="A144" s="11" t="s">
        <v>198</v>
      </c>
      <c r="B144" s="5" t="s">
        <v>300</v>
      </c>
      <c r="C144" s="731"/>
      <c r="D144" s="233"/>
      <c r="E144" s="299"/>
    </row>
    <row r="145" spans="1:5" ht="12" customHeight="1" thickBot="1">
      <c r="A145" s="18" t="s">
        <v>15</v>
      </c>
      <c r="B145" s="56" t="s">
        <v>366</v>
      </c>
      <c r="C145" s="732">
        <f>SUM(C146:C150)</f>
        <v>0</v>
      </c>
      <c r="D145" s="272">
        <f>SUM(D146:D150)</f>
        <v>0</v>
      </c>
      <c r="E145" s="297">
        <f>SUM(E146:E150)</f>
        <v>0</v>
      </c>
    </row>
    <row r="146" spans="1:5" ht="12" customHeight="1">
      <c r="A146" s="13" t="s">
        <v>59</v>
      </c>
      <c r="B146" s="7" t="s">
        <v>361</v>
      </c>
      <c r="C146" s="729"/>
      <c r="D146" s="274"/>
      <c r="E146" s="299"/>
    </row>
    <row r="147" spans="1:5" ht="12" customHeight="1">
      <c r="A147" s="13" t="s">
        <v>60</v>
      </c>
      <c r="B147" s="7" t="s">
        <v>368</v>
      </c>
      <c r="C147" s="729"/>
      <c r="D147" s="274"/>
      <c r="E147" s="299"/>
    </row>
    <row r="148" spans="1:5" ht="12" customHeight="1">
      <c r="A148" s="13" t="s">
        <v>209</v>
      </c>
      <c r="B148" s="7" t="s">
        <v>363</v>
      </c>
      <c r="C148" s="729"/>
      <c r="D148" s="274"/>
      <c r="E148" s="299"/>
    </row>
    <row r="149" spans="1:5" ht="12" customHeight="1">
      <c r="A149" s="13" t="s">
        <v>210</v>
      </c>
      <c r="B149" s="7" t="s">
        <v>369</v>
      </c>
      <c r="C149" s="729"/>
      <c r="D149" s="274"/>
      <c r="E149" s="299"/>
    </row>
    <row r="150" spans="1:5" ht="12" customHeight="1" thickBot="1">
      <c r="A150" s="13" t="s">
        <v>367</v>
      </c>
      <c r="B150" s="7" t="s">
        <v>370</v>
      </c>
      <c r="C150" s="729"/>
      <c r="D150" s="275"/>
      <c r="E150" s="300"/>
    </row>
    <row r="151" spans="1:5" ht="12" customHeight="1" thickBot="1">
      <c r="A151" s="18" t="s">
        <v>16</v>
      </c>
      <c r="B151" s="56" t="s">
        <v>371</v>
      </c>
      <c r="C151" s="733"/>
      <c r="D151" s="276"/>
      <c r="E151" s="301"/>
    </row>
    <row r="152" spans="1:5" ht="12" customHeight="1" thickBot="1">
      <c r="A152" s="18" t="s">
        <v>17</v>
      </c>
      <c r="B152" s="56" t="s">
        <v>372</v>
      </c>
      <c r="C152" s="733"/>
      <c r="D152" s="277"/>
      <c r="E152" s="302"/>
    </row>
    <row r="153" spans="1:9" ht="15" customHeight="1" thickBot="1">
      <c r="A153" s="18" t="s">
        <v>18</v>
      </c>
      <c r="B153" s="56" t="s">
        <v>374</v>
      </c>
      <c r="C153" s="734">
        <f>+C129+C133+C140+C145+C151+C152</f>
        <v>2116241</v>
      </c>
      <c r="D153" s="273">
        <f>+D129+D133+D140+D145+D151+D152</f>
        <v>2116241</v>
      </c>
      <c r="E153" s="298">
        <f>+E129+E133+E140+E145+E151+E152</f>
        <v>2116241</v>
      </c>
      <c r="F153" s="195"/>
      <c r="G153" s="196"/>
      <c r="H153" s="196"/>
      <c r="I153" s="196"/>
    </row>
    <row r="154" spans="1:5" s="184" customFormat="1" ht="12.75" customHeight="1" thickBot="1">
      <c r="A154" s="110" t="s">
        <v>19</v>
      </c>
      <c r="B154" s="166" t="s">
        <v>373</v>
      </c>
      <c r="C154" s="734">
        <f>+C128+C153</f>
        <v>291053014</v>
      </c>
      <c r="D154" s="273">
        <f>+D128+D153</f>
        <v>376912058</v>
      </c>
      <c r="E154" s="298">
        <f>+E128+E153</f>
        <v>315253115</v>
      </c>
    </row>
    <row r="155" ht="7.5" customHeight="1"/>
    <row r="156" spans="1:3" ht="15">
      <c r="A156" s="827" t="s">
        <v>284</v>
      </c>
      <c r="B156" s="827"/>
      <c r="C156" s="827"/>
    </row>
    <row r="157" spans="1:3" ht="15" customHeight="1" thickBot="1">
      <c r="A157" s="825" t="s">
        <v>94</v>
      </c>
      <c r="B157" s="825"/>
      <c r="C157" s="122" t="s">
        <v>426</v>
      </c>
    </row>
    <row r="158" spans="1:5" ht="13.5" customHeight="1" thickBot="1">
      <c r="A158" s="18">
        <v>1</v>
      </c>
      <c r="B158" s="23" t="s">
        <v>375</v>
      </c>
      <c r="C158" s="228">
        <f>+C62-C128</f>
        <v>-78051661</v>
      </c>
      <c r="D158" s="228">
        <f>+D62-D128</f>
        <v>-79075606</v>
      </c>
      <c r="E158" s="228">
        <f>+E62-E128</f>
        <v>-60579564</v>
      </c>
    </row>
    <row r="159" spans="1:5" ht="27.75" customHeight="1" thickBot="1">
      <c r="A159" s="18" t="s">
        <v>10</v>
      </c>
      <c r="B159" s="23" t="s">
        <v>381</v>
      </c>
      <c r="C159" s="228">
        <f>+C86-C153</f>
        <v>78051661</v>
      </c>
      <c r="D159" s="228">
        <f>+D86-D153</f>
        <v>79075606</v>
      </c>
      <c r="E159" s="228">
        <f>+E86-E153</f>
        <v>82215847</v>
      </c>
    </row>
  </sheetData>
  <sheetProtection/>
  <mergeCells count="8">
    <mergeCell ref="A1:C1"/>
    <mergeCell ref="A2:B2"/>
    <mergeCell ref="A89:C89"/>
    <mergeCell ref="A90:B90"/>
    <mergeCell ref="A156:C156"/>
    <mergeCell ref="A157:B157"/>
    <mergeCell ref="C90:D90"/>
    <mergeCell ref="C2:D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Csengerújfalu Község Önkormányzat 
2019. ÉVI ZÁRSZÁMADÁSÁNAK ÖSSZEVONT MÉRLEGE&amp;10
&amp;R&amp;"Times New Roman CE,Félkövér dőlt"&amp;11 1. melléklet a ........./2020. (.......) önkormányzati rendelethez</oddHeader>
  </headerFooter>
  <rowBreaks count="1" manualBreakCount="1">
    <brk id="8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30" zoomScaleSheetLayoutView="100" workbookViewId="0" topLeftCell="A7">
      <selection activeCell="E29" sqref="E29"/>
    </sheetView>
  </sheetViews>
  <sheetFormatPr defaultColWidth="9.25390625" defaultRowHeight="12.75"/>
  <cols>
    <col min="1" max="1" width="19.375" style="377" customWidth="1"/>
    <col min="2" max="2" width="72.00390625" style="378" customWidth="1"/>
    <col min="3" max="3" width="25.00390625" style="379" customWidth="1"/>
    <col min="4" max="4" width="19.00390625" style="2" customWidth="1"/>
    <col min="5" max="5" width="17.125" style="2" customWidth="1"/>
    <col min="6" max="16384" width="9.25390625" style="2" customWidth="1"/>
  </cols>
  <sheetData>
    <row r="1" spans="1:3" s="340" customFormat="1" ht="16.5" customHeight="1" thickBot="1">
      <c r="A1" s="89"/>
      <c r="B1" s="840" t="s">
        <v>804</v>
      </c>
      <c r="C1" s="841"/>
    </row>
    <row r="2" spans="1:5" s="341" customFormat="1" ht="21" customHeight="1" thickBot="1">
      <c r="A2" s="175" t="s">
        <v>47</v>
      </c>
      <c r="B2" s="258" t="s">
        <v>466</v>
      </c>
      <c r="C2" s="842" t="s">
        <v>42</v>
      </c>
      <c r="D2" s="843"/>
      <c r="E2" s="844"/>
    </row>
    <row r="3" spans="1:5" s="341" customFormat="1" ht="15" thickBot="1">
      <c r="A3" s="342" t="s">
        <v>135</v>
      </c>
      <c r="B3" s="259" t="s">
        <v>307</v>
      </c>
      <c r="C3" s="845" t="s">
        <v>42</v>
      </c>
      <c r="D3" s="846"/>
      <c r="E3" s="847"/>
    </row>
    <row r="4" spans="1:3" s="344" customFormat="1" ht="15.75" customHeight="1" thickBot="1">
      <c r="A4" s="91"/>
      <c r="B4" s="91"/>
      <c r="C4" s="343" t="s">
        <v>426</v>
      </c>
    </row>
    <row r="5" spans="1:5" ht="23.25" thickBot="1">
      <c r="A5" s="176" t="s">
        <v>137</v>
      </c>
      <c r="B5" s="92" t="s">
        <v>43</v>
      </c>
      <c r="C5" s="345" t="s">
        <v>792</v>
      </c>
      <c r="D5" s="346" t="s">
        <v>773</v>
      </c>
      <c r="E5" s="346" t="s">
        <v>774</v>
      </c>
    </row>
    <row r="6" spans="1:5" s="349" customFormat="1" ht="12.75" customHeight="1" thickBot="1">
      <c r="A6" s="79" t="s">
        <v>394</v>
      </c>
      <c r="B6" s="80" t="s">
        <v>395</v>
      </c>
      <c r="C6" s="81" t="s">
        <v>396</v>
      </c>
      <c r="D6" s="347" t="s">
        <v>398</v>
      </c>
      <c r="E6" s="348" t="s">
        <v>397</v>
      </c>
    </row>
    <row r="7" spans="1:5" s="349" customFormat="1" ht="15.75" customHeight="1" thickBot="1">
      <c r="A7" s="848" t="s">
        <v>44</v>
      </c>
      <c r="B7" s="849"/>
      <c r="C7" s="849"/>
      <c r="D7" s="849"/>
      <c r="E7" s="850"/>
    </row>
    <row r="8" spans="1:5" s="349" customFormat="1" ht="12" customHeight="1" thickBot="1">
      <c r="A8" s="25" t="s">
        <v>9</v>
      </c>
      <c r="B8" s="19" t="s">
        <v>162</v>
      </c>
      <c r="C8" s="269">
        <f>+C9+C10+C11+C12+C13+C14</f>
        <v>82334276</v>
      </c>
      <c r="D8" s="269">
        <f>+D9+D10+D11+D12+D13+D14</f>
        <v>77957117</v>
      </c>
      <c r="E8" s="269">
        <f>+E9+E10+E11+E12+E13+E14</f>
        <v>77957117</v>
      </c>
    </row>
    <row r="9" spans="1:5" s="351" customFormat="1" ht="12" customHeight="1">
      <c r="A9" s="202" t="s">
        <v>61</v>
      </c>
      <c r="B9" s="185" t="s">
        <v>163</v>
      </c>
      <c r="C9" s="714">
        <v>21232401</v>
      </c>
      <c r="D9" s="115">
        <v>22707401</v>
      </c>
      <c r="E9" s="115">
        <v>22707401</v>
      </c>
    </row>
    <row r="10" spans="1:5" s="352" customFormat="1" ht="12" customHeight="1">
      <c r="A10" s="203" t="s">
        <v>62</v>
      </c>
      <c r="B10" s="186" t="s">
        <v>164</v>
      </c>
      <c r="C10" s="715"/>
      <c r="D10" s="114">
        <v>7350050</v>
      </c>
      <c r="E10" s="114">
        <v>7350050</v>
      </c>
    </row>
    <row r="11" spans="1:5" s="352" customFormat="1" ht="12" customHeight="1">
      <c r="A11" s="203" t="s">
        <v>63</v>
      </c>
      <c r="B11" s="186" t="s">
        <v>422</v>
      </c>
      <c r="C11" s="715">
        <v>29873623</v>
      </c>
      <c r="D11" s="114">
        <v>30922116</v>
      </c>
      <c r="E11" s="114">
        <v>30922116</v>
      </c>
    </row>
    <row r="12" spans="1:5" s="352" customFormat="1" ht="12" customHeight="1">
      <c r="A12" s="203" t="s">
        <v>64</v>
      </c>
      <c r="B12" s="186" t="s">
        <v>166</v>
      </c>
      <c r="C12" s="715">
        <v>1800000</v>
      </c>
      <c r="D12" s="114">
        <v>1800000</v>
      </c>
      <c r="E12" s="114">
        <v>1800000</v>
      </c>
    </row>
    <row r="13" spans="1:5" s="352" customFormat="1" ht="12" customHeight="1">
      <c r="A13" s="203" t="s">
        <v>88</v>
      </c>
      <c r="B13" s="186" t="s">
        <v>437</v>
      </c>
      <c r="C13" s="715">
        <v>29428252</v>
      </c>
      <c r="D13" s="114">
        <v>14829280</v>
      </c>
      <c r="E13" s="114">
        <v>14829280</v>
      </c>
    </row>
    <row r="14" spans="1:5" s="351" customFormat="1" ht="12" customHeight="1" thickBot="1">
      <c r="A14" s="204" t="s">
        <v>65</v>
      </c>
      <c r="B14" s="187" t="s">
        <v>334</v>
      </c>
      <c r="C14" s="715"/>
      <c r="D14" s="114">
        <v>348270</v>
      </c>
      <c r="E14" s="353">
        <v>348270</v>
      </c>
    </row>
    <row r="15" spans="1:5" s="351" customFormat="1" ht="12" customHeight="1" thickBot="1">
      <c r="A15" s="25" t="s">
        <v>10</v>
      </c>
      <c r="B15" s="107" t="s">
        <v>167</v>
      </c>
      <c r="C15" s="713">
        <f>+C16+C17+C18+C19+C20</f>
        <v>64018497</v>
      </c>
      <c r="D15" s="269">
        <f>+D16+D17+D18+D19+D20</f>
        <v>102975723</v>
      </c>
      <c r="E15" s="269">
        <f>+E16+E17+E18+E19+E20</f>
        <v>83663182</v>
      </c>
    </row>
    <row r="16" spans="1:5" s="351" customFormat="1" ht="12" customHeight="1">
      <c r="A16" s="202" t="s">
        <v>67</v>
      </c>
      <c r="B16" s="185" t="s">
        <v>168</v>
      </c>
      <c r="C16" s="714"/>
      <c r="D16" s="115">
        <v>0</v>
      </c>
      <c r="E16" s="353"/>
    </row>
    <row r="17" spans="1:5" s="351" customFormat="1" ht="12" customHeight="1">
      <c r="A17" s="203" t="s">
        <v>68</v>
      </c>
      <c r="B17" s="186" t="s">
        <v>169</v>
      </c>
      <c r="C17" s="715"/>
      <c r="D17" s="114"/>
      <c r="E17" s="353"/>
    </row>
    <row r="18" spans="1:5" s="351" customFormat="1" ht="12" customHeight="1">
      <c r="A18" s="203" t="s">
        <v>69</v>
      </c>
      <c r="B18" s="186" t="s">
        <v>325</v>
      </c>
      <c r="C18" s="715"/>
      <c r="D18" s="114"/>
      <c r="E18" s="353"/>
    </row>
    <row r="19" spans="1:5" s="351" customFormat="1" ht="12" customHeight="1">
      <c r="A19" s="203" t="s">
        <v>70</v>
      </c>
      <c r="B19" s="186" t="s">
        <v>326</v>
      </c>
      <c r="C19" s="715"/>
      <c r="D19" s="114"/>
      <c r="E19" s="353"/>
    </row>
    <row r="20" spans="1:5" s="351" customFormat="1" ht="12" customHeight="1">
      <c r="A20" s="203" t="s">
        <v>71</v>
      </c>
      <c r="B20" s="186" t="s">
        <v>170</v>
      </c>
      <c r="C20" s="715">
        <v>64018497</v>
      </c>
      <c r="D20" s="114">
        <v>102975723</v>
      </c>
      <c r="E20" s="353">
        <v>83663182</v>
      </c>
    </row>
    <row r="21" spans="1:5" s="352" customFormat="1" ht="12" customHeight="1" thickBot="1">
      <c r="A21" s="204" t="s">
        <v>77</v>
      </c>
      <c r="B21" s="187" t="s">
        <v>171</v>
      </c>
      <c r="C21" s="716">
        <v>15472270</v>
      </c>
      <c r="D21" s="116">
        <v>15472270</v>
      </c>
      <c r="E21" s="353">
        <v>3492818</v>
      </c>
    </row>
    <row r="22" spans="1:5" s="352" customFormat="1" ht="12" customHeight="1" thickBot="1">
      <c r="A22" s="25" t="s">
        <v>11</v>
      </c>
      <c r="B22" s="19" t="s">
        <v>172</v>
      </c>
      <c r="C22" s="713">
        <f>+C23+C24+C25+C26+C27</f>
        <v>48597267</v>
      </c>
      <c r="D22" s="269">
        <f>+D23+D24+D25+D26+D27</f>
        <v>93493090</v>
      </c>
      <c r="E22" s="269">
        <f>+E23+E24+E25+E26+E27</f>
        <v>67343285</v>
      </c>
    </row>
    <row r="23" spans="1:5" s="352" customFormat="1" ht="12" customHeight="1">
      <c r="A23" s="202" t="s">
        <v>50</v>
      </c>
      <c r="B23" s="185" t="s">
        <v>173</v>
      </c>
      <c r="C23" s="714"/>
      <c r="D23" s="115"/>
      <c r="E23" s="353"/>
    </row>
    <row r="24" spans="1:5" s="351" customFormat="1" ht="12" customHeight="1">
      <c r="A24" s="203" t="s">
        <v>51</v>
      </c>
      <c r="B24" s="186" t="s">
        <v>174</v>
      </c>
      <c r="C24" s="715"/>
      <c r="D24" s="114"/>
      <c r="E24" s="353"/>
    </row>
    <row r="25" spans="1:5" s="352" customFormat="1" ht="12" customHeight="1">
      <c r="A25" s="203" t="s">
        <v>52</v>
      </c>
      <c r="B25" s="186" t="s">
        <v>327</v>
      </c>
      <c r="C25" s="715"/>
      <c r="D25" s="114"/>
      <c r="E25" s="353"/>
    </row>
    <row r="26" spans="1:5" s="352" customFormat="1" ht="12" customHeight="1">
      <c r="A26" s="203" t="s">
        <v>53</v>
      </c>
      <c r="B26" s="186" t="s">
        <v>328</v>
      </c>
      <c r="C26" s="715"/>
      <c r="D26" s="114"/>
      <c r="E26" s="353"/>
    </row>
    <row r="27" spans="1:5" s="352" customFormat="1" ht="12" customHeight="1">
      <c r="A27" s="203" t="s">
        <v>110</v>
      </c>
      <c r="B27" s="186" t="s">
        <v>175</v>
      </c>
      <c r="C27" s="715">
        <v>48597267</v>
      </c>
      <c r="D27" s="114">
        <v>93493090</v>
      </c>
      <c r="E27" s="353">
        <v>67343285</v>
      </c>
    </row>
    <row r="28" spans="1:5" s="352" customFormat="1" ht="12" customHeight="1" thickBot="1">
      <c r="A28" s="204" t="s">
        <v>111</v>
      </c>
      <c r="B28" s="187" t="s">
        <v>176</v>
      </c>
      <c r="C28" s="717">
        <v>46674716</v>
      </c>
      <c r="D28" s="717">
        <v>46674716</v>
      </c>
      <c r="E28" s="353">
        <v>21067673</v>
      </c>
    </row>
    <row r="29" spans="1:5" s="352" customFormat="1" ht="12" customHeight="1" thickBot="1">
      <c r="A29" s="25" t="s">
        <v>112</v>
      </c>
      <c r="B29" s="19" t="s">
        <v>414</v>
      </c>
      <c r="C29" s="718">
        <f>SUM(C30:C36)</f>
        <v>3010000</v>
      </c>
      <c r="D29" s="269">
        <v>3010000</v>
      </c>
      <c r="E29" s="269">
        <f>SUM(E30:E36)</f>
        <v>3256690</v>
      </c>
    </row>
    <row r="30" spans="1:5" s="352" customFormat="1" ht="12" customHeight="1">
      <c r="A30" s="202" t="s">
        <v>177</v>
      </c>
      <c r="B30" s="185" t="s">
        <v>418</v>
      </c>
      <c r="C30" s="764">
        <v>350000</v>
      </c>
      <c r="D30" s="764">
        <v>350000</v>
      </c>
      <c r="E30" s="353">
        <v>206715</v>
      </c>
    </row>
    <row r="31" spans="1:5" s="352" customFormat="1" ht="12" customHeight="1">
      <c r="A31" s="203" t="s">
        <v>178</v>
      </c>
      <c r="B31" s="186" t="s">
        <v>427</v>
      </c>
      <c r="C31" s="715"/>
      <c r="D31" s="715"/>
      <c r="E31" s="353"/>
    </row>
    <row r="32" spans="1:5" s="352" customFormat="1" ht="12" customHeight="1">
      <c r="A32" s="203" t="s">
        <v>179</v>
      </c>
      <c r="B32" s="186" t="s">
        <v>420</v>
      </c>
      <c r="C32" s="715">
        <v>1000000</v>
      </c>
      <c r="D32" s="715">
        <v>1000000</v>
      </c>
      <c r="E32" s="353">
        <v>1695763</v>
      </c>
    </row>
    <row r="33" spans="1:5" s="352" customFormat="1" ht="12" customHeight="1">
      <c r="A33" s="203" t="s">
        <v>180</v>
      </c>
      <c r="B33" s="186" t="s">
        <v>421</v>
      </c>
      <c r="C33" s="715"/>
      <c r="D33" s="715"/>
      <c r="E33" s="353"/>
    </row>
    <row r="34" spans="1:5" s="352" customFormat="1" ht="12" customHeight="1">
      <c r="A34" s="203" t="s">
        <v>415</v>
      </c>
      <c r="B34" s="186" t="s">
        <v>181</v>
      </c>
      <c r="C34" s="715">
        <v>1600000</v>
      </c>
      <c r="D34" s="715">
        <v>1600000</v>
      </c>
      <c r="E34" s="353">
        <v>1305772</v>
      </c>
    </row>
    <row r="35" spans="1:5" s="352" customFormat="1" ht="12" customHeight="1">
      <c r="A35" s="203" t="s">
        <v>416</v>
      </c>
      <c r="B35" s="186" t="s">
        <v>182</v>
      </c>
      <c r="C35" s="715"/>
      <c r="D35" s="715"/>
      <c r="E35" s="353"/>
    </row>
    <row r="36" spans="1:5" s="352" customFormat="1" ht="12" customHeight="1" thickBot="1">
      <c r="A36" s="204" t="s">
        <v>417</v>
      </c>
      <c r="B36" s="187" t="s">
        <v>183</v>
      </c>
      <c r="C36" s="716">
        <v>60000</v>
      </c>
      <c r="D36" s="716">
        <v>60000</v>
      </c>
      <c r="E36" s="353">
        <v>48440</v>
      </c>
    </row>
    <row r="37" spans="1:5" s="352" customFormat="1" ht="12" customHeight="1" thickBot="1">
      <c r="A37" s="25" t="s">
        <v>13</v>
      </c>
      <c r="B37" s="19" t="s">
        <v>335</v>
      </c>
      <c r="C37" s="713">
        <f>SUM(C38:C48)</f>
        <v>4968756</v>
      </c>
      <c r="D37" s="269">
        <f>SUM(D38:D48)</f>
        <v>9327965</v>
      </c>
      <c r="E37" s="269">
        <f>SUM(E38:E48)</f>
        <v>10819573</v>
      </c>
    </row>
    <row r="38" spans="1:5" s="352" customFormat="1" ht="12" customHeight="1">
      <c r="A38" s="202" t="s">
        <v>54</v>
      </c>
      <c r="B38" s="185" t="s">
        <v>186</v>
      </c>
      <c r="C38" s="714"/>
      <c r="D38" s="115">
        <v>1647583</v>
      </c>
      <c r="E38" s="353">
        <v>1647583</v>
      </c>
    </row>
    <row r="39" spans="1:5" s="352" customFormat="1" ht="12" customHeight="1">
      <c r="A39" s="203" t="s">
        <v>55</v>
      </c>
      <c r="B39" s="186" t="s">
        <v>187</v>
      </c>
      <c r="C39" s="715">
        <v>2036110</v>
      </c>
      <c r="D39" s="114">
        <v>6461882</v>
      </c>
      <c r="E39" s="353">
        <v>4671258</v>
      </c>
    </row>
    <row r="40" spans="1:5" s="352" customFormat="1" ht="12" customHeight="1">
      <c r="A40" s="203" t="s">
        <v>56</v>
      </c>
      <c r="B40" s="186" t="s">
        <v>188</v>
      </c>
      <c r="C40" s="715">
        <v>1778713</v>
      </c>
      <c r="D40" s="114"/>
      <c r="E40" s="353">
        <v>1146215</v>
      </c>
    </row>
    <row r="41" spans="1:5" s="352" customFormat="1" ht="12" customHeight="1">
      <c r="A41" s="203" t="s">
        <v>114</v>
      </c>
      <c r="B41" s="186" t="s">
        <v>189</v>
      </c>
      <c r="C41" s="715"/>
      <c r="D41" s="114"/>
      <c r="E41" s="353">
        <v>450860</v>
      </c>
    </row>
    <row r="42" spans="1:5" s="352" customFormat="1" ht="12" customHeight="1">
      <c r="A42" s="203" t="s">
        <v>115</v>
      </c>
      <c r="B42" s="186" t="s">
        <v>190</v>
      </c>
      <c r="C42" s="715"/>
      <c r="D42" s="114"/>
      <c r="E42" s="353"/>
    </row>
    <row r="43" spans="1:5" s="352" customFormat="1" ht="12" customHeight="1">
      <c r="A43" s="203" t="s">
        <v>116</v>
      </c>
      <c r="B43" s="186" t="s">
        <v>191</v>
      </c>
      <c r="C43" s="715">
        <v>1153933</v>
      </c>
      <c r="D43" s="114">
        <v>1218500</v>
      </c>
      <c r="E43" s="353">
        <v>1338307</v>
      </c>
    </row>
    <row r="44" spans="1:5" s="352" customFormat="1" ht="12" customHeight="1">
      <c r="A44" s="203" t="s">
        <v>117</v>
      </c>
      <c r="B44" s="186" t="s">
        <v>192</v>
      </c>
      <c r="C44" s="715"/>
      <c r="D44" s="114"/>
      <c r="E44" s="353"/>
    </row>
    <row r="45" spans="1:5" s="352" customFormat="1" ht="12" customHeight="1">
      <c r="A45" s="203" t="s">
        <v>118</v>
      </c>
      <c r="B45" s="186" t="s">
        <v>193</v>
      </c>
      <c r="C45" s="715"/>
      <c r="D45" s="114"/>
      <c r="E45" s="353"/>
    </row>
    <row r="46" spans="1:5" s="352" customFormat="1" ht="12" customHeight="1">
      <c r="A46" s="203" t="s">
        <v>184</v>
      </c>
      <c r="B46" s="186" t="s">
        <v>194</v>
      </c>
      <c r="C46" s="719"/>
      <c r="D46" s="117"/>
      <c r="E46" s="353"/>
    </row>
    <row r="47" spans="1:5" s="352" customFormat="1" ht="12" customHeight="1">
      <c r="A47" s="204" t="s">
        <v>185</v>
      </c>
      <c r="B47" s="187" t="s">
        <v>337</v>
      </c>
      <c r="C47" s="720"/>
      <c r="D47" s="173"/>
      <c r="E47" s="353">
        <v>135500</v>
      </c>
    </row>
    <row r="48" spans="1:5" s="352" customFormat="1" ht="12" customHeight="1" thickBot="1">
      <c r="A48" s="204" t="s">
        <v>336</v>
      </c>
      <c r="B48" s="187" t="s">
        <v>195</v>
      </c>
      <c r="C48" s="765"/>
      <c r="D48" s="173"/>
      <c r="E48" s="353">
        <v>1429850</v>
      </c>
    </row>
    <row r="49" spans="1:5" s="352" customFormat="1" ht="12" customHeight="1" thickBot="1">
      <c r="A49" s="25" t="s">
        <v>14</v>
      </c>
      <c r="B49" s="19" t="s">
        <v>196</v>
      </c>
      <c r="C49" s="713">
        <f>SUM(C50:C54)</f>
        <v>300000</v>
      </c>
      <c r="D49" s="269">
        <f>SUM(D50:D54)</f>
        <v>300000</v>
      </c>
      <c r="E49" s="269">
        <f>SUM(E50:E54)</f>
        <v>150000</v>
      </c>
    </row>
    <row r="50" spans="1:5" s="352" customFormat="1" ht="12" customHeight="1">
      <c r="A50" s="202" t="s">
        <v>57</v>
      </c>
      <c r="B50" s="185" t="s">
        <v>200</v>
      </c>
      <c r="C50" s="721"/>
      <c r="D50" s="217"/>
      <c r="E50" s="353"/>
    </row>
    <row r="51" spans="1:5" s="352" customFormat="1" ht="12" customHeight="1">
      <c r="A51" s="203" t="s">
        <v>58</v>
      </c>
      <c r="B51" s="186" t="s">
        <v>201</v>
      </c>
      <c r="C51" s="719"/>
      <c r="D51" s="117"/>
      <c r="E51" s="353"/>
    </row>
    <row r="52" spans="1:5" s="352" customFormat="1" ht="12" customHeight="1">
      <c r="A52" s="203" t="s">
        <v>197</v>
      </c>
      <c r="B52" s="186" t="s">
        <v>202</v>
      </c>
      <c r="C52" s="719">
        <v>300000</v>
      </c>
      <c r="D52" s="117">
        <v>300000</v>
      </c>
      <c r="E52" s="353">
        <v>150000</v>
      </c>
    </row>
    <row r="53" spans="1:5" s="352" customFormat="1" ht="12" customHeight="1">
      <c r="A53" s="203" t="s">
        <v>198</v>
      </c>
      <c r="B53" s="186" t="s">
        <v>203</v>
      </c>
      <c r="C53" s="719"/>
      <c r="D53" s="117"/>
      <c r="E53" s="353"/>
    </row>
    <row r="54" spans="1:5" s="352" customFormat="1" ht="12" customHeight="1" thickBot="1">
      <c r="A54" s="204" t="s">
        <v>199</v>
      </c>
      <c r="B54" s="187" t="s">
        <v>204</v>
      </c>
      <c r="C54" s="720"/>
      <c r="D54" s="173"/>
      <c r="E54" s="353"/>
    </row>
    <row r="55" spans="1:5" s="352" customFormat="1" ht="12" customHeight="1" thickBot="1">
      <c r="A55" s="25" t="s">
        <v>119</v>
      </c>
      <c r="B55" s="19" t="s">
        <v>205</v>
      </c>
      <c r="C55" s="713">
        <f>SUM(C56:C58)</f>
        <v>0</v>
      </c>
      <c r="D55" s="269">
        <f>SUM(D56:D58)</f>
        <v>0</v>
      </c>
      <c r="E55" s="269">
        <f>SUM(E56:E58)</f>
        <v>0</v>
      </c>
    </row>
    <row r="56" spans="1:5" s="352" customFormat="1" ht="12" customHeight="1">
      <c r="A56" s="202" t="s">
        <v>59</v>
      </c>
      <c r="B56" s="185" t="s">
        <v>206</v>
      </c>
      <c r="C56" s="714"/>
      <c r="D56" s="115"/>
      <c r="E56" s="353"/>
    </row>
    <row r="57" spans="1:5" s="352" customFormat="1" ht="12" customHeight="1">
      <c r="A57" s="203" t="s">
        <v>60</v>
      </c>
      <c r="B57" s="186" t="s">
        <v>329</v>
      </c>
      <c r="C57" s="715"/>
      <c r="D57" s="114"/>
      <c r="E57" s="353"/>
    </row>
    <row r="58" spans="1:5" s="352" customFormat="1" ht="12" customHeight="1">
      <c r="A58" s="203" t="s">
        <v>209</v>
      </c>
      <c r="B58" s="186" t="s">
        <v>207</v>
      </c>
      <c r="C58" s="715"/>
      <c r="D58" s="114"/>
      <c r="E58" s="353"/>
    </row>
    <row r="59" spans="1:5" s="352" customFormat="1" ht="12" customHeight="1" thickBot="1">
      <c r="A59" s="204" t="s">
        <v>210</v>
      </c>
      <c r="B59" s="187" t="s">
        <v>208</v>
      </c>
      <c r="C59" s="716"/>
      <c r="D59" s="116"/>
      <c r="E59" s="353"/>
    </row>
    <row r="60" spans="1:5" s="352" customFormat="1" ht="12" customHeight="1" thickBot="1">
      <c r="A60" s="25" t="s">
        <v>16</v>
      </c>
      <c r="B60" s="107" t="s">
        <v>211</v>
      </c>
      <c r="C60" s="713">
        <f>SUM(C61:C63)</f>
        <v>0</v>
      </c>
      <c r="D60" s="269">
        <f>SUM(D61:D63)</f>
        <v>0</v>
      </c>
      <c r="E60" s="269">
        <f>SUM(E61:E63)</f>
        <v>0</v>
      </c>
    </row>
    <row r="61" spans="1:5" s="352" customFormat="1" ht="12" customHeight="1">
      <c r="A61" s="202" t="s">
        <v>120</v>
      </c>
      <c r="B61" s="185" t="s">
        <v>213</v>
      </c>
      <c r="C61" s="719"/>
      <c r="D61" s="117"/>
      <c r="E61" s="353"/>
    </row>
    <row r="62" spans="1:5" s="352" customFormat="1" ht="12" customHeight="1">
      <c r="A62" s="203" t="s">
        <v>121</v>
      </c>
      <c r="B62" s="186" t="s">
        <v>330</v>
      </c>
      <c r="C62" s="719"/>
      <c r="D62" s="117"/>
      <c r="E62" s="353"/>
    </row>
    <row r="63" spans="1:5" s="352" customFormat="1" ht="12" customHeight="1">
      <c r="A63" s="203" t="s">
        <v>142</v>
      </c>
      <c r="B63" s="186" t="s">
        <v>214</v>
      </c>
      <c r="C63" s="719"/>
      <c r="D63" s="117"/>
      <c r="E63" s="353"/>
    </row>
    <row r="64" spans="1:5" s="352" customFormat="1" ht="12" customHeight="1" thickBot="1">
      <c r="A64" s="204" t="s">
        <v>212</v>
      </c>
      <c r="B64" s="187" t="s">
        <v>215</v>
      </c>
      <c r="C64" s="719"/>
      <c r="D64" s="117"/>
      <c r="E64" s="353"/>
    </row>
    <row r="65" spans="1:5" s="352" customFormat="1" ht="12" customHeight="1" thickBot="1">
      <c r="A65" s="25" t="s">
        <v>17</v>
      </c>
      <c r="B65" s="19" t="s">
        <v>216</v>
      </c>
      <c r="C65" s="718">
        <f>+C8+C15+C22+C29+C37+C49+C55+C60</f>
        <v>203228796</v>
      </c>
      <c r="D65" s="269">
        <f>+D8+D15+D22+D29+D37+D49+D55+D60</f>
        <v>287063895</v>
      </c>
      <c r="E65" s="269">
        <f>+E8+E15+E22+E29+E37+E49+E55+E60</f>
        <v>243189847</v>
      </c>
    </row>
    <row r="66" spans="1:5" s="352" customFormat="1" ht="12" customHeight="1" thickBot="1">
      <c r="A66" s="354" t="s">
        <v>438</v>
      </c>
      <c r="B66" s="107" t="s">
        <v>218</v>
      </c>
      <c r="C66" s="713">
        <f>SUM(C67:C69)</f>
        <v>0</v>
      </c>
      <c r="D66" s="269">
        <f>SUM(D67:D69)</f>
        <v>0</v>
      </c>
      <c r="E66" s="269">
        <f>SUM(E67:E69)</f>
        <v>0</v>
      </c>
    </row>
    <row r="67" spans="1:5" s="352" customFormat="1" ht="12" customHeight="1">
      <c r="A67" s="202" t="s">
        <v>248</v>
      </c>
      <c r="B67" s="185" t="s">
        <v>219</v>
      </c>
      <c r="C67" s="719"/>
      <c r="D67" s="117"/>
      <c r="E67" s="353"/>
    </row>
    <row r="68" spans="1:5" s="352" customFormat="1" ht="12" customHeight="1">
      <c r="A68" s="203" t="s">
        <v>257</v>
      </c>
      <c r="B68" s="186" t="s">
        <v>220</v>
      </c>
      <c r="C68" s="719"/>
      <c r="D68" s="117"/>
      <c r="E68" s="353"/>
    </row>
    <row r="69" spans="1:5" s="352" customFormat="1" ht="12" customHeight="1" thickBot="1">
      <c r="A69" s="204" t="s">
        <v>258</v>
      </c>
      <c r="B69" s="355" t="s">
        <v>439</v>
      </c>
      <c r="C69" s="719"/>
      <c r="D69" s="117"/>
      <c r="E69" s="353"/>
    </row>
    <row r="70" spans="1:5" s="352" customFormat="1" ht="12" customHeight="1" thickBot="1">
      <c r="A70" s="354" t="s">
        <v>221</v>
      </c>
      <c r="B70" s="107" t="s">
        <v>222</v>
      </c>
      <c r="C70" s="713">
        <f>SUM(C71:C74)</f>
        <v>0</v>
      </c>
      <c r="D70" s="269">
        <f>SUM(D71:D74)</f>
        <v>0</v>
      </c>
      <c r="E70" s="269">
        <f>SUM(E71:E74)</f>
        <v>0</v>
      </c>
    </row>
    <row r="71" spans="1:5" s="352" customFormat="1" ht="12" customHeight="1">
      <c r="A71" s="202" t="s">
        <v>89</v>
      </c>
      <c r="B71" s="185" t="s">
        <v>223</v>
      </c>
      <c r="C71" s="719"/>
      <c r="D71" s="350"/>
      <c r="E71" s="353"/>
    </row>
    <row r="72" spans="1:5" s="352" customFormat="1" ht="12" customHeight="1">
      <c r="A72" s="203" t="s">
        <v>90</v>
      </c>
      <c r="B72" s="186" t="s">
        <v>224</v>
      </c>
      <c r="C72" s="719"/>
      <c r="D72" s="350"/>
      <c r="E72" s="353"/>
    </row>
    <row r="73" spans="1:5" s="352" customFormat="1" ht="12" customHeight="1">
      <c r="A73" s="203" t="s">
        <v>249</v>
      </c>
      <c r="B73" s="186" t="s">
        <v>225</v>
      </c>
      <c r="C73" s="719"/>
      <c r="D73" s="350"/>
      <c r="E73" s="353"/>
    </row>
    <row r="74" spans="1:5" s="352" customFormat="1" ht="12" customHeight="1" thickBot="1">
      <c r="A74" s="204" t="s">
        <v>250</v>
      </c>
      <c r="B74" s="187" t="s">
        <v>226</v>
      </c>
      <c r="C74" s="719"/>
      <c r="D74" s="350"/>
      <c r="E74" s="353"/>
    </row>
    <row r="75" spans="1:5" s="352" customFormat="1" ht="12" customHeight="1" thickBot="1">
      <c r="A75" s="354" t="s">
        <v>227</v>
      </c>
      <c r="B75" s="107" t="s">
        <v>228</v>
      </c>
      <c r="C75" s="713">
        <f>SUM(C76:C77)</f>
        <v>80167902</v>
      </c>
      <c r="D75" s="269">
        <f>SUM(D76:D77)</f>
        <v>80151992</v>
      </c>
      <c r="E75" s="269">
        <f>SUM(E76:E77)</f>
        <v>80151992</v>
      </c>
    </row>
    <row r="76" spans="1:5" s="352" customFormat="1" ht="12" customHeight="1">
      <c r="A76" s="202" t="s">
        <v>251</v>
      </c>
      <c r="B76" s="185" t="s">
        <v>229</v>
      </c>
      <c r="C76" s="719">
        <v>80167902</v>
      </c>
      <c r="D76" s="117">
        <v>80151992</v>
      </c>
      <c r="E76" s="353">
        <v>80151992</v>
      </c>
    </row>
    <row r="77" spans="1:5" s="352" customFormat="1" ht="12" customHeight="1" thickBot="1">
      <c r="A77" s="204" t="s">
        <v>252</v>
      </c>
      <c r="B77" s="187" t="s">
        <v>230</v>
      </c>
      <c r="C77" s="719"/>
      <c r="D77" s="117"/>
      <c r="E77" s="353"/>
    </row>
    <row r="78" spans="1:5" s="351" customFormat="1" ht="12" customHeight="1" thickBot="1">
      <c r="A78" s="354" t="s">
        <v>231</v>
      </c>
      <c r="B78" s="107" t="s">
        <v>232</v>
      </c>
      <c r="C78" s="713">
        <f>SUM(C79:C81)</f>
        <v>0</v>
      </c>
      <c r="D78" s="269">
        <f>SUM(D79:D81)</f>
        <v>0</v>
      </c>
      <c r="E78" s="269">
        <f>SUM(E79:E81)</f>
        <v>3140241</v>
      </c>
    </row>
    <row r="79" spans="1:5" s="352" customFormat="1" ht="12" customHeight="1">
      <c r="A79" s="202" t="s">
        <v>253</v>
      </c>
      <c r="B79" s="185" t="s">
        <v>233</v>
      </c>
      <c r="C79" s="719"/>
      <c r="D79" s="117"/>
      <c r="E79" s="353">
        <v>3140241</v>
      </c>
    </row>
    <row r="80" spans="1:5" s="352" customFormat="1" ht="12" customHeight="1">
      <c r="A80" s="203" t="s">
        <v>254</v>
      </c>
      <c r="B80" s="186" t="s">
        <v>234</v>
      </c>
      <c r="C80" s="719"/>
      <c r="D80" s="350"/>
      <c r="E80" s="353"/>
    </row>
    <row r="81" spans="1:5" s="352" customFormat="1" ht="12" customHeight="1" thickBot="1">
      <c r="A81" s="204" t="s">
        <v>255</v>
      </c>
      <c r="B81" s="187" t="s">
        <v>235</v>
      </c>
      <c r="C81" s="719"/>
      <c r="D81" s="350"/>
      <c r="E81" s="353"/>
    </row>
    <row r="82" spans="1:5" s="352" customFormat="1" ht="12" customHeight="1" thickBot="1">
      <c r="A82" s="354" t="s">
        <v>236</v>
      </c>
      <c r="B82" s="107" t="s">
        <v>256</v>
      </c>
      <c r="C82" s="713">
        <f>SUM(C83:C86)</f>
        <v>0</v>
      </c>
      <c r="D82" s="269">
        <f>SUM(D83:D86)</f>
        <v>0</v>
      </c>
      <c r="E82" s="269">
        <f>SUM(E83:E86)</f>
        <v>0</v>
      </c>
    </row>
    <row r="83" spans="1:5" s="352" customFormat="1" ht="12" customHeight="1">
      <c r="A83" s="356" t="s">
        <v>237</v>
      </c>
      <c r="B83" s="185" t="s">
        <v>238</v>
      </c>
      <c r="C83" s="719"/>
      <c r="D83" s="350"/>
      <c r="E83" s="353"/>
    </row>
    <row r="84" spans="1:5" s="352" customFormat="1" ht="12" customHeight="1">
      <c r="A84" s="357" t="s">
        <v>239</v>
      </c>
      <c r="B84" s="186" t="s">
        <v>240</v>
      </c>
      <c r="C84" s="719"/>
      <c r="D84" s="350"/>
      <c r="E84" s="353"/>
    </row>
    <row r="85" spans="1:5" s="352" customFormat="1" ht="12" customHeight="1">
      <c r="A85" s="357" t="s">
        <v>241</v>
      </c>
      <c r="B85" s="186" t="s">
        <v>242</v>
      </c>
      <c r="C85" s="719"/>
      <c r="D85" s="350"/>
      <c r="E85" s="353"/>
    </row>
    <row r="86" spans="1:5" s="351" customFormat="1" ht="12" customHeight="1" thickBot="1">
      <c r="A86" s="358" t="s">
        <v>243</v>
      </c>
      <c r="B86" s="187" t="s">
        <v>244</v>
      </c>
      <c r="C86" s="719"/>
      <c r="D86" s="359"/>
      <c r="E86" s="360"/>
    </row>
    <row r="87" spans="1:5" s="351" customFormat="1" ht="12" customHeight="1" thickBot="1">
      <c r="A87" s="354" t="s">
        <v>245</v>
      </c>
      <c r="B87" s="107" t="s">
        <v>376</v>
      </c>
      <c r="C87" s="724"/>
      <c r="D87" s="361"/>
      <c r="E87" s="362"/>
    </row>
    <row r="88" spans="1:5" s="351" customFormat="1" ht="12" customHeight="1" thickBot="1">
      <c r="A88" s="354" t="s">
        <v>440</v>
      </c>
      <c r="B88" s="107" t="s">
        <v>246</v>
      </c>
      <c r="C88" s="724"/>
      <c r="D88" s="363"/>
      <c r="E88" s="364"/>
    </row>
    <row r="89" spans="1:5" s="351" customFormat="1" ht="12" customHeight="1" thickBot="1">
      <c r="A89" s="354" t="s">
        <v>441</v>
      </c>
      <c r="B89" s="191" t="s">
        <v>379</v>
      </c>
      <c r="C89" s="718">
        <f>+C66+C70+C75+C78+C82+C88+C87</f>
        <v>80167902</v>
      </c>
      <c r="D89" s="269">
        <f>+D66+D70+D75+D78+D82+D88+D87</f>
        <v>80151992</v>
      </c>
      <c r="E89" s="269">
        <f>+E66+E70+E75+E78+E82+E88+E87</f>
        <v>83292233</v>
      </c>
    </row>
    <row r="90" spans="1:5" s="351" customFormat="1" ht="12" customHeight="1" thickBot="1">
      <c r="A90" s="365" t="s">
        <v>442</v>
      </c>
      <c r="B90" s="192" t="s">
        <v>443</v>
      </c>
      <c r="C90" s="718">
        <f>+C65+C89</f>
        <v>283396698</v>
      </c>
      <c r="D90" s="269">
        <f>+D65+D89</f>
        <v>367215887</v>
      </c>
      <c r="E90" s="269">
        <f>+E65+E89</f>
        <v>326482080</v>
      </c>
    </row>
    <row r="91" spans="1:3" s="352" customFormat="1" ht="15" customHeight="1" thickBot="1">
      <c r="A91" s="96"/>
      <c r="B91" s="97"/>
      <c r="C91" s="156"/>
    </row>
    <row r="92" spans="1:5" s="349" customFormat="1" ht="16.5" customHeight="1" thickBot="1">
      <c r="A92" s="851" t="s">
        <v>45</v>
      </c>
      <c r="B92" s="852"/>
      <c r="C92" s="852"/>
      <c r="D92" s="852"/>
      <c r="E92" s="853"/>
    </row>
    <row r="93" spans="1:5" s="366" customFormat="1" ht="12" customHeight="1" thickBot="1">
      <c r="A93" s="177" t="s">
        <v>9</v>
      </c>
      <c r="B93" s="24" t="s">
        <v>444</v>
      </c>
      <c r="C93" s="270">
        <f>+C94+C95+C96+C97+C98+C111</f>
        <v>159375428</v>
      </c>
      <c r="D93" s="271">
        <f>+D94+D95+D96+D97+D98+D111</f>
        <v>189056169</v>
      </c>
      <c r="E93" s="271">
        <f>+E94+E95+E96+E97+E98+E111</f>
        <v>165425306</v>
      </c>
    </row>
    <row r="94" spans="1:5" ht="12" customHeight="1">
      <c r="A94" s="367" t="s">
        <v>61</v>
      </c>
      <c r="B94" s="8" t="s">
        <v>39</v>
      </c>
      <c r="C94" s="726">
        <v>60675191</v>
      </c>
      <c r="D94" s="113">
        <v>89697636</v>
      </c>
      <c r="E94" s="353">
        <v>84466230</v>
      </c>
    </row>
    <row r="95" spans="1:5" ht="12" customHeight="1">
      <c r="A95" s="203" t="s">
        <v>62</v>
      </c>
      <c r="B95" s="6" t="s">
        <v>122</v>
      </c>
      <c r="C95" s="715">
        <v>9203593</v>
      </c>
      <c r="D95" s="114">
        <v>13437626</v>
      </c>
      <c r="E95" s="353">
        <v>11006158</v>
      </c>
    </row>
    <row r="96" spans="1:5" ht="12" customHeight="1">
      <c r="A96" s="203" t="s">
        <v>63</v>
      </c>
      <c r="B96" s="6" t="s">
        <v>87</v>
      </c>
      <c r="C96" s="716">
        <v>49963951</v>
      </c>
      <c r="D96" s="116">
        <v>55096044</v>
      </c>
      <c r="E96" s="353">
        <v>40025674</v>
      </c>
    </row>
    <row r="97" spans="1:5" ht="12" customHeight="1">
      <c r="A97" s="203" t="s">
        <v>64</v>
      </c>
      <c r="B97" s="9" t="s">
        <v>123</v>
      </c>
      <c r="C97" s="716">
        <v>20700000</v>
      </c>
      <c r="D97" s="116">
        <v>23959653</v>
      </c>
      <c r="E97" s="353">
        <v>23609653</v>
      </c>
    </row>
    <row r="98" spans="1:5" ht="12" customHeight="1">
      <c r="A98" s="203" t="s">
        <v>72</v>
      </c>
      <c r="B98" s="17" t="s">
        <v>124</v>
      </c>
      <c r="C98" s="716">
        <v>18832693</v>
      </c>
      <c r="D98" s="116">
        <v>6865210</v>
      </c>
      <c r="E98" s="353">
        <v>6317591</v>
      </c>
    </row>
    <row r="99" spans="1:5" ht="12" customHeight="1">
      <c r="A99" s="203" t="s">
        <v>65</v>
      </c>
      <c r="B99" s="6" t="s">
        <v>445</v>
      </c>
      <c r="C99" s="716"/>
      <c r="D99" s="116"/>
      <c r="E99" s="353"/>
    </row>
    <row r="100" spans="1:5" ht="12" customHeight="1">
      <c r="A100" s="203" t="s">
        <v>66</v>
      </c>
      <c r="B100" s="67" t="s">
        <v>342</v>
      </c>
      <c r="C100" s="716"/>
      <c r="D100" s="116"/>
      <c r="E100" s="353"/>
    </row>
    <row r="101" spans="1:5" ht="12" customHeight="1">
      <c r="A101" s="203" t="s">
        <v>73</v>
      </c>
      <c r="B101" s="67" t="s">
        <v>341</v>
      </c>
      <c r="C101" s="716"/>
      <c r="D101" s="116"/>
      <c r="E101" s="353"/>
    </row>
    <row r="102" spans="1:5" ht="12" customHeight="1">
      <c r="A102" s="203" t="s">
        <v>74</v>
      </c>
      <c r="B102" s="67" t="s">
        <v>262</v>
      </c>
      <c r="C102" s="716"/>
      <c r="D102" s="116"/>
      <c r="E102" s="353"/>
    </row>
    <row r="103" spans="1:5" ht="12" customHeight="1">
      <c r="A103" s="203" t="s">
        <v>75</v>
      </c>
      <c r="B103" s="68" t="s">
        <v>263</v>
      </c>
      <c r="C103" s="716"/>
      <c r="D103" s="116"/>
      <c r="E103" s="353"/>
    </row>
    <row r="104" spans="1:5" ht="12" customHeight="1">
      <c r="A104" s="203" t="s">
        <v>76</v>
      </c>
      <c r="B104" s="68" t="s">
        <v>264</v>
      </c>
      <c r="C104" s="716"/>
      <c r="D104" s="116"/>
      <c r="E104" s="353"/>
    </row>
    <row r="105" spans="1:5" ht="12" customHeight="1">
      <c r="A105" s="203" t="s">
        <v>78</v>
      </c>
      <c r="B105" s="67" t="s">
        <v>265</v>
      </c>
      <c r="C105" s="716">
        <v>16981953</v>
      </c>
      <c r="D105" s="116">
        <v>5780470</v>
      </c>
      <c r="E105" s="353">
        <v>5265641</v>
      </c>
    </row>
    <row r="106" spans="1:5" ht="12" customHeight="1">
      <c r="A106" s="203" t="s">
        <v>125</v>
      </c>
      <c r="B106" s="67" t="s">
        <v>266</v>
      </c>
      <c r="C106" s="716"/>
      <c r="D106" s="116"/>
      <c r="E106" s="353"/>
    </row>
    <row r="107" spans="1:5" ht="12" customHeight="1">
      <c r="A107" s="203" t="s">
        <v>260</v>
      </c>
      <c r="B107" s="68" t="s">
        <v>267</v>
      </c>
      <c r="C107" s="716"/>
      <c r="D107" s="116"/>
      <c r="E107" s="353"/>
    </row>
    <row r="108" spans="1:5" ht="12" customHeight="1">
      <c r="A108" s="368" t="s">
        <v>261</v>
      </c>
      <c r="B108" s="69" t="s">
        <v>268</v>
      </c>
      <c r="C108" s="716"/>
      <c r="D108" s="116"/>
      <c r="E108" s="353"/>
    </row>
    <row r="109" spans="1:5" ht="12" customHeight="1">
      <c r="A109" s="203" t="s">
        <v>339</v>
      </c>
      <c r="B109" s="69" t="s">
        <v>269</v>
      </c>
      <c r="C109" s="716"/>
      <c r="D109" s="116"/>
      <c r="E109" s="353"/>
    </row>
    <row r="110" spans="1:5" ht="12" customHeight="1">
      <c r="A110" s="203" t="s">
        <v>340</v>
      </c>
      <c r="B110" s="68" t="s">
        <v>270</v>
      </c>
      <c r="C110" s="715">
        <v>1850740</v>
      </c>
      <c r="D110" s="114">
        <v>1084740</v>
      </c>
      <c r="E110" s="353">
        <v>1051950</v>
      </c>
    </row>
    <row r="111" spans="1:5" ht="12" customHeight="1">
      <c r="A111" s="203" t="s">
        <v>344</v>
      </c>
      <c r="B111" s="9" t="s">
        <v>40</v>
      </c>
      <c r="C111" s="715"/>
      <c r="D111" s="114"/>
      <c r="E111" s="369"/>
    </row>
    <row r="112" spans="1:5" ht="12" customHeight="1">
      <c r="A112" s="204" t="s">
        <v>345</v>
      </c>
      <c r="B112" s="6" t="s">
        <v>446</v>
      </c>
      <c r="C112" s="716"/>
      <c r="D112" s="116"/>
      <c r="E112" s="353"/>
    </row>
    <row r="113" spans="1:5" ht="12" customHeight="1" thickBot="1">
      <c r="A113" s="370" t="s">
        <v>346</v>
      </c>
      <c r="B113" s="371" t="s">
        <v>447</v>
      </c>
      <c r="C113" s="727"/>
      <c r="D113" s="120"/>
      <c r="E113" s="353"/>
    </row>
    <row r="114" spans="1:5" ht="12" customHeight="1" thickBot="1">
      <c r="A114" s="25" t="s">
        <v>10</v>
      </c>
      <c r="B114" s="23" t="s">
        <v>271</v>
      </c>
      <c r="C114" s="713">
        <f>+C115+C117+C119</f>
        <v>104633831</v>
      </c>
      <c r="D114" s="268">
        <f>+D115+D117+D119</f>
        <v>152176713</v>
      </c>
      <c r="E114" s="268">
        <f>+E115+E117+E119</f>
        <v>121989997</v>
      </c>
    </row>
    <row r="115" spans="1:5" ht="12" customHeight="1">
      <c r="A115" s="202" t="s">
        <v>67</v>
      </c>
      <c r="B115" s="6" t="s">
        <v>141</v>
      </c>
      <c r="C115" s="714">
        <v>9275851</v>
      </c>
      <c r="D115" s="115">
        <v>16445078</v>
      </c>
      <c r="E115" s="353">
        <v>9195695</v>
      </c>
    </row>
    <row r="116" spans="1:5" ht="12" customHeight="1">
      <c r="A116" s="202" t="s">
        <v>68</v>
      </c>
      <c r="B116" s="10" t="s">
        <v>275</v>
      </c>
      <c r="C116" s="714">
        <v>7353300</v>
      </c>
      <c r="D116" s="115">
        <v>7486650</v>
      </c>
      <c r="E116" s="353">
        <v>7486650</v>
      </c>
    </row>
    <row r="117" spans="1:5" ht="12" customHeight="1">
      <c r="A117" s="202" t="s">
        <v>69</v>
      </c>
      <c r="B117" s="10" t="s">
        <v>126</v>
      </c>
      <c r="C117" s="715">
        <v>95057980</v>
      </c>
      <c r="D117" s="114">
        <v>135431635</v>
      </c>
      <c r="E117" s="353">
        <v>112694302</v>
      </c>
    </row>
    <row r="118" spans="1:5" ht="12" customHeight="1">
      <c r="A118" s="202" t="s">
        <v>70</v>
      </c>
      <c r="B118" s="10" t="s">
        <v>276</v>
      </c>
      <c r="C118" s="715">
        <v>95057980</v>
      </c>
      <c r="D118" s="105">
        <v>95057980</v>
      </c>
      <c r="E118" s="353">
        <v>95047243</v>
      </c>
    </row>
    <row r="119" spans="1:5" ht="12" customHeight="1">
      <c r="A119" s="202" t="s">
        <v>71</v>
      </c>
      <c r="B119" s="109" t="s">
        <v>143</v>
      </c>
      <c r="C119" s="729">
        <v>300000</v>
      </c>
      <c r="D119" s="105">
        <v>300000</v>
      </c>
      <c r="E119" s="353">
        <v>100000</v>
      </c>
    </row>
    <row r="120" spans="1:5" ht="12" customHeight="1">
      <c r="A120" s="202" t="s">
        <v>77</v>
      </c>
      <c r="B120" s="108" t="s">
        <v>331</v>
      </c>
      <c r="C120" s="729"/>
      <c r="D120" s="105"/>
      <c r="E120" s="353"/>
    </row>
    <row r="121" spans="1:5" ht="12" customHeight="1">
      <c r="A121" s="202" t="s">
        <v>79</v>
      </c>
      <c r="B121" s="181" t="s">
        <v>281</v>
      </c>
      <c r="C121" s="729"/>
      <c r="D121" s="105"/>
      <c r="E121" s="353"/>
    </row>
    <row r="122" spans="1:5" ht="12" customHeight="1">
      <c r="A122" s="202" t="s">
        <v>127</v>
      </c>
      <c r="B122" s="68" t="s">
        <v>264</v>
      </c>
      <c r="C122" s="729"/>
      <c r="D122" s="105"/>
      <c r="E122" s="353"/>
    </row>
    <row r="123" spans="1:5" ht="12" customHeight="1">
      <c r="A123" s="202" t="s">
        <v>128</v>
      </c>
      <c r="B123" s="68" t="s">
        <v>280</v>
      </c>
      <c r="C123" s="729"/>
      <c r="D123" s="105"/>
      <c r="E123" s="353"/>
    </row>
    <row r="124" spans="1:5" ht="12" customHeight="1">
      <c r="A124" s="202" t="s">
        <v>129</v>
      </c>
      <c r="B124" s="68" t="s">
        <v>279</v>
      </c>
      <c r="C124" s="729"/>
      <c r="D124" s="105"/>
      <c r="E124" s="353"/>
    </row>
    <row r="125" spans="1:5" ht="12" customHeight="1">
      <c r="A125" s="202" t="s">
        <v>272</v>
      </c>
      <c r="B125" s="68" t="s">
        <v>267</v>
      </c>
      <c r="C125" s="729"/>
      <c r="D125" s="105"/>
      <c r="E125" s="353"/>
    </row>
    <row r="126" spans="1:5" ht="12" customHeight="1">
      <c r="A126" s="202" t="s">
        <v>273</v>
      </c>
      <c r="B126" s="68" t="s">
        <v>278</v>
      </c>
      <c r="C126" s="729">
        <v>300000</v>
      </c>
      <c r="D126" s="105">
        <v>300000</v>
      </c>
      <c r="E126" s="353">
        <v>100000</v>
      </c>
    </row>
    <row r="127" spans="1:5" ht="12" customHeight="1" thickBot="1">
      <c r="A127" s="368" t="s">
        <v>274</v>
      </c>
      <c r="B127" s="68" t="s">
        <v>277</v>
      </c>
      <c r="C127" s="730"/>
      <c r="D127" s="106"/>
      <c r="E127" s="353"/>
    </row>
    <row r="128" spans="1:5" ht="12" customHeight="1" thickBot="1">
      <c r="A128" s="25" t="s">
        <v>11</v>
      </c>
      <c r="B128" s="56" t="s">
        <v>349</v>
      </c>
      <c r="C128" s="713">
        <f>+C93+C114</f>
        <v>264009259</v>
      </c>
      <c r="D128" s="268">
        <f>+D93+D114</f>
        <v>341232882</v>
      </c>
      <c r="E128" s="268">
        <f>+E93+E114</f>
        <v>287415303</v>
      </c>
    </row>
    <row r="129" spans="1:5" ht="12" customHeight="1" thickBot="1">
      <c r="A129" s="25" t="s">
        <v>12</v>
      </c>
      <c r="B129" s="56" t="s">
        <v>350</v>
      </c>
      <c r="C129" s="713">
        <f>+C130+C131+C132</f>
        <v>0</v>
      </c>
      <c r="D129" s="268">
        <f>+D130+D131+D132</f>
        <v>0</v>
      </c>
      <c r="E129" s="268">
        <f>+E130+E131+E132</f>
        <v>0</v>
      </c>
    </row>
    <row r="130" spans="1:5" s="366" customFormat="1" ht="12" customHeight="1">
      <c r="A130" s="202" t="s">
        <v>177</v>
      </c>
      <c r="B130" s="7" t="s">
        <v>448</v>
      </c>
      <c r="C130" s="729"/>
      <c r="D130" s="105"/>
      <c r="E130" s="353"/>
    </row>
    <row r="131" spans="1:5" ht="12" customHeight="1">
      <c r="A131" s="202" t="s">
        <v>178</v>
      </c>
      <c r="B131" s="7" t="s">
        <v>358</v>
      </c>
      <c r="C131" s="729"/>
      <c r="D131" s="105"/>
      <c r="E131" s="353"/>
    </row>
    <row r="132" spans="1:5" ht="12" customHeight="1" thickBot="1">
      <c r="A132" s="368" t="s">
        <v>179</v>
      </c>
      <c r="B132" s="5" t="s">
        <v>449</v>
      </c>
      <c r="C132" s="729"/>
      <c r="D132" s="105"/>
      <c r="E132" s="353"/>
    </row>
    <row r="133" spans="1:5" ht="12" customHeight="1" thickBot="1">
      <c r="A133" s="25" t="s">
        <v>13</v>
      </c>
      <c r="B133" s="56" t="s">
        <v>351</v>
      </c>
      <c r="C133" s="713">
        <f>+C134+C135+C136+C137+C138+C139</f>
        <v>0</v>
      </c>
      <c r="D133" s="112">
        <f>+D134+D135+D136+D137+D138+D139</f>
        <v>0</v>
      </c>
      <c r="E133" s="268">
        <f>+E134+E135+E136+E137+E138+E139</f>
        <v>0</v>
      </c>
    </row>
    <row r="134" spans="1:5" ht="12" customHeight="1">
      <c r="A134" s="202" t="s">
        <v>54</v>
      </c>
      <c r="B134" s="7" t="s">
        <v>360</v>
      </c>
      <c r="C134" s="729"/>
      <c r="D134" s="105"/>
      <c r="E134" s="353"/>
    </row>
    <row r="135" spans="1:5" ht="12" customHeight="1">
      <c r="A135" s="202" t="s">
        <v>55</v>
      </c>
      <c r="B135" s="7" t="s">
        <v>352</v>
      </c>
      <c r="C135" s="729"/>
      <c r="D135" s="105"/>
      <c r="E135" s="353"/>
    </row>
    <row r="136" spans="1:5" ht="12" customHeight="1">
      <c r="A136" s="202" t="s">
        <v>56</v>
      </c>
      <c r="B136" s="7" t="s">
        <v>353</v>
      </c>
      <c r="C136" s="729"/>
      <c r="D136" s="105"/>
      <c r="E136" s="353"/>
    </row>
    <row r="137" spans="1:5" ht="12" customHeight="1">
      <c r="A137" s="202" t="s">
        <v>114</v>
      </c>
      <c r="B137" s="7" t="s">
        <v>450</v>
      </c>
      <c r="C137" s="729"/>
      <c r="D137" s="105"/>
      <c r="E137" s="353"/>
    </row>
    <row r="138" spans="1:5" ht="12" customHeight="1">
      <c r="A138" s="202" t="s">
        <v>115</v>
      </c>
      <c r="B138" s="7" t="s">
        <v>355</v>
      </c>
      <c r="C138" s="729"/>
      <c r="D138" s="105"/>
      <c r="E138" s="353"/>
    </row>
    <row r="139" spans="1:5" s="366" customFormat="1" ht="12" customHeight="1" thickBot="1">
      <c r="A139" s="368" t="s">
        <v>116</v>
      </c>
      <c r="B139" s="5" t="s">
        <v>356</v>
      </c>
      <c r="C139" s="729"/>
      <c r="D139" s="105"/>
      <c r="E139" s="372"/>
    </row>
    <row r="140" spans="1:11" ht="12" customHeight="1" thickBot="1">
      <c r="A140" s="25" t="s">
        <v>14</v>
      </c>
      <c r="B140" s="56" t="s">
        <v>451</v>
      </c>
      <c r="C140" s="718">
        <f>+C141+C142+C144+C145+C143</f>
        <v>19387439</v>
      </c>
      <c r="D140" s="269">
        <f>+D141+D142+D144+D145+D143</f>
        <v>25983005</v>
      </c>
      <c r="E140" s="269">
        <f>+E141+E142+E144+E145+E143</f>
        <v>19037243</v>
      </c>
      <c r="K140" s="373"/>
    </row>
    <row r="141" spans="1:5" ht="12.75">
      <c r="A141" s="202" t="s">
        <v>57</v>
      </c>
      <c r="B141" s="7" t="s">
        <v>282</v>
      </c>
      <c r="C141" s="729"/>
      <c r="D141" s="105"/>
      <c r="E141" s="353"/>
    </row>
    <row r="142" spans="1:5" ht="12" customHeight="1">
      <c r="A142" s="202" t="s">
        <v>58</v>
      </c>
      <c r="B142" s="7" t="s">
        <v>283</v>
      </c>
      <c r="C142" s="729">
        <v>2116241</v>
      </c>
      <c r="D142" s="105">
        <v>2116241</v>
      </c>
      <c r="E142" s="353">
        <v>2116241</v>
      </c>
    </row>
    <row r="143" spans="1:5" ht="12" customHeight="1">
      <c r="A143" s="202" t="s">
        <v>197</v>
      </c>
      <c r="B143" s="7" t="s">
        <v>452</v>
      </c>
      <c r="C143" s="729">
        <v>17271198</v>
      </c>
      <c r="D143" s="105">
        <v>23866764</v>
      </c>
      <c r="E143" s="353">
        <v>16921002</v>
      </c>
    </row>
    <row r="144" spans="1:5" s="366" customFormat="1" ht="12" customHeight="1">
      <c r="A144" s="202" t="s">
        <v>198</v>
      </c>
      <c r="B144" s="7" t="s">
        <v>365</v>
      </c>
      <c r="C144" s="729"/>
      <c r="D144" s="105"/>
      <c r="E144" s="372"/>
    </row>
    <row r="145" spans="1:5" s="366" customFormat="1" ht="12" customHeight="1" thickBot="1">
      <c r="A145" s="368" t="s">
        <v>199</v>
      </c>
      <c r="B145" s="5" t="s">
        <v>300</v>
      </c>
      <c r="C145" s="729"/>
      <c r="D145" s="105"/>
      <c r="E145" s="353"/>
    </row>
    <row r="146" spans="1:5" s="366" customFormat="1" ht="12" customHeight="1" thickBot="1">
      <c r="A146" s="25" t="s">
        <v>15</v>
      </c>
      <c r="B146" s="56" t="s">
        <v>366</v>
      </c>
      <c r="C146" s="732">
        <f>+C147+C148+C149+C150+C151</f>
        <v>0</v>
      </c>
      <c r="D146" s="272">
        <f>+D147+D148+D149+D150+D151</f>
        <v>0</v>
      </c>
      <c r="E146" s="272">
        <f>+E147+E148+E149+E150+E151</f>
        <v>0</v>
      </c>
    </row>
    <row r="147" spans="1:5" s="366" customFormat="1" ht="12" customHeight="1">
      <c r="A147" s="202" t="s">
        <v>59</v>
      </c>
      <c r="B147" s="7" t="s">
        <v>361</v>
      </c>
      <c r="C147" s="729"/>
      <c r="D147" s="374"/>
      <c r="E147" s="372"/>
    </row>
    <row r="148" spans="1:5" s="366" customFormat="1" ht="12" customHeight="1">
      <c r="A148" s="202" t="s">
        <v>60</v>
      </c>
      <c r="B148" s="7" t="s">
        <v>368</v>
      </c>
      <c r="C148" s="729"/>
      <c r="D148" s="374"/>
      <c r="E148" s="372"/>
    </row>
    <row r="149" spans="1:5" s="366" customFormat="1" ht="12" customHeight="1">
      <c r="A149" s="202" t="s">
        <v>209</v>
      </c>
      <c r="B149" s="7" t="s">
        <v>363</v>
      </c>
      <c r="C149" s="729"/>
      <c r="D149" s="374"/>
      <c r="E149" s="372"/>
    </row>
    <row r="150" spans="1:5" s="366" customFormat="1" ht="12" customHeight="1">
      <c r="A150" s="202" t="s">
        <v>210</v>
      </c>
      <c r="B150" s="7" t="s">
        <v>453</v>
      </c>
      <c r="C150" s="729"/>
      <c r="D150" s="374"/>
      <c r="E150" s="372"/>
    </row>
    <row r="151" spans="1:5" ht="12.75" customHeight="1" thickBot="1">
      <c r="A151" s="368" t="s">
        <v>367</v>
      </c>
      <c r="B151" s="5" t="s">
        <v>370</v>
      </c>
      <c r="C151" s="730"/>
      <c r="D151" s="359"/>
      <c r="E151" s="360"/>
    </row>
    <row r="152" spans="1:5" ht="12.75" customHeight="1" thickBot="1">
      <c r="A152" s="375" t="s">
        <v>16</v>
      </c>
      <c r="B152" s="56" t="s">
        <v>371</v>
      </c>
      <c r="C152" s="732"/>
      <c r="D152" s="361"/>
      <c r="E152" s="362"/>
    </row>
    <row r="153" spans="1:5" ht="12.75" customHeight="1" thickBot="1">
      <c r="A153" s="375" t="s">
        <v>17</v>
      </c>
      <c r="B153" s="56" t="s">
        <v>372</v>
      </c>
      <c r="C153" s="732"/>
      <c r="D153" s="363"/>
      <c r="E153" s="364"/>
    </row>
    <row r="154" spans="1:5" ht="12" customHeight="1" thickBot="1">
      <c r="A154" s="25" t="s">
        <v>18</v>
      </c>
      <c r="B154" s="56" t="s">
        <v>374</v>
      </c>
      <c r="C154" s="763">
        <f>+C129+C133+C140+C146+C152+C153</f>
        <v>19387439</v>
      </c>
      <c r="D154" s="273">
        <f>+D129+D133+D140+D146+D152+D153</f>
        <v>25983005</v>
      </c>
      <c r="E154" s="273">
        <f>+E129+E133+E140+E146+E152+E153</f>
        <v>19037243</v>
      </c>
    </row>
    <row r="155" spans="1:5" ht="15" customHeight="1" thickBot="1">
      <c r="A155" s="376" t="s">
        <v>19</v>
      </c>
      <c r="B155" s="166" t="s">
        <v>373</v>
      </c>
      <c r="C155" s="763">
        <f>+C128+C154</f>
        <v>283396698</v>
      </c>
      <c r="D155" s="273">
        <f>+D128+D154</f>
        <v>367215887</v>
      </c>
      <c r="E155" s="273">
        <f>+E128+E154</f>
        <v>306452546</v>
      </c>
    </row>
    <row r="156" ht="13.5" thickBot="1"/>
    <row r="157" spans="1:5" ht="15" customHeight="1" thickBot="1">
      <c r="A157" s="103" t="s">
        <v>402</v>
      </c>
      <c r="B157" s="104"/>
      <c r="C157" s="380">
        <v>60</v>
      </c>
      <c r="D157" s="380">
        <v>60</v>
      </c>
      <c r="E157" s="381">
        <v>60</v>
      </c>
    </row>
    <row r="158" spans="1:5" ht="14.25" customHeight="1" thickBot="1">
      <c r="A158" s="103" t="s">
        <v>138</v>
      </c>
      <c r="B158" s="104"/>
      <c r="C158" s="380">
        <v>46</v>
      </c>
      <c r="D158" s="380">
        <v>51</v>
      </c>
      <c r="E158" s="381">
        <v>51</v>
      </c>
    </row>
    <row r="159" spans="1:5" ht="13.5" thickBot="1">
      <c r="A159" s="854" t="s">
        <v>454</v>
      </c>
      <c r="B159" s="855"/>
      <c r="C159" s="805">
        <v>5</v>
      </c>
      <c r="D159" s="381">
        <v>5</v>
      </c>
      <c r="E159" s="381">
        <v>5</v>
      </c>
    </row>
  </sheetData>
  <sheetProtection formatCells="0"/>
  <mergeCells count="6">
    <mergeCell ref="B1:C1"/>
    <mergeCell ref="C2:E2"/>
    <mergeCell ref="C3:E3"/>
    <mergeCell ref="A7:E7"/>
    <mergeCell ref="A92:E92"/>
    <mergeCell ref="A159:B1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9"/>
  <sheetViews>
    <sheetView zoomScalePageLayoutView="0" workbookViewId="0" topLeftCell="A16">
      <selection activeCell="F116" sqref="F116"/>
    </sheetView>
  </sheetViews>
  <sheetFormatPr defaultColWidth="9.00390625" defaultRowHeight="12.75"/>
  <cols>
    <col min="1" max="1" width="15.375" style="0" customWidth="1"/>
    <col min="2" max="2" width="43.125" style="0" customWidth="1"/>
    <col min="3" max="3" width="18.75390625" style="0" customWidth="1"/>
    <col min="4" max="4" width="19.75390625" style="0" customWidth="1"/>
    <col min="5" max="5" width="17.375" style="0" customWidth="1"/>
    <col min="6" max="11" width="33.75390625" style="0" customWidth="1"/>
  </cols>
  <sheetData>
    <row r="1" spans="1:5" ht="15.75" thickBot="1">
      <c r="A1" s="89"/>
      <c r="B1" s="840" t="s">
        <v>804</v>
      </c>
      <c r="C1" s="841"/>
      <c r="D1" s="340"/>
      <c r="E1" s="340"/>
    </row>
    <row r="2" spans="1:5" ht="13.5" thickBot="1">
      <c r="A2" s="175" t="s">
        <v>47</v>
      </c>
      <c r="B2" s="258" t="s">
        <v>466</v>
      </c>
      <c r="C2" s="842" t="s">
        <v>42</v>
      </c>
      <c r="D2" s="843"/>
      <c r="E2" s="844"/>
    </row>
    <row r="3" spans="1:5" ht="13.5" thickBot="1">
      <c r="A3" s="342" t="s">
        <v>135</v>
      </c>
      <c r="B3" s="259" t="s">
        <v>794</v>
      </c>
      <c r="C3" s="845" t="s">
        <v>42</v>
      </c>
      <c r="D3" s="846"/>
      <c r="E3" s="847"/>
    </row>
    <row r="4" spans="1:5" ht="13.5" thickBot="1">
      <c r="A4" s="91"/>
      <c r="B4" s="91"/>
      <c r="C4" s="343" t="s">
        <v>426</v>
      </c>
      <c r="D4" s="344"/>
      <c r="E4" s="344"/>
    </row>
    <row r="5" spans="1:5" ht="23.25" thickBot="1">
      <c r="A5" s="176" t="s">
        <v>137</v>
      </c>
      <c r="B5" s="92" t="s">
        <v>43</v>
      </c>
      <c r="C5" s="345" t="s">
        <v>792</v>
      </c>
      <c r="D5" s="346" t="s">
        <v>773</v>
      </c>
      <c r="E5" s="346" t="s">
        <v>774</v>
      </c>
    </row>
    <row r="6" spans="1:5" ht="13.5" thickBot="1">
      <c r="A6" s="79" t="s">
        <v>394</v>
      </c>
      <c r="B6" s="80" t="s">
        <v>395</v>
      </c>
      <c r="C6" s="81" t="s">
        <v>396</v>
      </c>
      <c r="D6" s="347" t="s">
        <v>398</v>
      </c>
      <c r="E6" s="348" t="s">
        <v>397</v>
      </c>
    </row>
    <row r="7" spans="1:5" ht="13.5" thickBot="1">
      <c r="A7" s="848" t="s">
        <v>44</v>
      </c>
      <c r="B7" s="849"/>
      <c r="C7" s="849"/>
      <c r="D7" s="849"/>
      <c r="E7" s="850"/>
    </row>
    <row r="8" spans="1:5" ht="13.5" thickBot="1">
      <c r="A8" s="25" t="s">
        <v>9</v>
      </c>
      <c r="B8" s="19" t="s">
        <v>162</v>
      </c>
      <c r="C8" s="269">
        <f>+C9+C10+C11+C12+C13+C14</f>
        <v>82334276</v>
      </c>
      <c r="D8" s="269">
        <f>+D9+D10+D11+D12+D13+D14</f>
        <v>77957117</v>
      </c>
      <c r="E8" s="269">
        <f>+E9+E10+E11+E12+E13+E14</f>
        <v>77957117</v>
      </c>
    </row>
    <row r="9" spans="1:5" ht="12.75">
      <c r="A9" s="202" t="s">
        <v>61</v>
      </c>
      <c r="B9" s="185" t="s">
        <v>163</v>
      </c>
      <c r="C9" s="714">
        <v>21232401</v>
      </c>
      <c r="D9" s="115">
        <v>22707401</v>
      </c>
      <c r="E9" s="115">
        <v>22707401</v>
      </c>
    </row>
    <row r="10" spans="1:5" ht="12.75">
      <c r="A10" s="203" t="s">
        <v>62</v>
      </c>
      <c r="B10" s="186" t="s">
        <v>164</v>
      </c>
      <c r="C10" s="715"/>
      <c r="D10" s="114">
        <v>7350050</v>
      </c>
      <c r="E10" s="114">
        <v>7350050</v>
      </c>
    </row>
    <row r="11" spans="1:5" ht="21">
      <c r="A11" s="203" t="s">
        <v>63</v>
      </c>
      <c r="B11" s="186" t="s">
        <v>422</v>
      </c>
      <c r="C11" s="715">
        <v>29873623</v>
      </c>
      <c r="D11" s="114">
        <v>30922116</v>
      </c>
      <c r="E11" s="114">
        <v>30922116</v>
      </c>
    </row>
    <row r="12" spans="1:5" ht="12.75">
      <c r="A12" s="203" t="s">
        <v>64</v>
      </c>
      <c r="B12" s="186" t="s">
        <v>166</v>
      </c>
      <c r="C12" s="715">
        <v>1800000</v>
      </c>
      <c r="D12" s="114">
        <v>1800000</v>
      </c>
      <c r="E12" s="114">
        <v>1800000</v>
      </c>
    </row>
    <row r="13" spans="1:5" ht="12.75">
      <c r="A13" s="203" t="s">
        <v>88</v>
      </c>
      <c r="B13" s="186" t="s">
        <v>437</v>
      </c>
      <c r="C13" s="715">
        <v>29428252</v>
      </c>
      <c r="D13" s="114">
        <v>14829280</v>
      </c>
      <c r="E13" s="114">
        <v>14829280</v>
      </c>
    </row>
    <row r="14" spans="1:5" ht="13.5" thickBot="1">
      <c r="A14" s="204" t="s">
        <v>65</v>
      </c>
      <c r="B14" s="187" t="s">
        <v>334</v>
      </c>
      <c r="C14" s="715"/>
      <c r="D14" s="114">
        <v>348270</v>
      </c>
      <c r="E14" s="353">
        <v>348270</v>
      </c>
    </row>
    <row r="15" spans="1:5" ht="21" thickBot="1">
      <c r="A15" s="25" t="s">
        <v>10</v>
      </c>
      <c r="B15" s="107" t="s">
        <v>167</v>
      </c>
      <c r="C15" s="713">
        <f>+C16+C17+C18+C19+C20</f>
        <v>64018497</v>
      </c>
      <c r="D15" s="269">
        <f>+D16+D17+D18+D19+D20</f>
        <v>102975723</v>
      </c>
      <c r="E15" s="269">
        <f>+E16+E17+E18+E19+E20</f>
        <v>83663182</v>
      </c>
    </row>
    <row r="16" spans="1:5" ht="12.75">
      <c r="A16" s="202" t="s">
        <v>67</v>
      </c>
      <c r="B16" s="185" t="s">
        <v>168</v>
      </c>
      <c r="C16" s="714"/>
      <c r="D16" s="115">
        <v>0</v>
      </c>
      <c r="E16" s="353"/>
    </row>
    <row r="17" spans="1:5" ht="12.75">
      <c r="A17" s="203" t="s">
        <v>68</v>
      </c>
      <c r="B17" s="186" t="s">
        <v>169</v>
      </c>
      <c r="C17" s="715"/>
      <c r="D17" s="114"/>
      <c r="E17" s="353"/>
    </row>
    <row r="18" spans="1:5" ht="21">
      <c r="A18" s="203" t="s">
        <v>69</v>
      </c>
      <c r="B18" s="186" t="s">
        <v>325</v>
      </c>
      <c r="C18" s="715"/>
      <c r="D18" s="114"/>
      <c r="E18" s="353"/>
    </row>
    <row r="19" spans="1:5" ht="21">
      <c r="A19" s="203" t="s">
        <v>70</v>
      </c>
      <c r="B19" s="186" t="s">
        <v>326</v>
      </c>
      <c r="C19" s="715"/>
      <c r="D19" s="114"/>
      <c r="E19" s="353"/>
    </row>
    <row r="20" spans="1:5" ht="12.75">
      <c r="A20" s="203" t="s">
        <v>71</v>
      </c>
      <c r="B20" s="186" t="s">
        <v>170</v>
      </c>
      <c r="C20" s="715">
        <v>64018497</v>
      </c>
      <c r="D20" s="114">
        <v>102975723</v>
      </c>
      <c r="E20" s="353">
        <v>83663182</v>
      </c>
    </row>
    <row r="21" spans="1:5" ht="13.5" thickBot="1">
      <c r="A21" s="204" t="s">
        <v>77</v>
      </c>
      <c r="B21" s="187" t="s">
        <v>171</v>
      </c>
      <c r="C21" s="716">
        <v>15472270</v>
      </c>
      <c r="D21" s="716">
        <v>15472270</v>
      </c>
      <c r="E21" s="353">
        <v>3492818</v>
      </c>
    </row>
    <row r="22" spans="1:5" ht="21" thickBot="1">
      <c r="A22" s="25" t="s">
        <v>11</v>
      </c>
      <c r="B22" s="19" t="s">
        <v>172</v>
      </c>
      <c r="C22" s="713">
        <f>+C23+C24+C25+C26+C27</f>
        <v>48597267</v>
      </c>
      <c r="D22" s="269">
        <f>+D23+D24+D25+D26+D27</f>
        <v>93493090</v>
      </c>
      <c r="E22" s="269">
        <f>+E23+E24+E25+E26+E27</f>
        <v>67343285</v>
      </c>
    </row>
    <row r="23" spans="1:5" ht="12.75">
      <c r="A23" s="202" t="s">
        <v>50</v>
      </c>
      <c r="B23" s="185" t="s">
        <v>173</v>
      </c>
      <c r="C23" s="714"/>
      <c r="D23" s="115"/>
      <c r="E23" s="353"/>
    </row>
    <row r="24" spans="1:5" ht="12.75">
      <c r="A24" s="203" t="s">
        <v>51</v>
      </c>
      <c r="B24" s="186" t="s">
        <v>174</v>
      </c>
      <c r="C24" s="715"/>
      <c r="D24" s="114"/>
      <c r="E24" s="353"/>
    </row>
    <row r="25" spans="1:5" ht="21">
      <c r="A25" s="203" t="s">
        <v>52</v>
      </c>
      <c r="B25" s="186" t="s">
        <v>327</v>
      </c>
      <c r="C25" s="715"/>
      <c r="D25" s="114"/>
      <c r="E25" s="353"/>
    </row>
    <row r="26" spans="1:5" ht="21">
      <c r="A26" s="203" t="s">
        <v>53</v>
      </c>
      <c r="B26" s="186" t="s">
        <v>328</v>
      </c>
      <c r="C26" s="715"/>
      <c r="D26" s="114"/>
      <c r="E26" s="353"/>
    </row>
    <row r="27" spans="1:5" ht="12.75">
      <c r="A27" s="203" t="s">
        <v>110</v>
      </c>
      <c r="B27" s="186" t="s">
        <v>175</v>
      </c>
      <c r="C27" s="715">
        <v>48597267</v>
      </c>
      <c r="D27" s="114">
        <v>93493090</v>
      </c>
      <c r="E27" s="353">
        <v>67343285</v>
      </c>
    </row>
    <row r="28" spans="1:5" ht="13.5" thickBot="1">
      <c r="A28" s="204" t="s">
        <v>111</v>
      </c>
      <c r="B28" s="187" t="s">
        <v>176</v>
      </c>
      <c r="C28" s="717">
        <v>46674716</v>
      </c>
      <c r="D28" s="717">
        <v>46674716</v>
      </c>
      <c r="E28" s="353">
        <v>21067673</v>
      </c>
    </row>
    <row r="29" spans="1:5" ht="13.5" thickBot="1">
      <c r="A29" s="25" t="s">
        <v>112</v>
      </c>
      <c r="B29" s="19" t="s">
        <v>414</v>
      </c>
      <c r="C29" s="718">
        <f>SUM(C30:C36)</f>
        <v>3010000</v>
      </c>
      <c r="D29" s="269">
        <v>3010000</v>
      </c>
      <c r="E29" s="269">
        <f>SUM(E30:E36)</f>
        <v>3256690</v>
      </c>
    </row>
    <row r="30" spans="1:5" ht="12.75">
      <c r="A30" s="202" t="s">
        <v>177</v>
      </c>
      <c r="B30" s="185" t="s">
        <v>418</v>
      </c>
      <c r="C30" s="764">
        <v>350000</v>
      </c>
      <c r="D30" s="764">
        <v>350000</v>
      </c>
      <c r="E30" s="353">
        <v>206715</v>
      </c>
    </row>
    <row r="31" spans="1:5" ht="12.75">
      <c r="A31" s="203" t="s">
        <v>178</v>
      </c>
      <c r="B31" s="186" t="s">
        <v>427</v>
      </c>
      <c r="C31" s="715"/>
      <c r="D31" s="715"/>
      <c r="E31" s="353"/>
    </row>
    <row r="32" spans="1:5" ht="12.75">
      <c r="A32" s="203" t="s">
        <v>179</v>
      </c>
      <c r="B32" s="186" t="s">
        <v>420</v>
      </c>
      <c r="C32" s="715">
        <v>1000000</v>
      </c>
      <c r="D32" s="715">
        <v>1000000</v>
      </c>
      <c r="E32" s="353">
        <v>1695763</v>
      </c>
    </row>
    <row r="33" spans="1:5" ht="12.75">
      <c r="A33" s="203" t="s">
        <v>180</v>
      </c>
      <c r="B33" s="186" t="s">
        <v>421</v>
      </c>
      <c r="C33" s="715"/>
      <c r="D33" s="715"/>
      <c r="E33" s="353"/>
    </row>
    <row r="34" spans="1:5" ht="12.75">
      <c r="A34" s="203" t="s">
        <v>415</v>
      </c>
      <c r="B34" s="186" t="s">
        <v>181</v>
      </c>
      <c r="C34" s="715">
        <v>1600000</v>
      </c>
      <c r="D34" s="715">
        <v>1600000</v>
      </c>
      <c r="E34" s="353">
        <v>1305772</v>
      </c>
    </row>
    <row r="35" spans="1:5" ht="12.75">
      <c r="A35" s="203" t="s">
        <v>416</v>
      </c>
      <c r="B35" s="186" t="s">
        <v>182</v>
      </c>
      <c r="C35" s="715"/>
      <c r="D35" s="715"/>
      <c r="E35" s="353"/>
    </row>
    <row r="36" spans="1:5" ht="13.5" thickBot="1">
      <c r="A36" s="204" t="s">
        <v>417</v>
      </c>
      <c r="B36" s="187" t="s">
        <v>183</v>
      </c>
      <c r="C36" s="716">
        <v>60000</v>
      </c>
      <c r="D36" s="716">
        <v>60000</v>
      </c>
      <c r="E36" s="353">
        <v>48440</v>
      </c>
    </row>
    <row r="37" spans="1:5" ht="13.5" thickBot="1">
      <c r="A37" s="25" t="s">
        <v>13</v>
      </c>
      <c r="B37" s="19" t="s">
        <v>335</v>
      </c>
      <c r="C37" s="713">
        <f>SUM(C38:C48)</f>
        <v>4968756</v>
      </c>
      <c r="D37" s="269">
        <f>SUM(D38:D48)</f>
        <v>9327965</v>
      </c>
      <c r="E37" s="269">
        <f>SUM(E38:E48)</f>
        <v>10819573</v>
      </c>
    </row>
    <row r="38" spans="1:5" ht="12.75">
      <c r="A38" s="202" t="s">
        <v>54</v>
      </c>
      <c r="B38" s="185" t="s">
        <v>186</v>
      </c>
      <c r="C38" s="714"/>
      <c r="D38" s="115">
        <v>1647583</v>
      </c>
      <c r="E38" s="353">
        <v>1647583</v>
      </c>
    </row>
    <row r="39" spans="1:5" ht="12.75">
      <c r="A39" s="203" t="s">
        <v>55</v>
      </c>
      <c r="B39" s="186" t="s">
        <v>187</v>
      </c>
      <c r="C39" s="715">
        <v>2036110</v>
      </c>
      <c r="D39" s="114">
        <v>6461882</v>
      </c>
      <c r="E39" s="353">
        <v>4671258</v>
      </c>
    </row>
    <row r="40" spans="1:5" ht="12.75">
      <c r="A40" s="203" t="s">
        <v>56</v>
      </c>
      <c r="B40" s="186" t="s">
        <v>188</v>
      </c>
      <c r="C40" s="715">
        <v>1778713</v>
      </c>
      <c r="D40" s="114"/>
      <c r="E40" s="353">
        <v>1146215</v>
      </c>
    </row>
    <row r="41" spans="1:5" ht="12.75">
      <c r="A41" s="203" t="s">
        <v>114</v>
      </c>
      <c r="B41" s="186" t="s">
        <v>189</v>
      </c>
      <c r="C41" s="715"/>
      <c r="D41" s="114"/>
      <c r="E41" s="353">
        <v>450860</v>
      </c>
    </row>
    <row r="42" spans="1:5" ht="12.75">
      <c r="A42" s="203" t="s">
        <v>115</v>
      </c>
      <c r="B42" s="186" t="s">
        <v>190</v>
      </c>
      <c r="C42" s="715"/>
      <c r="D42" s="114"/>
      <c r="E42" s="353"/>
    </row>
    <row r="43" spans="1:5" ht="12.75">
      <c r="A43" s="203" t="s">
        <v>116</v>
      </c>
      <c r="B43" s="186" t="s">
        <v>191</v>
      </c>
      <c r="C43" s="715">
        <v>1153933</v>
      </c>
      <c r="D43" s="114">
        <v>1218500</v>
      </c>
      <c r="E43" s="353">
        <v>1338307</v>
      </c>
    </row>
    <row r="44" spans="1:5" ht="12.75">
      <c r="A44" s="203" t="s">
        <v>117</v>
      </c>
      <c r="B44" s="186" t="s">
        <v>192</v>
      </c>
      <c r="C44" s="715"/>
      <c r="D44" s="114"/>
      <c r="E44" s="353"/>
    </row>
    <row r="45" spans="1:5" ht="12.75">
      <c r="A45" s="203" t="s">
        <v>118</v>
      </c>
      <c r="B45" s="186" t="s">
        <v>193</v>
      </c>
      <c r="C45" s="715"/>
      <c r="D45" s="114"/>
      <c r="E45" s="353"/>
    </row>
    <row r="46" spans="1:5" ht="12.75">
      <c r="A46" s="203" t="s">
        <v>184</v>
      </c>
      <c r="B46" s="186" t="s">
        <v>194</v>
      </c>
      <c r="C46" s="719"/>
      <c r="D46" s="117"/>
      <c r="E46" s="353"/>
    </row>
    <row r="47" spans="1:5" ht="12.75">
      <c r="A47" s="204" t="s">
        <v>185</v>
      </c>
      <c r="B47" s="187" t="s">
        <v>337</v>
      </c>
      <c r="C47" s="720"/>
      <c r="D47" s="173"/>
      <c r="E47" s="353">
        <v>135500</v>
      </c>
    </row>
    <row r="48" spans="1:5" ht="13.5" thickBot="1">
      <c r="A48" s="204" t="s">
        <v>336</v>
      </c>
      <c r="B48" s="187" t="s">
        <v>195</v>
      </c>
      <c r="C48" s="765"/>
      <c r="D48" s="173"/>
      <c r="E48" s="353">
        <v>1429850</v>
      </c>
    </row>
    <row r="49" spans="1:5" ht="13.5" thickBot="1">
      <c r="A49" s="25" t="s">
        <v>14</v>
      </c>
      <c r="B49" s="19" t="s">
        <v>196</v>
      </c>
      <c r="C49" s="713">
        <f>SUM(C50:C54)</f>
        <v>300000</v>
      </c>
      <c r="D49" s="269">
        <f>SUM(D50:D54)</f>
        <v>300000</v>
      </c>
      <c r="E49" s="269">
        <f>SUM(E50:E54)</f>
        <v>150000</v>
      </c>
    </row>
    <row r="50" spans="1:5" ht="12.75">
      <c r="A50" s="202" t="s">
        <v>57</v>
      </c>
      <c r="B50" s="185" t="s">
        <v>200</v>
      </c>
      <c r="C50" s="721"/>
      <c r="D50" s="217"/>
      <c r="E50" s="353"/>
    </row>
    <row r="51" spans="1:5" ht="12.75">
      <c r="A51" s="203" t="s">
        <v>58</v>
      </c>
      <c r="B51" s="186" t="s">
        <v>201</v>
      </c>
      <c r="C51" s="719"/>
      <c r="D51" s="117"/>
      <c r="E51" s="353"/>
    </row>
    <row r="52" spans="1:5" ht="12.75">
      <c r="A52" s="203" t="s">
        <v>197</v>
      </c>
      <c r="B52" s="186" t="s">
        <v>202</v>
      </c>
      <c r="C52" s="719">
        <v>300000</v>
      </c>
      <c r="D52" s="117">
        <v>300000</v>
      </c>
      <c r="E52" s="353">
        <v>150000</v>
      </c>
    </row>
    <row r="53" spans="1:5" ht="12.75">
      <c r="A53" s="203" t="s">
        <v>198</v>
      </c>
      <c r="B53" s="186" t="s">
        <v>203</v>
      </c>
      <c r="C53" s="719"/>
      <c r="D53" s="117"/>
      <c r="E53" s="353"/>
    </row>
    <row r="54" spans="1:5" ht="13.5" thickBot="1">
      <c r="A54" s="204" t="s">
        <v>199</v>
      </c>
      <c r="B54" s="187" t="s">
        <v>204</v>
      </c>
      <c r="C54" s="720"/>
      <c r="D54" s="173"/>
      <c r="E54" s="353"/>
    </row>
    <row r="55" spans="1:5" ht="13.5" thickBot="1">
      <c r="A55" s="25" t="s">
        <v>119</v>
      </c>
      <c r="B55" s="19" t="s">
        <v>205</v>
      </c>
      <c r="C55" s="713">
        <f>SUM(C56:C58)</f>
        <v>0</v>
      </c>
      <c r="D55" s="269">
        <f>SUM(D56:D58)</f>
        <v>0</v>
      </c>
      <c r="E55" s="269">
        <f>SUM(E56:E58)</f>
        <v>0</v>
      </c>
    </row>
    <row r="56" spans="1:5" ht="21">
      <c r="A56" s="202" t="s">
        <v>59</v>
      </c>
      <c r="B56" s="185" t="s">
        <v>206</v>
      </c>
      <c r="C56" s="714"/>
      <c r="D56" s="115"/>
      <c r="E56" s="353"/>
    </row>
    <row r="57" spans="1:5" ht="21">
      <c r="A57" s="203" t="s">
        <v>60</v>
      </c>
      <c r="B57" s="186" t="s">
        <v>329</v>
      </c>
      <c r="C57" s="715"/>
      <c r="D57" s="114"/>
      <c r="E57" s="353"/>
    </row>
    <row r="58" spans="1:5" ht="12.75">
      <c r="A58" s="203" t="s">
        <v>209</v>
      </c>
      <c r="B58" s="186" t="s">
        <v>207</v>
      </c>
      <c r="C58" s="715"/>
      <c r="D58" s="114"/>
      <c r="E58" s="353"/>
    </row>
    <row r="59" spans="1:5" ht="13.5" thickBot="1">
      <c r="A59" s="204" t="s">
        <v>210</v>
      </c>
      <c r="B59" s="187" t="s">
        <v>208</v>
      </c>
      <c r="C59" s="716"/>
      <c r="D59" s="116"/>
      <c r="E59" s="353"/>
    </row>
    <row r="60" spans="1:5" ht="13.5" thickBot="1">
      <c r="A60" s="25" t="s">
        <v>16</v>
      </c>
      <c r="B60" s="107" t="s">
        <v>211</v>
      </c>
      <c r="C60" s="713">
        <f>SUM(C61:C63)</f>
        <v>0</v>
      </c>
      <c r="D60" s="269">
        <f>SUM(D61:D63)</f>
        <v>0</v>
      </c>
      <c r="E60" s="269">
        <f>SUM(E61:E63)</f>
        <v>0</v>
      </c>
    </row>
    <row r="61" spans="1:5" ht="21">
      <c r="A61" s="202" t="s">
        <v>120</v>
      </c>
      <c r="B61" s="185" t="s">
        <v>213</v>
      </c>
      <c r="C61" s="719"/>
      <c r="D61" s="117"/>
      <c r="E61" s="353"/>
    </row>
    <row r="62" spans="1:5" ht="21">
      <c r="A62" s="203" t="s">
        <v>121</v>
      </c>
      <c r="B62" s="186" t="s">
        <v>330</v>
      </c>
      <c r="C62" s="719"/>
      <c r="D62" s="117"/>
      <c r="E62" s="353"/>
    </row>
    <row r="63" spans="1:5" ht="12.75">
      <c r="A63" s="203" t="s">
        <v>142</v>
      </c>
      <c r="B63" s="186" t="s">
        <v>214</v>
      </c>
      <c r="C63" s="719"/>
      <c r="D63" s="117"/>
      <c r="E63" s="353"/>
    </row>
    <row r="64" spans="1:5" ht="13.5" thickBot="1">
      <c r="A64" s="204" t="s">
        <v>212</v>
      </c>
      <c r="B64" s="187" t="s">
        <v>215</v>
      </c>
      <c r="C64" s="719"/>
      <c r="D64" s="117"/>
      <c r="E64" s="353"/>
    </row>
    <row r="65" spans="1:5" ht="13.5" thickBot="1">
      <c r="A65" s="25" t="s">
        <v>17</v>
      </c>
      <c r="B65" s="19" t="s">
        <v>216</v>
      </c>
      <c r="C65" s="718">
        <f>+C8+C15+C22+C29+C37+C49+C55+C60</f>
        <v>203228796</v>
      </c>
      <c r="D65" s="269">
        <f>+D8+D15+D22+D29+D37+D49+D55+D60</f>
        <v>287063895</v>
      </c>
      <c r="E65" s="269">
        <f>+E8+E15+E22+E29+E37+E49+E55+E60</f>
        <v>243189847</v>
      </c>
    </row>
    <row r="66" spans="1:5" ht="21" thickBot="1">
      <c r="A66" s="354" t="s">
        <v>438</v>
      </c>
      <c r="B66" s="107" t="s">
        <v>218</v>
      </c>
      <c r="C66" s="713">
        <f>SUM(C67:C69)</f>
        <v>0</v>
      </c>
      <c r="D66" s="269">
        <f>SUM(D67:D69)</f>
        <v>0</v>
      </c>
      <c r="E66" s="269">
        <f>SUM(E67:E69)</f>
        <v>0</v>
      </c>
    </row>
    <row r="67" spans="1:5" ht="12.75">
      <c r="A67" s="202" t="s">
        <v>248</v>
      </c>
      <c r="B67" s="185" t="s">
        <v>219</v>
      </c>
      <c r="C67" s="719"/>
      <c r="D67" s="117"/>
      <c r="E67" s="353"/>
    </row>
    <row r="68" spans="1:5" ht="12.75">
      <c r="A68" s="203" t="s">
        <v>257</v>
      </c>
      <c r="B68" s="186" t="s">
        <v>220</v>
      </c>
      <c r="C68" s="719"/>
      <c r="D68" s="117"/>
      <c r="E68" s="353"/>
    </row>
    <row r="69" spans="1:5" ht="13.5" thickBot="1">
      <c r="A69" s="204" t="s">
        <v>258</v>
      </c>
      <c r="B69" s="355" t="s">
        <v>439</v>
      </c>
      <c r="C69" s="719"/>
      <c r="D69" s="117"/>
      <c r="E69" s="353"/>
    </row>
    <row r="70" spans="1:5" ht="13.5" thickBot="1">
      <c r="A70" s="354" t="s">
        <v>221</v>
      </c>
      <c r="B70" s="107" t="s">
        <v>222</v>
      </c>
      <c r="C70" s="713">
        <f>SUM(C71:C74)</f>
        <v>0</v>
      </c>
      <c r="D70" s="269">
        <f>SUM(D71:D74)</f>
        <v>0</v>
      </c>
      <c r="E70" s="269">
        <f>SUM(E71:E74)</f>
        <v>0</v>
      </c>
    </row>
    <row r="71" spans="1:5" ht="12.75">
      <c r="A71" s="202" t="s">
        <v>89</v>
      </c>
      <c r="B71" s="185" t="s">
        <v>223</v>
      </c>
      <c r="C71" s="719"/>
      <c r="D71" s="350"/>
      <c r="E71" s="353"/>
    </row>
    <row r="72" spans="1:5" ht="12.75">
      <c r="A72" s="203" t="s">
        <v>90</v>
      </c>
      <c r="B72" s="186" t="s">
        <v>224</v>
      </c>
      <c r="C72" s="719"/>
      <c r="D72" s="350"/>
      <c r="E72" s="353"/>
    </row>
    <row r="73" spans="1:5" ht="12.75">
      <c r="A73" s="203" t="s">
        <v>249</v>
      </c>
      <c r="B73" s="186" t="s">
        <v>225</v>
      </c>
      <c r="C73" s="719"/>
      <c r="D73" s="350"/>
      <c r="E73" s="353"/>
    </row>
    <row r="74" spans="1:5" ht="13.5" thickBot="1">
      <c r="A74" s="204" t="s">
        <v>250</v>
      </c>
      <c r="B74" s="187" t="s">
        <v>226</v>
      </c>
      <c r="C74" s="719"/>
      <c r="D74" s="350"/>
      <c r="E74" s="353"/>
    </row>
    <row r="75" spans="1:5" ht="13.5" thickBot="1">
      <c r="A75" s="354" t="s">
        <v>227</v>
      </c>
      <c r="B75" s="107" t="s">
        <v>228</v>
      </c>
      <c r="C75" s="713">
        <f>SUM(C76:C77)</f>
        <v>80167902</v>
      </c>
      <c r="D75" s="269">
        <f>SUM(D76:D77)</f>
        <v>80151992</v>
      </c>
      <c r="E75" s="269">
        <f>SUM(E76:E77)</f>
        <v>80151992</v>
      </c>
    </row>
    <row r="76" spans="1:5" ht="12.75">
      <c r="A76" s="202" t="s">
        <v>251</v>
      </c>
      <c r="B76" s="185" t="s">
        <v>229</v>
      </c>
      <c r="C76" s="719">
        <v>80167902</v>
      </c>
      <c r="D76" s="117">
        <v>80151992</v>
      </c>
      <c r="E76" s="353">
        <v>80151992</v>
      </c>
    </row>
    <row r="77" spans="1:5" ht="13.5" thickBot="1">
      <c r="A77" s="204" t="s">
        <v>252</v>
      </c>
      <c r="B77" s="187" t="s">
        <v>230</v>
      </c>
      <c r="C77" s="719"/>
      <c r="D77" s="117"/>
      <c r="E77" s="353"/>
    </row>
    <row r="78" spans="1:5" ht="13.5" thickBot="1">
      <c r="A78" s="354" t="s">
        <v>231</v>
      </c>
      <c r="B78" s="107" t="s">
        <v>232</v>
      </c>
      <c r="C78" s="713">
        <f>SUM(C79:C81)</f>
        <v>0</v>
      </c>
      <c r="D78" s="269">
        <f>SUM(D79:D81)</f>
        <v>0</v>
      </c>
      <c r="E78" s="269">
        <f>SUM(E79:E81)</f>
        <v>3140241</v>
      </c>
    </row>
    <row r="79" spans="1:5" ht="12.75">
      <c r="A79" s="202" t="s">
        <v>253</v>
      </c>
      <c r="B79" s="185" t="s">
        <v>233</v>
      </c>
      <c r="C79" s="719"/>
      <c r="D79" s="117"/>
      <c r="E79" s="353">
        <v>3140241</v>
      </c>
    </row>
    <row r="80" spans="1:5" ht="12.75">
      <c r="A80" s="203" t="s">
        <v>254</v>
      </c>
      <c r="B80" s="186" t="s">
        <v>234</v>
      </c>
      <c r="C80" s="719"/>
      <c r="D80" s="350"/>
      <c r="E80" s="353"/>
    </row>
    <row r="81" spans="1:5" ht="13.5" thickBot="1">
      <c r="A81" s="204" t="s">
        <v>255</v>
      </c>
      <c r="B81" s="187" t="s">
        <v>235</v>
      </c>
      <c r="C81" s="719"/>
      <c r="D81" s="350"/>
      <c r="E81" s="353"/>
    </row>
    <row r="82" spans="1:5" ht="13.5" thickBot="1">
      <c r="A82" s="354" t="s">
        <v>236</v>
      </c>
      <c r="B82" s="107" t="s">
        <v>256</v>
      </c>
      <c r="C82" s="713">
        <f>SUM(C83:C86)</f>
        <v>0</v>
      </c>
      <c r="D82" s="269">
        <f>SUM(D83:D86)</f>
        <v>0</v>
      </c>
      <c r="E82" s="269">
        <f>SUM(E83:E86)</f>
        <v>0</v>
      </c>
    </row>
    <row r="83" spans="1:5" ht="12.75">
      <c r="A83" s="356" t="s">
        <v>237</v>
      </c>
      <c r="B83" s="185" t="s">
        <v>238</v>
      </c>
      <c r="C83" s="719"/>
      <c r="D83" s="350"/>
      <c r="E83" s="353"/>
    </row>
    <row r="84" spans="1:5" ht="12.75">
      <c r="A84" s="357" t="s">
        <v>239</v>
      </c>
      <c r="B84" s="186" t="s">
        <v>240</v>
      </c>
      <c r="C84" s="719"/>
      <c r="D84" s="350"/>
      <c r="E84" s="353"/>
    </row>
    <row r="85" spans="1:5" ht="12.75">
      <c r="A85" s="357" t="s">
        <v>241</v>
      </c>
      <c r="B85" s="186" t="s">
        <v>242</v>
      </c>
      <c r="C85" s="719"/>
      <c r="D85" s="350"/>
      <c r="E85" s="353"/>
    </row>
    <row r="86" spans="1:5" ht="13.5" thickBot="1">
      <c r="A86" s="358" t="s">
        <v>243</v>
      </c>
      <c r="B86" s="187" t="s">
        <v>244</v>
      </c>
      <c r="C86" s="719"/>
      <c r="D86" s="359"/>
      <c r="E86" s="360"/>
    </row>
    <row r="87" spans="1:5" ht="13.5" thickBot="1">
      <c r="A87" s="354" t="s">
        <v>245</v>
      </c>
      <c r="B87" s="107" t="s">
        <v>376</v>
      </c>
      <c r="C87" s="724"/>
      <c r="D87" s="361"/>
      <c r="E87" s="362"/>
    </row>
    <row r="88" spans="1:5" ht="21" thickBot="1">
      <c r="A88" s="354" t="s">
        <v>440</v>
      </c>
      <c r="B88" s="107" t="s">
        <v>246</v>
      </c>
      <c r="C88" s="724"/>
      <c r="D88" s="363"/>
      <c r="E88" s="364"/>
    </row>
    <row r="89" spans="1:5" ht="21.75" thickBot="1">
      <c r="A89" s="354" t="s">
        <v>441</v>
      </c>
      <c r="B89" s="191" t="s">
        <v>379</v>
      </c>
      <c r="C89" s="718">
        <f>+C66+C70+C75+C78+C82+C88+C87</f>
        <v>80167902</v>
      </c>
      <c r="D89" s="269">
        <f>+D66+D70+D75+D78+D82+D88+D87</f>
        <v>80151992</v>
      </c>
      <c r="E89" s="269">
        <f>+E66+E70+E75+E78+E82+E88+E87</f>
        <v>83292233</v>
      </c>
    </row>
    <row r="90" spans="1:5" ht="13.5" thickBot="1">
      <c r="A90" s="365" t="s">
        <v>442</v>
      </c>
      <c r="B90" s="192" t="s">
        <v>443</v>
      </c>
      <c r="C90" s="718">
        <f>+C65+C89</f>
        <v>283396698</v>
      </c>
      <c r="D90" s="269">
        <f>+D65+D89</f>
        <v>367215887</v>
      </c>
      <c r="E90" s="269">
        <f>+E65+E89</f>
        <v>326482080</v>
      </c>
    </row>
    <row r="91" spans="1:5" ht="14.25" thickBot="1">
      <c r="A91" s="96"/>
      <c r="B91" s="97"/>
      <c r="C91" s="156"/>
      <c r="D91" s="352"/>
      <c r="E91" s="352"/>
    </row>
    <row r="92" spans="1:5" ht="13.5" thickBot="1">
      <c r="A92" s="851" t="s">
        <v>45</v>
      </c>
      <c r="B92" s="852"/>
      <c r="C92" s="852"/>
      <c r="D92" s="852"/>
      <c r="E92" s="853"/>
    </row>
    <row r="93" spans="1:5" ht="13.5" thickBot="1">
      <c r="A93" s="177" t="s">
        <v>9</v>
      </c>
      <c r="B93" s="24" t="s">
        <v>444</v>
      </c>
      <c r="C93" s="270">
        <f>+C94+C95+C96+C97+C98+C111</f>
        <v>159375428</v>
      </c>
      <c r="D93" s="271">
        <f>+D94+D95+D96+D97+D98+D111</f>
        <v>189056169</v>
      </c>
      <c r="E93" s="271">
        <f>+E94+E95+E96+E97+E98+E111</f>
        <v>165425306</v>
      </c>
    </row>
    <row r="94" spans="1:5" ht="12.75">
      <c r="A94" s="367" t="s">
        <v>61</v>
      </c>
      <c r="B94" s="8" t="s">
        <v>39</v>
      </c>
      <c r="C94" s="726">
        <v>60675191</v>
      </c>
      <c r="D94" s="113">
        <v>89697636</v>
      </c>
      <c r="E94" s="353">
        <v>84466230</v>
      </c>
    </row>
    <row r="95" spans="1:5" ht="12.75">
      <c r="A95" s="203" t="s">
        <v>62</v>
      </c>
      <c r="B95" s="6" t="s">
        <v>122</v>
      </c>
      <c r="C95" s="715">
        <v>9203593</v>
      </c>
      <c r="D95" s="114">
        <v>13437626</v>
      </c>
      <c r="E95" s="353">
        <v>11006158</v>
      </c>
    </row>
    <row r="96" spans="1:5" ht="12.75">
      <c r="A96" s="203" t="s">
        <v>63</v>
      </c>
      <c r="B96" s="6" t="s">
        <v>87</v>
      </c>
      <c r="C96" s="716">
        <v>49963951</v>
      </c>
      <c r="D96" s="116">
        <v>55096044</v>
      </c>
      <c r="E96" s="353">
        <v>40025674</v>
      </c>
    </row>
    <row r="97" spans="1:5" ht="12.75">
      <c r="A97" s="203" t="s">
        <v>64</v>
      </c>
      <c r="B97" s="9" t="s">
        <v>123</v>
      </c>
      <c r="C97" s="716">
        <v>20700000</v>
      </c>
      <c r="D97" s="116">
        <v>23959653</v>
      </c>
      <c r="E97" s="353">
        <v>23609653</v>
      </c>
    </row>
    <row r="98" spans="1:5" ht="12.75">
      <c r="A98" s="203" t="s">
        <v>72</v>
      </c>
      <c r="B98" s="17" t="s">
        <v>124</v>
      </c>
      <c r="C98" s="716">
        <v>18832693</v>
      </c>
      <c r="D98" s="116">
        <v>6865210</v>
      </c>
      <c r="E98" s="353">
        <v>6317591</v>
      </c>
    </row>
    <row r="99" spans="1:5" ht="12.75">
      <c r="A99" s="203" t="s">
        <v>65</v>
      </c>
      <c r="B99" s="6" t="s">
        <v>445</v>
      </c>
      <c r="C99" s="716"/>
      <c r="D99" s="116"/>
      <c r="E99" s="353"/>
    </row>
    <row r="100" spans="1:5" ht="12.75">
      <c r="A100" s="203" t="s">
        <v>66</v>
      </c>
      <c r="B100" s="67" t="s">
        <v>342</v>
      </c>
      <c r="C100" s="716"/>
      <c r="D100" s="116"/>
      <c r="E100" s="353"/>
    </row>
    <row r="101" spans="1:5" ht="12.75">
      <c r="A101" s="203" t="s">
        <v>73</v>
      </c>
      <c r="B101" s="67" t="s">
        <v>341</v>
      </c>
      <c r="C101" s="716"/>
      <c r="D101" s="116"/>
      <c r="E101" s="353"/>
    </row>
    <row r="102" spans="1:5" ht="12.75">
      <c r="A102" s="203" t="s">
        <v>74</v>
      </c>
      <c r="B102" s="67" t="s">
        <v>262</v>
      </c>
      <c r="C102" s="716"/>
      <c r="D102" s="116"/>
      <c r="E102" s="353"/>
    </row>
    <row r="103" spans="1:5" ht="21">
      <c r="A103" s="203" t="s">
        <v>75</v>
      </c>
      <c r="B103" s="68" t="s">
        <v>263</v>
      </c>
      <c r="C103" s="716"/>
      <c r="D103" s="116"/>
      <c r="E103" s="353"/>
    </row>
    <row r="104" spans="1:5" ht="21">
      <c r="A104" s="203" t="s">
        <v>76</v>
      </c>
      <c r="B104" s="68" t="s">
        <v>264</v>
      </c>
      <c r="C104" s="716"/>
      <c r="D104" s="116"/>
      <c r="E104" s="353"/>
    </row>
    <row r="105" spans="1:5" ht="12.75">
      <c r="A105" s="203" t="s">
        <v>78</v>
      </c>
      <c r="B105" s="67" t="s">
        <v>265</v>
      </c>
      <c r="C105" s="716">
        <v>16981953</v>
      </c>
      <c r="D105" s="116">
        <v>5780470</v>
      </c>
      <c r="E105" s="353">
        <v>5265641</v>
      </c>
    </row>
    <row r="106" spans="1:5" ht="12.75">
      <c r="A106" s="203" t="s">
        <v>125</v>
      </c>
      <c r="B106" s="67" t="s">
        <v>266</v>
      </c>
      <c r="C106" s="716"/>
      <c r="D106" s="116"/>
      <c r="E106" s="353"/>
    </row>
    <row r="107" spans="1:5" ht="21">
      <c r="A107" s="203" t="s">
        <v>260</v>
      </c>
      <c r="B107" s="68" t="s">
        <v>267</v>
      </c>
      <c r="C107" s="716"/>
      <c r="D107" s="116"/>
      <c r="E107" s="353"/>
    </row>
    <row r="108" spans="1:5" ht="12.75">
      <c r="A108" s="368" t="s">
        <v>261</v>
      </c>
      <c r="B108" s="69" t="s">
        <v>268</v>
      </c>
      <c r="C108" s="716"/>
      <c r="D108" s="116"/>
      <c r="E108" s="353"/>
    </row>
    <row r="109" spans="1:5" ht="12.75">
      <c r="A109" s="203" t="s">
        <v>339</v>
      </c>
      <c r="B109" s="69" t="s">
        <v>269</v>
      </c>
      <c r="C109" s="716"/>
      <c r="D109" s="116"/>
      <c r="E109" s="353"/>
    </row>
    <row r="110" spans="1:5" ht="21">
      <c r="A110" s="203" t="s">
        <v>340</v>
      </c>
      <c r="B110" s="68" t="s">
        <v>270</v>
      </c>
      <c r="C110" s="715">
        <v>1850740</v>
      </c>
      <c r="D110" s="114">
        <v>1084740</v>
      </c>
      <c r="E110" s="353">
        <v>1051950</v>
      </c>
    </row>
    <row r="111" spans="1:5" ht="12.75">
      <c r="A111" s="203" t="s">
        <v>344</v>
      </c>
      <c r="B111" s="9" t="s">
        <v>40</v>
      </c>
      <c r="C111" s="715"/>
      <c r="D111" s="114"/>
      <c r="E111" s="369"/>
    </row>
    <row r="112" spans="1:5" ht="12.75">
      <c r="A112" s="204" t="s">
        <v>345</v>
      </c>
      <c r="B112" s="6" t="s">
        <v>446</v>
      </c>
      <c r="C112" s="716"/>
      <c r="D112" s="116"/>
      <c r="E112" s="353"/>
    </row>
    <row r="113" spans="1:5" ht="13.5" thickBot="1">
      <c r="A113" s="370" t="s">
        <v>346</v>
      </c>
      <c r="B113" s="371" t="s">
        <v>447</v>
      </c>
      <c r="C113" s="727"/>
      <c r="D113" s="120"/>
      <c r="E113" s="353"/>
    </row>
    <row r="114" spans="1:5" ht="13.5" thickBot="1">
      <c r="A114" s="25" t="s">
        <v>10</v>
      </c>
      <c r="B114" s="23" t="s">
        <v>271</v>
      </c>
      <c r="C114" s="713">
        <f>+C115+C117+C119</f>
        <v>104633831</v>
      </c>
      <c r="D114" s="268">
        <f>+D115+D117+D119</f>
        <v>152176713</v>
      </c>
      <c r="E114" s="268">
        <f>+E115+E117+E119</f>
        <v>121989997</v>
      </c>
    </row>
    <row r="115" spans="1:5" ht="12.75">
      <c r="A115" s="202" t="s">
        <v>67</v>
      </c>
      <c r="B115" s="6" t="s">
        <v>141</v>
      </c>
      <c r="C115" s="714">
        <v>9275851</v>
      </c>
      <c r="D115" s="115">
        <v>16445078</v>
      </c>
      <c r="E115" s="353">
        <v>9195695</v>
      </c>
    </row>
    <row r="116" spans="1:5" ht="12.75">
      <c r="A116" s="202" t="s">
        <v>68</v>
      </c>
      <c r="B116" s="10" t="s">
        <v>275</v>
      </c>
      <c r="C116" s="714">
        <v>7353300</v>
      </c>
      <c r="D116" s="115">
        <v>7486650</v>
      </c>
      <c r="E116" s="353">
        <v>7486650</v>
      </c>
    </row>
    <row r="117" spans="1:5" ht="12.75">
      <c r="A117" s="202" t="s">
        <v>69</v>
      </c>
      <c r="B117" s="10" t="s">
        <v>126</v>
      </c>
      <c r="C117" s="715">
        <v>95057980</v>
      </c>
      <c r="D117" s="114">
        <v>135431635</v>
      </c>
      <c r="E117" s="353">
        <v>112694302</v>
      </c>
    </row>
    <row r="118" spans="1:5" ht="12.75">
      <c r="A118" s="202" t="s">
        <v>70</v>
      </c>
      <c r="B118" s="10" t="s">
        <v>276</v>
      </c>
      <c r="C118" s="715">
        <v>95057980</v>
      </c>
      <c r="D118" s="715">
        <v>95057980</v>
      </c>
      <c r="E118" s="105">
        <v>95047243</v>
      </c>
    </row>
    <row r="119" spans="1:5" ht="12.75">
      <c r="A119" s="202" t="s">
        <v>71</v>
      </c>
      <c r="B119" s="109" t="s">
        <v>143</v>
      </c>
      <c r="C119" s="729">
        <v>300000</v>
      </c>
      <c r="D119" s="105">
        <v>300000</v>
      </c>
      <c r="E119" s="353">
        <v>100000</v>
      </c>
    </row>
    <row r="120" spans="1:5" ht="21">
      <c r="A120" s="202" t="s">
        <v>77</v>
      </c>
      <c r="B120" s="108" t="s">
        <v>331</v>
      </c>
      <c r="C120" s="729"/>
      <c r="D120" s="105"/>
      <c r="E120" s="353"/>
    </row>
    <row r="121" spans="1:5" ht="21">
      <c r="A121" s="202" t="s">
        <v>79</v>
      </c>
      <c r="B121" s="181" t="s">
        <v>281</v>
      </c>
      <c r="C121" s="729"/>
      <c r="D121" s="105"/>
      <c r="E121" s="353"/>
    </row>
    <row r="122" spans="1:5" ht="21">
      <c r="A122" s="202" t="s">
        <v>127</v>
      </c>
      <c r="B122" s="68" t="s">
        <v>264</v>
      </c>
      <c r="C122" s="729"/>
      <c r="D122" s="105"/>
      <c r="E122" s="353"/>
    </row>
    <row r="123" spans="1:5" ht="12.75">
      <c r="A123" s="202" t="s">
        <v>128</v>
      </c>
      <c r="B123" s="68" t="s">
        <v>280</v>
      </c>
      <c r="C123" s="729"/>
      <c r="D123" s="105"/>
      <c r="E123" s="353"/>
    </row>
    <row r="124" spans="1:5" ht="21">
      <c r="A124" s="202" t="s">
        <v>129</v>
      </c>
      <c r="B124" s="68" t="s">
        <v>279</v>
      </c>
      <c r="C124" s="729"/>
      <c r="D124" s="105"/>
      <c r="E124" s="353"/>
    </row>
    <row r="125" spans="1:5" ht="21">
      <c r="A125" s="202" t="s">
        <v>272</v>
      </c>
      <c r="B125" s="68" t="s">
        <v>267</v>
      </c>
      <c r="C125" s="729"/>
      <c r="D125" s="105"/>
      <c r="E125" s="353"/>
    </row>
    <row r="126" spans="1:5" ht="12.75">
      <c r="A126" s="202" t="s">
        <v>273</v>
      </c>
      <c r="B126" s="68" t="s">
        <v>278</v>
      </c>
      <c r="C126" s="729">
        <v>300000</v>
      </c>
      <c r="D126" s="105">
        <v>300000</v>
      </c>
      <c r="E126" s="353">
        <v>100000</v>
      </c>
    </row>
    <row r="127" spans="1:5" ht="21" thickBot="1">
      <c r="A127" s="368" t="s">
        <v>274</v>
      </c>
      <c r="B127" s="68" t="s">
        <v>277</v>
      </c>
      <c r="C127" s="730"/>
      <c r="D127" s="106"/>
      <c r="E127" s="353"/>
    </row>
    <row r="128" spans="1:5" ht="13.5" thickBot="1">
      <c r="A128" s="25" t="s">
        <v>11</v>
      </c>
      <c r="B128" s="56" t="s">
        <v>349</v>
      </c>
      <c r="C128" s="713">
        <f>+C93+C114</f>
        <v>264009259</v>
      </c>
      <c r="D128" s="268">
        <f>+D93+D114</f>
        <v>341232882</v>
      </c>
      <c r="E128" s="268">
        <f>+E93+E114</f>
        <v>287415303</v>
      </c>
    </row>
    <row r="129" spans="1:5" ht="21" thickBot="1">
      <c r="A129" s="25" t="s">
        <v>12</v>
      </c>
      <c r="B129" s="56" t="s">
        <v>350</v>
      </c>
      <c r="C129" s="713">
        <f>+C130+C131+C132</f>
        <v>0</v>
      </c>
      <c r="D129" s="268">
        <f>+D130+D131+D132</f>
        <v>0</v>
      </c>
      <c r="E129" s="268">
        <f>+E130+E131+E132</f>
        <v>0</v>
      </c>
    </row>
    <row r="130" spans="1:5" ht="12.75">
      <c r="A130" s="202" t="s">
        <v>177</v>
      </c>
      <c r="B130" s="7" t="s">
        <v>448</v>
      </c>
      <c r="C130" s="729"/>
      <c r="D130" s="105"/>
      <c r="E130" s="353"/>
    </row>
    <row r="131" spans="1:5" ht="21">
      <c r="A131" s="202" t="s">
        <v>178</v>
      </c>
      <c r="B131" s="7" t="s">
        <v>358</v>
      </c>
      <c r="C131" s="729"/>
      <c r="D131" s="105"/>
      <c r="E131" s="353"/>
    </row>
    <row r="132" spans="1:5" ht="13.5" thickBot="1">
      <c r="A132" s="368" t="s">
        <v>179</v>
      </c>
      <c r="B132" s="5" t="s">
        <v>449</v>
      </c>
      <c r="C132" s="729"/>
      <c r="D132" s="105"/>
      <c r="E132" s="353"/>
    </row>
    <row r="133" spans="1:5" ht="13.5" thickBot="1">
      <c r="A133" s="25" t="s">
        <v>13</v>
      </c>
      <c r="B133" s="56" t="s">
        <v>351</v>
      </c>
      <c r="C133" s="713">
        <f>+C134+C135+C136+C137+C138+C139</f>
        <v>0</v>
      </c>
      <c r="D133" s="112">
        <f>+D134+D135+D136+D137+D138+D139</f>
        <v>0</v>
      </c>
      <c r="E133" s="268">
        <f>+E134+E135+E136+E137+E138+E139</f>
        <v>0</v>
      </c>
    </row>
    <row r="134" spans="1:5" ht="12.75">
      <c r="A134" s="202" t="s">
        <v>54</v>
      </c>
      <c r="B134" s="7" t="s">
        <v>360</v>
      </c>
      <c r="C134" s="729"/>
      <c r="D134" s="105"/>
      <c r="E134" s="353"/>
    </row>
    <row r="135" spans="1:5" ht="12.75">
      <c r="A135" s="202" t="s">
        <v>55</v>
      </c>
      <c r="B135" s="7" t="s">
        <v>352</v>
      </c>
      <c r="C135" s="729"/>
      <c r="D135" s="105"/>
      <c r="E135" s="353"/>
    </row>
    <row r="136" spans="1:5" ht="12.75">
      <c r="A136" s="202" t="s">
        <v>56</v>
      </c>
      <c r="B136" s="7" t="s">
        <v>353</v>
      </c>
      <c r="C136" s="729"/>
      <c r="D136" s="105"/>
      <c r="E136" s="353"/>
    </row>
    <row r="137" spans="1:5" ht="12.75">
      <c r="A137" s="202" t="s">
        <v>114</v>
      </c>
      <c r="B137" s="7" t="s">
        <v>450</v>
      </c>
      <c r="C137" s="729"/>
      <c r="D137" s="105"/>
      <c r="E137" s="353"/>
    </row>
    <row r="138" spans="1:5" ht="12.75">
      <c r="A138" s="202" t="s">
        <v>115</v>
      </c>
      <c r="B138" s="7" t="s">
        <v>355</v>
      </c>
      <c r="C138" s="729"/>
      <c r="D138" s="105"/>
      <c r="E138" s="353"/>
    </row>
    <row r="139" spans="1:5" ht="13.5" thickBot="1">
      <c r="A139" s="368" t="s">
        <v>116</v>
      </c>
      <c r="B139" s="5" t="s">
        <v>356</v>
      </c>
      <c r="C139" s="729"/>
      <c r="D139" s="105"/>
      <c r="E139" s="372"/>
    </row>
    <row r="140" spans="1:5" ht="13.5" thickBot="1">
      <c r="A140" s="25" t="s">
        <v>14</v>
      </c>
      <c r="B140" s="56" t="s">
        <v>451</v>
      </c>
      <c r="C140" s="718">
        <f>+C141+C142+C144+C145+C143</f>
        <v>19387439</v>
      </c>
      <c r="D140" s="269">
        <f>+D141+D142+D144+D145+D143</f>
        <v>25983005</v>
      </c>
      <c r="E140" s="269">
        <f>+E141+E142+E144+E145+E143</f>
        <v>19037243</v>
      </c>
    </row>
    <row r="141" spans="1:5" ht="12.75">
      <c r="A141" s="202" t="s">
        <v>57</v>
      </c>
      <c r="B141" s="7" t="s">
        <v>282</v>
      </c>
      <c r="C141" s="729"/>
      <c r="D141" s="105"/>
      <c r="E141" s="353"/>
    </row>
    <row r="142" spans="1:5" ht="12.75">
      <c r="A142" s="202" t="s">
        <v>58</v>
      </c>
      <c r="B142" s="7" t="s">
        <v>283</v>
      </c>
      <c r="C142" s="729">
        <v>2116241</v>
      </c>
      <c r="D142" s="105">
        <v>2116241</v>
      </c>
      <c r="E142" s="353">
        <v>2116241</v>
      </c>
    </row>
    <row r="143" spans="1:5" ht="12.75">
      <c r="A143" s="202" t="s">
        <v>197</v>
      </c>
      <c r="B143" s="7" t="s">
        <v>452</v>
      </c>
      <c r="C143" s="729">
        <v>17271198</v>
      </c>
      <c r="D143" s="105">
        <v>23866764</v>
      </c>
      <c r="E143" s="353">
        <v>16921002</v>
      </c>
    </row>
    <row r="144" spans="1:5" ht="12.75">
      <c r="A144" s="202" t="s">
        <v>198</v>
      </c>
      <c r="B144" s="7" t="s">
        <v>365</v>
      </c>
      <c r="C144" s="729"/>
      <c r="D144" s="105"/>
      <c r="E144" s="372"/>
    </row>
    <row r="145" spans="1:5" ht="13.5" thickBot="1">
      <c r="A145" s="368" t="s">
        <v>199</v>
      </c>
      <c r="B145" s="5" t="s">
        <v>300</v>
      </c>
      <c r="C145" s="729"/>
      <c r="D145" s="105"/>
      <c r="E145" s="353"/>
    </row>
    <row r="146" spans="1:5" ht="13.5" thickBot="1">
      <c r="A146" s="25" t="s">
        <v>15</v>
      </c>
      <c r="B146" s="56" t="s">
        <v>366</v>
      </c>
      <c r="C146" s="732">
        <f>+C147+C148+C149+C150+C151</f>
        <v>0</v>
      </c>
      <c r="D146" s="272">
        <f>+D147+D148+D149+D150+D151</f>
        <v>0</v>
      </c>
      <c r="E146" s="272">
        <f>+E147+E148+E149+E150+E151</f>
        <v>0</v>
      </c>
    </row>
    <row r="147" spans="1:5" ht="12.75">
      <c r="A147" s="202" t="s">
        <v>59</v>
      </c>
      <c r="B147" s="7" t="s">
        <v>361</v>
      </c>
      <c r="C147" s="729"/>
      <c r="D147" s="374"/>
      <c r="E147" s="372"/>
    </row>
    <row r="148" spans="1:5" ht="12.75">
      <c r="A148" s="202" t="s">
        <v>60</v>
      </c>
      <c r="B148" s="7" t="s">
        <v>368</v>
      </c>
      <c r="C148" s="729"/>
      <c r="D148" s="374"/>
      <c r="E148" s="372"/>
    </row>
    <row r="149" spans="1:5" ht="12.75">
      <c r="A149" s="202" t="s">
        <v>209</v>
      </c>
      <c r="B149" s="7" t="s">
        <v>363</v>
      </c>
      <c r="C149" s="729"/>
      <c r="D149" s="374"/>
      <c r="E149" s="372"/>
    </row>
    <row r="150" spans="1:5" ht="21">
      <c r="A150" s="202" t="s">
        <v>210</v>
      </c>
      <c r="B150" s="7" t="s">
        <v>453</v>
      </c>
      <c r="C150" s="729"/>
      <c r="D150" s="374"/>
      <c r="E150" s="372"/>
    </row>
    <row r="151" spans="1:5" ht="13.5" thickBot="1">
      <c r="A151" s="368" t="s">
        <v>367</v>
      </c>
      <c r="B151" s="5" t="s">
        <v>370</v>
      </c>
      <c r="C151" s="730"/>
      <c r="D151" s="359"/>
      <c r="E151" s="360"/>
    </row>
    <row r="152" spans="1:5" ht="13.5" thickBot="1">
      <c r="A152" s="375" t="s">
        <v>16</v>
      </c>
      <c r="B152" s="56" t="s">
        <v>371</v>
      </c>
      <c r="C152" s="732"/>
      <c r="D152" s="361"/>
      <c r="E152" s="362"/>
    </row>
    <row r="153" spans="1:5" ht="13.5" thickBot="1">
      <c r="A153" s="375" t="s">
        <v>17</v>
      </c>
      <c r="B153" s="56" t="s">
        <v>372</v>
      </c>
      <c r="C153" s="732"/>
      <c r="D153" s="363"/>
      <c r="E153" s="364"/>
    </row>
    <row r="154" spans="1:5" ht="13.5" thickBot="1">
      <c r="A154" s="25" t="s">
        <v>18</v>
      </c>
      <c r="B154" s="56" t="s">
        <v>374</v>
      </c>
      <c r="C154" s="763">
        <f>+C129+C133+C140+C146+C152+C153</f>
        <v>19387439</v>
      </c>
      <c r="D154" s="273">
        <f>+D129+D133+D140+D146+D152+D153</f>
        <v>25983005</v>
      </c>
      <c r="E154" s="273">
        <f>+E129+E133+E140+E146+E152+E153</f>
        <v>19037243</v>
      </c>
    </row>
    <row r="155" spans="1:5" ht="13.5" thickBot="1">
      <c r="A155" s="376" t="s">
        <v>19</v>
      </c>
      <c r="B155" s="166" t="s">
        <v>373</v>
      </c>
      <c r="C155" s="763">
        <f>+C128+C154</f>
        <v>283396698</v>
      </c>
      <c r="D155" s="273">
        <f>+D128+D154</f>
        <v>367215887</v>
      </c>
      <c r="E155" s="273">
        <f>+E128+E154</f>
        <v>306452546</v>
      </c>
    </row>
    <row r="156" spans="1:5" ht="13.5" thickBot="1">
      <c r="A156" s="377"/>
      <c r="B156" s="378"/>
      <c r="C156" s="379"/>
      <c r="D156" s="2"/>
      <c r="E156" s="2"/>
    </row>
    <row r="157" spans="1:5" ht="13.5" thickBot="1">
      <c r="A157" s="103" t="s">
        <v>402</v>
      </c>
      <c r="B157" s="104"/>
      <c r="C157" s="380">
        <v>58</v>
      </c>
      <c r="D157" s="380">
        <v>58</v>
      </c>
      <c r="E157" s="381">
        <v>58</v>
      </c>
    </row>
    <row r="158" spans="1:5" ht="13.5" thickBot="1">
      <c r="A158" s="103" t="s">
        <v>138</v>
      </c>
      <c r="B158" s="104"/>
      <c r="C158" s="380">
        <v>46</v>
      </c>
      <c r="D158" s="380">
        <v>51</v>
      </c>
      <c r="E158" s="381">
        <v>51</v>
      </c>
    </row>
    <row r="159" spans="1:5" ht="13.5" thickBot="1">
      <c r="A159" s="854" t="s">
        <v>454</v>
      </c>
      <c r="B159" s="855"/>
      <c r="C159" s="805">
        <v>5</v>
      </c>
      <c r="D159" s="381">
        <v>5</v>
      </c>
      <c r="E159" s="381">
        <v>5</v>
      </c>
    </row>
  </sheetData>
  <sheetProtection/>
  <mergeCells count="6">
    <mergeCell ref="B1:C1"/>
    <mergeCell ref="C2:E2"/>
    <mergeCell ref="C3:E3"/>
    <mergeCell ref="A7:E7"/>
    <mergeCell ref="A92:E92"/>
    <mergeCell ref="A159:B15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9"/>
  <sheetViews>
    <sheetView zoomScalePageLayoutView="0" workbookViewId="0" topLeftCell="A58">
      <selection activeCell="H154" sqref="H154"/>
    </sheetView>
  </sheetViews>
  <sheetFormatPr defaultColWidth="9.00390625" defaultRowHeight="12.75"/>
  <cols>
    <col min="1" max="1" width="15.25390625" style="0" customWidth="1"/>
    <col min="2" max="2" width="54.375" style="0" customWidth="1"/>
    <col min="3" max="3" width="18.25390625" style="0" customWidth="1"/>
    <col min="4" max="4" width="19.375" style="0" customWidth="1"/>
    <col min="5" max="5" width="19.00390625" style="0" customWidth="1"/>
  </cols>
  <sheetData>
    <row r="1" spans="1:5" ht="15.75" thickBot="1">
      <c r="A1" s="89"/>
      <c r="B1" s="840" t="s">
        <v>804</v>
      </c>
      <c r="C1" s="841"/>
      <c r="D1" s="340"/>
      <c r="E1" s="340"/>
    </row>
    <row r="2" spans="1:5" ht="13.5" thickBot="1">
      <c r="A2" s="175" t="s">
        <v>47</v>
      </c>
      <c r="B2" s="258" t="s">
        <v>466</v>
      </c>
      <c r="C2" s="842" t="s">
        <v>42</v>
      </c>
      <c r="D2" s="843"/>
      <c r="E2" s="844"/>
    </row>
    <row r="3" spans="1:5" ht="13.5" thickBot="1">
      <c r="A3" s="342" t="s">
        <v>135</v>
      </c>
      <c r="B3" s="259" t="s">
        <v>795</v>
      </c>
      <c r="C3" s="845" t="s">
        <v>42</v>
      </c>
      <c r="D3" s="846"/>
      <c r="E3" s="847"/>
    </row>
    <row r="4" spans="1:5" ht="13.5" thickBot="1">
      <c r="A4" s="91"/>
      <c r="B4" s="91"/>
      <c r="C4" s="343" t="s">
        <v>426</v>
      </c>
      <c r="D4" s="344"/>
      <c r="E4" s="344"/>
    </row>
    <row r="5" spans="1:5" ht="28.5" customHeight="1" thickBot="1">
      <c r="A5" s="176" t="s">
        <v>137</v>
      </c>
      <c r="B5" s="92" t="s">
        <v>43</v>
      </c>
      <c r="C5" s="345" t="s">
        <v>792</v>
      </c>
      <c r="D5" s="346" t="s">
        <v>773</v>
      </c>
      <c r="E5" s="346" t="s">
        <v>774</v>
      </c>
    </row>
    <row r="6" spans="1:5" ht="13.5" thickBot="1">
      <c r="A6" s="79" t="s">
        <v>394</v>
      </c>
      <c r="B6" s="80" t="s">
        <v>395</v>
      </c>
      <c r="C6" s="81" t="s">
        <v>396</v>
      </c>
      <c r="D6" s="347" t="s">
        <v>398</v>
      </c>
      <c r="E6" s="348" t="s">
        <v>397</v>
      </c>
    </row>
    <row r="7" spans="1:5" ht="13.5" thickBot="1">
      <c r="A7" s="848" t="s">
        <v>44</v>
      </c>
      <c r="B7" s="849"/>
      <c r="C7" s="849"/>
      <c r="D7" s="849"/>
      <c r="E7" s="850"/>
    </row>
    <row r="8" spans="1:5" ht="13.5" thickBot="1">
      <c r="A8" s="25" t="s">
        <v>9</v>
      </c>
      <c r="B8" s="19" t="s">
        <v>162</v>
      </c>
      <c r="C8" s="269">
        <f>+C9+C10+C11+C12+C13+C14</f>
        <v>0</v>
      </c>
      <c r="D8" s="269">
        <f>+D9+D10+D11+D12+D13+D14</f>
        <v>801005</v>
      </c>
      <c r="E8" s="269">
        <f>+E9+E10+E11+E12+E13+E14</f>
        <v>801005</v>
      </c>
    </row>
    <row r="9" spans="1:5" ht="12.75">
      <c r="A9" s="202" t="s">
        <v>61</v>
      </c>
      <c r="B9" s="185" t="s">
        <v>163</v>
      </c>
      <c r="C9" s="714"/>
      <c r="D9" s="115"/>
      <c r="E9" s="115"/>
    </row>
    <row r="10" spans="1:5" ht="12.75">
      <c r="A10" s="203" t="s">
        <v>62</v>
      </c>
      <c r="B10" s="186" t="s">
        <v>164</v>
      </c>
      <c r="C10" s="715"/>
      <c r="D10" s="114"/>
      <c r="E10" s="114"/>
    </row>
    <row r="11" spans="1:5" ht="12.75">
      <c r="A11" s="203" t="s">
        <v>63</v>
      </c>
      <c r="B11" s="186" t="s">
        <v>422</v>
      </c>
      <c r="C11" s="715"/>
      <c r="D11" s="114">
        <v>801005</v>
      </c>
      <c r="E11" s="114">
        <v>801005</v>
      </c>
    </row>
    <row r="12" spans="1:5" ht="12.75">
      <c r="A12" s="203" t="s">
        <v>64</v>
      </c>
      <c r="B12" s="186" t="s">
        <v>166</v>
      </c>
      <c r="C12" s="715"/>
      <c r="D12" s="114"/>
      <c r="E12" s="114"/>
    </row>
    <row r="13" spans="1:5" ht="12.75">
      <c r="A13" s="203" t="s">
        <v>88</v>
      </c>
      <c r="B13" s="186" t="s">
        <v>437</v>
      </c>
      <c r="C13" s="715"/>
      <c r="D13" s="114"/>
      <c r="E13" s="114"/>
    </row>
    <row r="14" spans="1:5" ht="13.5" thickBot="1">
      <c r="A14" s="204" t="s">
        <v>65</v>
      </c>
      <c r="B14" s="187" t="s">
        <v>334</v>
      </c>
      <c r="C14" s="715"/>
      <c r="D14" s="114"/>
      <c r="E14" s="353"/>
    </row>
    <row r="15" spans="1:5" ht="13.5" thickBot="1">
      <c r="A15" s="25" t="s">
        <v>10</v>
      </c>
      <c r="B15" s="107" t="s">
        <v>167</v>
      </c>
      <c r="C15" s="713">
        <f>+C16+C17+C18+C19+C20</f>
        <v>6245115</v>
      </c>
      <c r="D15" s="269">
        <f>+D16+D17+D18+D19+D20</f>
        <v>7411115</v>
      </c>
      <c r="E15" s="269">
        <f>+E16+E17+E18+E19+E20</f>
        <v>7411115</v>
      </c>
    </row>
    <row r="16" spans="1:5" ht="12.75">
      <c r="A16" s="202" t="s">
        <v>67</v>
      </c>
      <c r="B16" s="185" t="s">
        <v>168</v>
      </c>
      <c r="C16" s="714"/>
      <c r="D16" s="115">
        <v>0</v>
      </c>
      <c r="E16" s="353"/>
    </row>
    <row r="17" spans="1:5" ht="12.75">
      <c r="A17" s="203" t="s">
        <v>68</v>
      </c>
      <c r="B17" s="186" t="s">
        <v>169</v>
      </c>
      <c r="C17" s="715"/>
      <c r="D17" s="114"/>
      <c r="E17" s="353"/>
    </row>
    <row r="18" spans="1:5" ht="12.75">
      <c r="A18" s="203" t="s">
        <v>69</v>
      </c>
      <c r="B18" s="186" t="s">
        <v>325</v>
      </c>
      <c r="C18" s="715"/>
      <c r="D18" s="114"/>
      <c r="E18" s="353"/>
    </row>
    <row r="19" spans="1:5" ht="12.75">
      <c r="A19" s="203" t="s">
        <v>70</v>
      </c>
      <c r="B19" s="186" t="s">
        <v>326</v>
      </c>
      <c r="C19" s="715"/>
      <c r="D19" s="114"/>
      <c r="E19" s="353"/>
    </row>
    <row r="20" spans="1:5" ht="12.75">
      <c r="A20" s="203" t="s">
        <v>71</v>
      </c>
      <c r="B20" s="186" t="s">
        <v>170</v>
      </c>
      <c r="C20" s="715">
        <v>6245115</v>
      </c>
      <c r="D20" s="114">
        <v>7411115</v>
      </c>
      <c r="E20" s="114">
        <v>7411115</v>
      </c>
    </row>
    <row r="21" spans="1:5" ht="13.5" thickBot="1">
      <c r="A21" s="204" t="s">
        <v>77</v>
      </c>
      <c r="B21" s="187" t="s">
        <v>171</v>
      </c>
      <c r="C21" s="716"/>
      <c r="D21" s="116"/>
      <c r="E21" s="353"/>
    </row>
    <row r="22" spans="1:5" ht="13.5" thickBot="1">
      <c r="A22" s="25" t="s">
        <v>11</v>
      </c>
      <c r="B22" s="19" t="s">
        <v>172</v>
      </c>
      <c r="C22" s="713">
        <f>+C23+C24+C25+C26+C27</f>
        <v>0</v>
      </c>
      <c r="D22" s="269">
        <f>+D23+D24+D25+D26+D27</f>
        <v>0</v>
      </c>
      <c r="E22" s="269">
        <f>+E23+E24+E25+E26+E27</f>
        <v>0</v>
      </c>
    </row>
    <row r="23" spans="1:5" ht="12.75">
      <c r="A23" s="202" t="s">
        <v>50</v>
      </c>
      <c r="B23" s="185" t="s">
        <v>173</v>
      </c>
      <c r="C23" s="714"/>
      <c r="D23" s="115"/>
      <c r="E23" s="353"/>
    </row>
    <row r="24" spans="1:5" ht="12.75">
      <c r="A24" s="203" t="s">
        <v>51</v>
      </c>
      <c r="B24" s="186" t="s">
        <v>174</v>
      </c>
      <c r="C24" s="715"/>
      <c r="D24" s="114"/>
      <c r="E24" s="353"/>
    </row>
    <row r="25" spans="1:5" ht="12.75">
      <c r="A25" s="203" t="s">
        <v>52</v>
      </c>
      <c r="B25" s="186" t="s">
        <v>327</v>
      </c>
      <c r="C25" s="715"/>
      <c r="D25" s="114"/>
      <c r="E25" s="353"/>
    </row>
    <row r="26" spans="1:5" ht="12.75">
      <c r="A26" s="203" t="s">
        <v>53</v>
      </c>
      <c r="B26" s="186" t="s">
        <v>328</v>
      </c>
      <c r="C26" s="715"/>
      <c r="D26" s="114"/>
      <c r="E26" s="353"/>
    </row>
    <row r="27" spans="1:5" ht="12.75">
      <c r="A27" s="203" t="s">
        <v>110</v>
      </c>
      <c r="B27" s="186" t="s">
        <v>175</v>
      </c>
      <c r="C27" s="715"/>
      <c r="D27" s="114"/>
      <c r="E27" s="353"/>
    </row>
    <row r="28" spans="1:5" ht="13.5" thickBot="1">
      <c r="A28" s="204" t="s">
        <v>111</v>
      </c>
      <c r="B28" s="187" t="s">
        <v>176</v>
      </c>
      <c r="C28" s="717"/>
      <c r="D28" s="116"/>
      <c r="E28" s="353"/>
    </row>
    <row r="29" spans="1:5" ht="13.5" thickBot="1">
      <c r="A29" s="25" t="s">
        <v>112</v>
      </c>
      <c r="B29" s="19" t="s">
        <v>414</v>
      </c>
      <c r="C29" s="718">
        <f>SUM(C30:C36)</f>
        <v>0</v>
      </c>
      <c r="D29" s="269">
        <f>SUM(D30:D36)</f>
        <v>0</v>
      </c>
      <c r="E29" s="269">
        <f>SUM(E30:E36)</f>
        <v>0</v>
      </c>
    </row>
    <row r="30" spans="1:5" ht="12.75">
      <c r="A30" s="202" t="s">
        <v>177</v>
      </c>
      <c r="B30" s="185" t="s">
        <v>418</v>
      </c>
      <c r="C30" s="764"/>
      <c r="D30" s="764"/>
      <c r="E30" s="353"/>
    </row>
    <row r="31" spans="1:5" ht="12.75">
      <c r="A31" s="203" t="s">
        <v>178</v>
      </c>
      <c r="B31" s="186" t="s">
        <v>427</v>
      </c>
      <c r="C31" s="715"/>
      <c r="D31" s="715"/>
      <c r="E31" s="353"/>
    </row>
    <row r="32" spans="1:5" ht="12.75">
      <c r="A32" s="203" t="s">
        <v>179</v>
      </c>
      <c r="B32" s="186" t="s">
        <v>420</v>
      </c>
      <c r="C32" s="715"/>
      <c r="D32" s="715"/>
      <c r="E32" s="353"/>
    </row>
    <row r="33" spans="1:5" ht="12.75">
      <c r="A33" s="203" t="s">
        <v>180</v>
      </c>
      <c r="B33" s="186" t="s">
        <v>421</v>
      </c>
      <c r="C33" s="715"/>
      <c r="D33" s="715"/>
      <c r="E33" s="353"/>
    </row>
    <row r="34" spans="1:5" ht="12.75">
      <c r="A34" s="203" t="s">
        <v>415</v>
      </c>
      <c r="B34" s="186" t="s">
        <v>181</v>
      </c>
      <c r="C34" s="715"/>
      <c r="D34" s="715"/>
      <c r="E34" s="353"/>
    </row>
    <row r="35" spans="1:5" ht="12.75">
      <c r="A35" s="203" t="s">
        <v>416</v>
      </c>
      <c r="B35" s="186" t="s">
        <v>182</v>
      </c>
      <c r="C35" s="715"/>
      <c r="D35" s="715"/>
      <c r="E35" s="353"/>
    </row>
    <row r="36" spans="1:5" ht="13.5" thickBot="1">
      <c r="A36" s="204" t="s">
        <v>417</v>
      </c>
      <c r="B36" s="187" t="s">
        <v>183</v>
      </c>
      <c r="C36" s="716"/>
      <c r="D36" s="716"/>
      <c r="E36" s="353"/>
    </row>
    <row r="37" spans="1:5" ht="13.5" thickBot="1">
      <c r="A37" s="25" t="s">
        <v>13</v>
      </c>
      <c r="B37" s="19" t="s">
        <v>335</v>
      </c>
      <c r="C37" s="713">
        <f>SUM(C38:C48)</f>
        <v>0</v>
      </c>
      <c r="D37" s="269">
        <f>SUM(D38:D48)</f>
        <v>0</v>
      </c>
      <c r="E37" s="269">
        <f>SUM(E38:E48)</f>
        <v>0</v>
      </c>
    </row>
    <row r="38" spans="1:5" ht="12.75">
      <c r="A38" s="202" t="s">
        <v>54</v>
      </c>
      <c r="B38" s="185" t="s">
        <v>186</v>
      </c>
      <c r="C38" s="714"/>
      <c r="D38" s="115"/>
      <c r="E38" s="353"/>
    </row>
    <row r="39" spans="1:5" ht="12.75">
      <c r="A39" s="203" t="s">
        <v>55</v>
      </c>
      <c r="B39" s="186" t="s">
        <v>187</v>
      </c>
      <c r="C39" s="715"/>
      <c r="D39" s="114"/>
      <c r="E39" s="353"/>
    </row>
    <row r="40" spans="1:5" ht="12.75">
      <c r="A40" s="203" t="s">
        <v>56</v>
      </c>
      <c r="B40" s="186" t="s">
        <v>188</v>
      </c>
      <c r="C40" s="715"/>
      <c r="D40" s="114"/>
      <c r="E40" s="353"/>
    </row>
    <row r="41" spans="1:5" ht="12.75">
      <c r="A41" s="203" t="s">
        <v>114</v>
      </c>
      <c r="B41" s="186" t="s">
        <v>189</v>
      </c>
      <c r="C41" s="715"/>
      <c r="D41" s="114"/>
      <c r="E41" s="353"/>
    </row>
    <row r="42" spans="1:5" ht="12.75">
      <c r="A42" s="203" t="s">
        <v>115</v>
      </c>
      <c r="B42" s="186" t="s">
        <v>190</v>
      </c>
      <c r="C42" s="715"/>
      <c r="D42" s="114"/>
      <c r="E42" s="353"/>
    </row>
    <row r="43" spans="1:5" ht="12.75">
      <c r="A43" s="203" t="s">
        <v>116</v>
      </c>
      <c r="B43" s="186" t="s">
        <v>191</v>
      </c>
      <c r="C43" s="715"/>
      <c r="D43" s="114"/>
      <c r="E43" s="353"/>
    </row>
    <row r="44" spans="1:5" ht="12.75">
      <c r="A44" s="203" t="s">
        <v>117</v>
      </c>
      <c r="B44" s="186" t="s">
        <v>192</v>
      </c>
      <c r="C44" s="715"/>
      <c r="D44" s="114"/>
      <c r="E44" s="353"/>
    </row>
    <row r="45" spans="1:5" ht="12.75">
      <c r="A45" s="203" t="s">
        <v>118</v>
      </c>
      <c r="B45" s="186" t="s">
        <v>193</v>
      </c>
      <c r="C45" s="715"/>
      <c r="D45" s="114"/>
      <c r="E45" s="353"/>
    </row>
    <row r="46" spans="1:5" ht="12.75">
      <c r="A46" s="203" t="s">
        <v>184</v>
      </c>
      <c r="B46" s="186" t="s">
        <v>194</v>
      </c>
      <c r="C46" s="719"/>
      <c r="D46" s="117"/>
      <c r="E46" s="353"/>
    </row>
    <row r="47" spans="1:5" ht="12.75">
      <c r="A47" s="204" t="s">
        <v>185</v>
      </c>
      <c r="B47" s="187" t="s">
        <v>337</v>
      </c>
      <c r="C47" s="720"/>
      <c r="D47" s="173"/>
      <c r="E47" s="353"/>
    </row>
    <row r="48" spans="1:5" ht="13.5" thickBot="1">
      <c r="A48" s="204" t="s">
        <v>336</v>
      </c>
      <c r="B48" s="187" t="s">
        <v>195</v>
      </c>
      <c r="C48" s="765"/>
      <c r="D48" s="173"/>
      <c r="E48" s="353"/>
    </row>
    <row r="49" spans="1:5" ht="13.5" thickBot="1">
      <c r="A49" s="25" t="s">
        <v>14</v>
      </c>
      <c r="B49" s="19" t="s">
        <v>196</v>
      </c>
      <c r="C49" s="713">
        <f>SUM(C50:C54)</f>
        <v>0</v>
      </c>
      <c r="D49" s="269">
        <f>SUM(D50:D54)</f>
        <v>0</v>
      </c>
      <c r="E49" s="269">
        <f>SUM(E50:E54)</f>
        <v>0</v>
      </c>
    </row>
    <row r="50" spans="1:5" ht="12.75">
      <c r="A50" s="202" t="s">
        <v>57</v>
      </c>
      <c r="B50" s="185" t="s">
        <v>200</v>
      </c>
      <c r="C50" s="721"/>
      <c r="D50" s="217"/>
      <c r="E50" s="353"/>
    </row>
    <row r="51" spans="1:5" ht="12.75">
      <c r="A51" s="203" t="s">
        <v>58</v>
      </c>
      <c r="B51" s="186" t="s">
        <v>201</v>
      </c>
      <c r="C51" s="719"/>
      <c r="D51" s="117"/>
      <c r="E51" s="353"/>
    </row>
    <row r="52" spans="1:5" ht="12.75">
      <c r="A52" s="203" t="s">
        <v>197</v>
      </c>
      <c r="B52" s="186" t="s">
        <v>202</v>
      </c>
      <c r="C52" s="719"/>
      <c r="D52" s="117"/>
      <c r="E52" s="353"/>
    </row>
    <row r="53" spans="1:5" ht="12.75">
      <c r="A53" s="203" t="s">
        <v>198</v>
      </c>
      <c r="B53" s="186" t="s">
        <v>203</v>
      </c>
      <c r="C53" s="719"/>
      <c r="D53" s="117"/>
      <c r="E53" s="353"/>
    </row>
    <row r="54" spans="1:5" ht="13.5" thickBot="1">
      <c r="A54" s="204" t="s">
        <v>199</v>
      </c>
      <c r="B54" s="187" t="s">
        <v>204</v>
      </c>
      <c r="C54" s="720"/>
      <c r="D54" s="173"/>
      <c r="E54" s="353"/>
    </row>
    <row r="55" spans="1:5" ht="13.5" thickBot="1">
      <c r="A55" s="25" t="s">
        <v>119</v>
      </c>
      <c r="B55" s="19" t="s">
        <v>205</v>
      </c>
      <c r="C55" s="713">
        <f>SUM(C56:C58)</f>
        <v>0</v>
      </c>
      <c r="D55" s="269">
        <f>SUM(D56:D58)</f>
        <v>0</v>
      </c>
      <c r="E55" s="269">
        <f>SUM(E56:E58)</f>
        <v>0</v>
      </c>
    </row>
    <row r="56" spans="1:5" ht="12.75">
      <c r="A56" s="202" t="s">
        <v>59</v>
      </c>
      <c r="B56" s="185" t="s">
        <v>206</v>
      </c>
      <c r="C56" s="714"/>
      <c r="D56" s="115"/>
      <c r="E56" s="353"/>
    </row>
    <row r="57" spans="1:5" ht="12.75">
      <c r="A57" s="203" t="s">
        <v>60</v>
      </c>
      <c r="B57" s="186" t="s">
        <v>329</v>
      </c>
      <c r="C57" s="715"/>
      <c r="D57" s="114"/>
      <c r="E57" s="353"/>
    </row>
    <row r="58" spans="1:5" ht="12.75">
      <c r="A58" s="203" t="s">
        <v>209</v>
      </c>
      <c r="B58" s="186" t="s">
        <v>207</v>
      </c>
      <c r="C58" s="715"/>
      <c r="D58" s="114"/>
      <c r="E58" s="353"/>
    </row>
    <row r="59" spans="1:5" ht="13.5" thickBot="1">
      <c r="A59" s="204" t="s">
        <v>210</v>
      </c>
      <c r="B59" s="187" t="s">
        <v>208</v>
      </c>
      <c r="C59" s="716"/>
      <c r="D59" s="116"/>
      <c r="E59" s="353"/>
    </row>
    <row r="60" spans="1:5" ht="13.5" thickBot="1">
      <c r="A60" s="25" t="s">
        <v>16</v>
      </c>
      <c r="B60" s="107" t="s">
        <v>211</v>
      </c>
      <c r="C60" s="713">
        <f>SUM(C61:C63)</f>
        <v>0</v>
      </c>
      <c r="D60" s="269">
        <f>SUM(D61:D63)</f>
        <v>0</v>
      </c>
      <c r="E60" s="269">
        <f>SUM(E61:E63)</f>
        <v>0</v>
      </c>
    </row>
    <row r="61" spans="1:5" ht="12.75">
      <c r="A61" s="202" t="s">
        <v>120</v>
      </c>
      <c r="B61" s="185" t="s">
        <v>213</v>
      </c>
      <c r="C61" s="719"/>
      <c r="D61" s="117"/>
      <c r="E61" s="353"/>
    </row>
    <row r="62" spans="1:5" ht="12.75">
      <c r="A62" s="203" t="s">
        <v>121</v>
      </c>
      <c r="B62" s="186" t="s">
        <v>330</v>
      </c>
      <c r="C62" s="719"/>
      <c r="D62" s="117"/>
      <c r="E62" s="353"/>
    </row>
    <row r="63" spans="1:5" ht="12.75">
      <c r="A63" s="203" t="s">
        <v>142</v>
      </c>
      <c r="B63" s="186" t="s">
        <v>214</v>
      </c>
      <c r="C63" s="719"/>
      <c r="D63" s="117"/>
      <c r="E63" s="353"/>
    </row>
    <row r="64" spans="1:5" ht="13.5" thickBot="1">
      <c r="A64" s="204" t="s">
        <v>212</v>
      </c>
      <c r="B64" s="187" t="s">
        <v>215</v>
      </c>
      <c r="C64" s="719"/>
      <c r="D64" s="117"/>
      <c r="E64" s="353"/>
    </row>
    <row r="65" spans="1:5" ht="13.5" thickBot="1">
      <c r="A65" s="25" t="s">
        <v>17</v>
      </c>
      <c r="B65" s="19" t="s">
        <v>216</v>
      </c>
      <c r="C65" s="718">
        <f>+C8+C15+C22+C29+C37+C49+C55+C60</f>
        <v>6245115</v>
      </c>
      <c r="D65" s="269">
        <f>+D8+D15+D22+D29+D37+D49+D55+D60</f>
        <v>8212120</v>
      </c>
      <c r="E65" s="269">
        <f>+E8+E15+E22+E29+E37+E49+E55+E60</f>
        <v>8212120</v>
      </c>
    </row>
    <row r="66" spans="1:5" ht="13.5" thickBot="1">
      <c r="A66" s="354" t="s">
        <v>438</v>
      </c>
      <c r="B66" s="107" t="s">
        <v>218</v>
      </c>
      <c r="C66" s="713">
        <f>SUM(C67:C69)</f>
        <v>0</v>
      </c>
      <c r="D66" s="269">
        <f>SUM(D67:D69)</f>
        <v>0</v>
      </c>
      <c r="E66" s="269">
        <f>SUM(E67:E69)</f>
        <v>0</v>
      </c>
    </row>
    <row r="67" spans="1:5" ht="12.75">
      <c r="A67" s="202" t="s">
        <v>248</v>
      </c>
      <c r="B67" s="185" t="s">
        <v>219</v>
      </c>
      <c r="C67" s="719"/>
      <c r="D67" s="117"/>
      <c r="E67" s="353"/>
    </row>
    <row r="68" spans="1:5" ht="12.75">
      <c r="A68" s="203" t="s">
        <v>257</v>
      </c>
      <c r="B68" s="186" t="s">
        <v>220</v>
      </c>
      <c r="C68" s="719"/>
      <c r="D68" s="117"/>
      <c r="E68" s="353"/>
    </row>
    <row r="69" spans="1:5" ht="13.5" thickBot="1">
      <c r="A69" s="204" t="s">
        <v>258</v>
      </c>
      <c r="B69" s="355" t="s">
        <v>439</v>
      </c>
      <c r="C69" s="719"/>
      <c r="D69" s="117"/>
      <c r="E69" s="353"/>
    </row>
    <row r="70" spans="1:5" ht="13.5" thickBot="1">
      <c r="A70" s="354" t="s">
        <v>221</v>
      </c>
      <c r="B70" s="107" t="s">
        <v>222</v>
      </c>
      <c r="C70" s="713">
        <f>SUM(C71:C74)</f>
        <v>0</v>
      </c>
      <c r="D70" s="269">
        <f>SUM(D71:D74)</f>
        <v>0</v>
      </c>
      <c r="E70" s="269">
        <f>SUM(E71:E74)</f>
        <v>0</v>
      </c>
    </row>
    <row r="71" spans="1:5" ht="12.75">
      <c r="A71" s="202" t="s">
        <v>89</v>
      </c>
      <c r="B71" s="185" t="s">
        <v>223</v>
      </c>
      <c r="C71" s="719"/>
      <c r="D71" s="350"/>
      <c r="E71" s="353"/>
    </row>
    <row r="72" spans="1:5" ht="12.75">
      <c r="A72" s="203" t="s">
        <v>90</v>
      </c>
      <c r="B72" s="186" t="s">
        <v>224</v>
      </c>
      <c r="C72" s="719"/>
      <c r="D72" s="350"/>
      <c r="E72" s="353"/>
    </row>
    <row r="73" spans="1:5" ht="12.75">
      <c r="A73" s="203" t="s">
        <v>249</v>
      </c>
      <c r="B73" s="186" t="s">
        <v>225</v>
      </c>
      <c r="C73" s="719"/>
      <c r="D73" s="350"/>
      <c r="E73" s="353"/>
    </row>
    <row r="74" spans="1:5" ht="13.5" thickBot="1">
      <c r="A74" s="204" t="s">
        <v>250</v>
      </c>
      <c r="B74" s="187" t="s">
        <v>226</v>
      </c>
      <c r="C74" s="719"/>
      <c r="D74" s="350"/>
      <c r="E74" s="353"/>
    </row>
    <row r="75" spans="1:5" ht="13.5" thickBot="1">
      <c r="A75" s="354" t="s">
        <v>227</v>
      </c>
      <c r="B75" s="107" t="s">
        <v>228</v>
      </c>
      <c r="C75" s="713">
        <f>SUM(C76:C77)</f>
        <v>393956</v>
      </c>
      <c r="D75" s="269">
        <f>SUM(D76:D77)</f>
        <v>393956</v>
      </c>
      <c r="E75" s="269">
        <f>SUM(E76:E77)</f>
        <v>393956</v>
      </c>
    </row>
    <row r="76" spans="1:5" ht="12.75">
      <c r="A76" s="202" t="s">
        <v>251</v>
      </c>
      <c r="B76" s="185" t="s">
        <v>229</v>
      </c>
      <c r="C76" s="723">
        <v>393956</v>
      </c>
      <c r="D76" s="117">
        <v>393956</v>
      </c>
      <c r="E76" s="117">
        <v>393956</v>
      </c>
    </row>
    <row r="77" spans="1:5" ht="13.5" thickBot="1">
      <c r="A77" s="204" t="s">
        <v>252</v>
      </c>
      <c r="B77" s="187" t="s">
        <v>230</v>
      </c>
      <c r="C77" s="719"/>
      <c r="D77" s="117"/>
      <c r="E77" s="353"/>
    </row>
    <row r="78" spans="1:5" ht="13.5" thickBot="1">
      <c r="A78" s="354" t="s">
        <v>231</v>
      </c>
      <c r="B78" s="107" t="s">
        <v>232</v>
      </c>
      <c r="C78" s="713">
        <f>SUM(C79:C81)</f>
        <v>0</v>
      </c>
      <c r="D78" s="269">
        <f>SUM(D79:D81)</f>
        <v>0</v>
      </c>
      <c r="E78" s="269">
        <f>SUM(E79:E81)</f>
        <v>0</v>
      </c>
    </row>
    <row r="79" spans="1:5" ht="12.75">
      <c r="A79" s="202" t="s">
        <v>253</v>
      </c>
      <c r="B79" s="185" t="s">
        <v>233</v>
      </c>
      <c r="C79" s="719"/>
      <c r="D79" s="117"/>
      <c r="E79" s="353"/>
    </row>
    <row r="80" spans="1:5" ht="12.75">
      <c r="A80" s="203" t="s">
        <v>254</v>
      </c>
      <c r="B80" s="186" t="s">
        <v>234</v>
      </c>
      <c r="C80" s="719"/>
      <c r="D80" s="350"/>
      <c r="E80" s="353"/>
    </row>
    <row r="81" spans="1:5" ht="13.5" thickBot="1">
      <c r="A81" s="204" t="s">
        <v>255</v>
      </c>
      <c r="B81" s="187" t="s">
        <v>235</v>
      </c>
      <c r="C81" s="719"/>
      <c r="D81" s="350"/>
      <c r="E81" s="353"/>
    </row>
    <row r="82" spans="1:5" ht="13.5" thickBot="1">
      <c r="A82" s="354" t="s">
        <v>236</v>
      </c>
      <c r="B82" s="107" t="s">
        <v>256</v>
      </c>
      <c r="C82" s="713">
        <f>SUM(C83:C86)</f>
        <v>0</v>
      </c>
      <c r="D82" s="269">
        <f>SUM(D83:D86)</f>
        <v>0</v>
      </c>
      <c r="E82" s="269">
        <f>SUM(E83:E86)</f>
        <v>0</v>
      </c>
    </row>
    <row r="83" spans="1:5" ht="12.75">
      <c r="A83" s="356" t="s">
        <v>237</v>
      </c>
      <c r="B83" s="185" t="s">
        <v>238</v>
      </c>
      <c r="C83" s="719"/>
      <c r="D83" s="350"/>
      <c r="E83" s="353"/>
    </row>
    <row r="84" spans="1:5" ht="12.75">
      <c r="A84" s="357" t="s">
        <v>239</v>
      </c>
      <c r="B84" s="186" t="s">
        <v>240</v>
      </c>
      <c r="C84" s="719"/>
      <c r="D84" s="350"/>
      <c r="E84" s="353"/>
    </row>
    <row r="85" spans="1:5" ht="12.75">
      <c r="A85" s="357" t="s">
        <v>241</v>
      </c>
      <c r="B85" s="186" t="s">
        <v>242</v>
      </c>
      <c r="C85" s="719"/>
      <c r="D85" s="350"/>
      <c r="E85" s="353"/>
    </row>
    <row r="86" spans="1:5" ht="13.5" thickBot="1">
      <c r="A86" s="358" t="s">
        <v>243</v>
      </c>
      <c r="B86" s="187" t="s">
        <v>244</v>
      </c>
      <c r="C86" s="719"/>
      <c r="D86" s="359"/>
      <c r="E86" s="360"/>
    </row>
    <row r="87" spans="1:5" ht="13.5" thickBot="1">
      <c r="A87" s="354" t="s">
        <v>245</v>
      </c>
      <c r="B87" s="107" t="s">
        <v>376</v>
      </c>
      <c r="C87" s="724"/>
      <c r="D87" s="361"/>
      <c r="E87" s="362"/>
    </row>
    <row r="88" spans="1:5" ht="13.5" thickBot="1">
      <c r="A88" s="354" t="s">
        <v>440</v>
      </c>
      <c r="B88" s="107" t="s">
        <v>246</v>
      </c>
      <c r="C88" s="724"/>
      <c r="D88" s="363"/>
      <c r="E88" s="364"/>
    </row>
    <row r="89" spans="1:5" ht="13.5" thickBot="1">
      <c r="A89" s="354" t="s">
        <v>441</v>
      </c>
      <c r="B89" s="191" t="s">
        <v>379</v>
      </c>
      <c r="C89" s="718">
        <f>+C66+C70+C75+C78+C82+C88+C87</f>
        <v>393956</v>
      </c>
      <c r="D89" s="269">
        <f>+D66+D70+D75+D78+D82+D88+D87</f>
        <v>393956</v>
      </c>
      <c r="E89" s="269">
        <f>+E66+E70+E75+E78+E82+E88+E87</f>
        <v>393956</v>
      </c>
    </row>
    <row r="90" spans="1:5" ht="13.5" thickBot="1">
      <c r="A90" s="365" t="s">
        <v>442</v>
      </c>
      <c r="B90" s="192" t="s">
        <v>443</v>
      </c>
      <c r="C90" s="718">
        <f>+C65+C89</f>
        <v>6639071</v>
      </c>
      <c r="D90" s="269">
        <f>+D65+D89</f>
        <v>8606076</v>
      </c>
      <c r="E90" s="269">
        <f>+E65+E89</f>
        <v>8606076</v>
      </c>
    </row>
    <row r="91" spans="1:5" ht="14.25" thickBot="1">
      <c r="A91" s="96"/>
      <c r="B91" s="97"/>
      <c r="C91" s="156"/>
      <c r="D91" s="352"/>
      <c r="E91" s="352"/>
    </row>
    <row r="92" spans="1:5" ht="13.5" thickBot="1">
      <c r="A92" s="851" t="s">
        <v>45</v>
      </c>
      <c r="B92" s="852"/>
      <c r="C92" s="852"/>
      <c r="D92" s="852"/>
      <c r="E92" s="853"/>
    </row>
    <row r="93" spans="1:5" ht="13.5" thickBot="1">
      <c r="A93" s="177" t="s">
        <v>9</v>
      </c>
      <c r="B93" s="24" t="s">
        <v>444</v>
      </c>
      <c r="C93" s="270">
        <f>+C94+C95+C96+C97+C98+C111</f>
        <v>6639071</v>
      </c>
      <c r="D93" s="271">
        <f>+D94+D95+D96+D97+D98+D111</f>
        <v>7835233</v>
      </c>
      <c r="E93" s="271">
        <f>+E94+E95+E96+E97+E98+E111</f>
        <v>7835233</v>
      </c>
    </row>
    <row r="94" spans="1:5" ht="12.75">
      <c r="A94" s="367" t="s">
        <v>61</v>
      </c>
      <c r="B94" s="8" t="s">
        <v>39</v>
      </c>
      <c r="C94" s="726">
        <v>4951000</v>
      </c>
      <c r="D94" s="113">
        <v>5586213</v>
      </c>
      <c r="E94" s="113">
        <v>5586213</v>
      </c>
    </row>
    <row r="95" spans="1:5" ht="12.75">
      <c r="A95" s="203" t="s">
        <v>62</v>
      </c>
      <c r="B95" s="6" t="s">
        <v>122</v>
      </c>
      <c r="C95" s="715">
        <v>1135046</v>
      </c>
      <c r="D95" s="114">
        <v>1029611</v>
      </c>
      <c r="E95" s="114">
        <v>1029611</v>
      </c>
    </row>
    <row r="96" spans="1:5" ht="12.75">
      <c r="A96" s="203" t="s">
        <v>63</v>
      </c>
      <c r="B96" s="6" t="s">
        <v>87</v>
      </c>
      <c r="C96" s="716">
        <v>553025</v>
      </c>
      <c r="D96" s="116">
        <v>1219409</v>
      </c>
      <c r="E96" s="116">
        <v>1219409</v>
      </c>
    </row>
    <row r="97" spans="1:5" ht="12.75">
      <c r="A97" s="203" t="s">
        <v>64</v>
      </c>
      <c r="B97" s="9" t="s">
        <v>123</v>
      </c>
      <c r="C97" s="716"/>
      <c r="D97" s="116"/>
      <c r="E97" s="353"/>
    </row>
    <row r="98" spans="1:5" ht="12.75">
      <c r="A98" s="203" t="s">
        <v>72</v>
      </c>
      <c r="B98" s="17" t="s">
        <v>124</v>
      </c>
      <c r="C98" s="716"/>
      <c r="D98" s="116"/>
      <c r="E98" s="353"/>
    </row>
    <row r="99" spans="1:5" ht="12.75">
      <c r="A99" s="203" t="s">
        <v>65</v>
      </c>
      <c r="B99" s="6" t="s">
        <v>445</v>
      </c>
      <c r="C99" s="716"/>
      <c r="D99" s="116"/>
      <c r="E99" s="353"/>
    </row>
    <row r="100" spans="1:5" ht="12.75">
      <c r="A100" s="203" t="s">
        <v>66</v>
      </c>
      <c r="B100" s="67" t="s">
        <v>342</v>
      </c>
      <c r="C100" s="716"/>
      <c r="D100" s="116"/>
      <c r="E100" s="353"/>
    </row>
    <row r="101" spans="1:5" ht="12.75">
      <c r="A101" s="203" t="s">
        <v>73</v>
      </c>
      <c r="B101" s="67" t="s">
        <v>341</v>
      </c>
      <c r="C101" s="716"/>
      <c r="D101" s="116"/>
      <c r="E101" s="353"/>
    </row>
    <row r="102" spans="1:5" ht="12.75">
      <c r="A102" s="203" t="s">
        <v>74</v>
      </c>
      <c r="B102" s="67" t="s">
        <v>262</v>
      </c>
      <c r="C102" s="716"/>
      <c r="D102" s="116"/>
      <c r="E102" s="353"/>
    </row>
    <row r="103" spans="1:5" ht="12.75">
      <c r="A103" s="203" t="s">
        <v>75</v>
      </c>
      <c r="B103" s="68" t="s">
        <v>263</v>
      </c>
      <c r="C103" s="716"/>
      <c r="D103" s="116"/>
      <c r="E103" s="353"/>
    </row>
    <row r="104" spans="1:5" ht="12.75">
      <c r="A104" s="203" t="s">
        <v>76</v>
      </c>
      <c r="B104" s="68" t="s">
        <v>264</v>
      </c>
      <c r="C104" s="716"/>
      <c r="D104" s="116"/>
      <c r="E104" s="353"/>
    </row>
    <row r="105" spans="1:5" ht="12.75">
      <c r="A105" s="203" t="s">
        <v>78</v>
      </c>
      <c r="B105" s="67" t="s">
        <v>265</v>
      </c>
      <c r="C105" s="716"/>
      <c r="D105" s="116"/>
      <c r="E105" s="353"/>
    </row>
    <row r="106" spans="1:5" ht="12.75">
      <c r="A106" s="203" t="s">
        <v>125</v>
      </c>
      <c r="B106" s="67" t="s">
        <v>266</v>
      </c>
      <c r="C106" s="716"/>
      <c r="D106" s="116"/>
      <c r="E106" s="353"/>
    </row>
    <row r="107" spans="1:5" ht="12.75">
      <c r="A107" s="203" t="s">
        <v>260</v>
      </c>
      <c r="B107" s="68" t="s">
        <v>267</v>
      </c>
      <c r="C107" s="716"/>
      <c r="D107" s="116"/>
      <c r="E107" s="353"/>
    </row>
    <row r="108" spans="1:5" ht="12.75">
      <c r="A108" s="368" t="s">
        <v>261</v>
      </c>
      <c r="B108" s="69" t="s">
        <v>268</v>
      </c>
      <c r="C108" s="716"/>
      <c r="D108" s="116"/>
      <c r="E108" s="353"/>
    </row>
    <row r="109" spans="1:5" ht="12.75">
      <c r="A109" s="203" t="s">
        <v>339</v>
      </c>
      <c r="B109" s="69" t="s">
        <v>269</v>
      </c>
      <c r="C109" s="716"/>
      <c r="D109" s="116"/>
      <c r="E109" s="353"/>
    </row>
    <row r="110" spans="1:5" ht="12.75">
      <c r="A110" s="203" t="s">
        <v>340</v>
      </c>
      <c r="B110" s="68" t="s">
        <v>270</v>
      </c>
      <c r="C110" s="715"/>
      <c r="D110" s="114"/>
      <c r="E110" s="353"/>
    </row>
    <row r="111" spans="1:5" ht="12.75">
      <c r="A111" s="203" t="s">
        <v>344</v>
      </c>
      <c r="B111" s="9" t="s">
        <v>40</v>
      </c>
      <c r="C111" s="715"/>
      <c r="D111" s="114"/>
      <c r="E111" s="369"/>
    </row>
    <row r="112" spans="1:5" ht="12.75">
      <c r="A112" s="204" t="s">
        <v>345</v>
      </c>
      <c r="B112" s="6" t="s">
        <v>446</v>
      </c>
      <c r="C112" s="716"/>
      <c r="D112" s="116"/>
      <c r="E112" s="353"/>
    </row>
    <row r="113" spans="1:5" ht="13.5" thickBot="1">
      <c r="A113" s="370" t="s">
        <v>346</v>
      </c>
      <c r="B113" s="371" t="s">
        <v>447</v>
      </c>
      <c r="C113" s="727"/>
      <c r="D113" s="120"/>
      <c r="E113" s="353"/>
    </row>
    <row r="114" spans="1:5" ht="13.5" thickBot="1">
      <c r="A114" s="25" t="s">
        <v>10</v>
      </c>
      <c r="B114" s="23" t="s">
        <v>271</v>
      </c>
      <c r="C114" s="713">
        <f>+C115+C117+C119</f>
        <v>0</v>
      </c>
      <c r="D114" s="268">
        <f>+D115+D117+D119</f>
        <v>0</v>
      </c>
      <c r="E114" s="268">
        <f>+E115+E117+E119</f>
        <v>0</v>
      </c>
    </row>
    <row r="115" spans="1:5" ht="12.75">
      <c r="A115" s="202" t="s">
        <v>67</v>
      </c>
      <c r="B115" s="6" t="s">
        <v>141</v>
      </c>
      <c r="C115" s="714"/>
      <c r="D115" s="115"/>
      <c r="E115" s="353"/>
    </row>
    <row r="116" spans="1:5" ht="12.75">
      <c r="A116" s="202" t="s">
        <v>68</v>
      </c>
      <c r="B116" s="10" t="s">
        <v>275</v>
      </c>
      <c r="C116" s="714"/>
      <c r="D116" s="115"/>
      <c r="E116" s="353"/>
    </row>
    <row r="117" spans="1:5" ht="12.75">
      <c r="A117" s="202" t="s">
        <v>69</v>
      </c>
      <c r="B117" s="10" t="s">
        <v>126</v>
      </c>
      <c r="C117" s="715"/>
      <c r="D117" s="114"/>
      <c r="E117" s="353"/>
    </row>
    <row r="118" spans="1:5" ht="12.75">
      <c r="A118" s="202" t="s">
        <v>70</v>
      </c>
      <c r="B118" s="10" t="s">
        <v>276</v>
      </c>
      <c r="C118" s="715"/>
      <c r="D118" s="105"/>
      <c r="E118" s="353"/>
    </row>
    <row r="119" spans="1:5" ht="12.75">
      <c r="A119" s="202" t="s">
        <v>71</v>
      </c>
      <c r="B119" s="109" t="s">
        <v>143</v>
      </c>
      <c r="C119" s="729"/>
      <c r="D119" s="105"/>
      <c r="E119" s="353"/>
    </row>
    <row r="120" spans="1:5" ht="12.75">
      <c r="A120" s="202" t="s">
        <v>77</v>
      </c>
      <c r="B120" s="108" t="s">
        <v>331</v>
      </c>
      <c r="C120" s="729"/>
      <c r="D120" s="105"/>
      <c r="E120" s="353"/>
    </row>
    <row r="121" spans="1:5" ht="12.75">
      <c r="A121" s="202" t="s">
        <v>79</v>
      </c>
      <c r="B121" s="181" t="s">
        <v>281</v>
      </c>
      <c r="C121" s="729"/>
      <c r="D121" s="105"/>
      <c r="E121" s="353"/>
    </row>
    <row r="122" spans="1:5" ht="12.75">
      <c r="A122" s="202" t="s">
        <v>127</v>
      </c>
      <c r="B122" s="68" t="s">
        <v>264</v>
      </c>
      <c r="C122" s="729"/>
      <c r="D122" s="105"/>
      <c r="E122" s="353"/>
    </row>
    <row r="123" spans="1:5" ht="12.75">
      <c r="A123" s="202" t="s">
        <v>128</v>
      </c>
      <c r="B123" s="68" t="s">
        <v>280</v>
      </c>
      <c r="C123" s="729"/>
      <c r="D123" s="105"/>
      <c r="E123" s="353"/>
    </row>
    <row r="124" spans="1:5" ht="12.75">
      <c r="A124" s="202" t="s">
        <v>129</v>
      </c>
      <c r="B124" s="68" t="s">
        <v>279</v>
      </c>
      <c r="C124" s="729"/>
      <c r="D124" s="105"/>
      <c r="E124" s="353"/>
    </row>
    <row r="125" spans="1:5" ht="12.75">
      <c r="A125" s="202" t="s">
        <v>272</v>
      </c>
      <c r="B125" s="68" t="s">
        <v>267</v>
      </c>
      <c r="C125" s="729"/>
      <c r="D125" s="105"/>
      <c r="E125" s="353"/>
    </row>
    <row r="126" spans="1:5" ht="12.75">
      <c r="A126" s="202" t="s">
        <v>273</v>
      </c>
      <c r="B126" s="68" t="s">
        <v>278</v>
      </c>
      <c r="C126" s="729"/>
      <c r="D126" s="105"/>
      <c r="E126" s="353"/>
    </row>
    <row r="127" spans="1:5" ht="13.5" thickBot="1">
      <c r="A127" s="368" t="s">
        <v>274</v>
      </c>
      <c r="B127" s="68" t="s">
        <v>277</v>
      </c>
      <c r="C127" s="730"/>
      <c r="D127" s="106"/>
      <c r="E127" s="353"/>
    </row>
    <row r="128" spans="1:5" ht="13.5" thickBot="1">
      <c r="A128" s="25" t="s">
        <v>11</v>
      </c>
      <c r="B128" s="56" t="s">
        <v>349</v>
      </c>
      <c r="C128" s="713">
        <f>+C93+C114</f>
        <v>6639071</v>
      </c>
      <c r="D128" s="268">
        <f>+D93+D114</f>
        <v>7835233</v>
      </c>
      <c r="E128" s="268">
        <f>+E93+E114</f>
        <v>7835233</v>
      </c>
    </row>
    <row r="129" spans="1:5" ht="13.5" thickBot="1">
      <c r="A129" s="25" t="s">
        <v>12</v>
      </c>
      <c r="B129" s="56" t="s">
        <v>350</v>
      </c>
      <c r="C129" s="713">
        <f>+C130+C131+C132</f>
        <v>0</v>
      </c>
      <c r="D129" s="268">
        <f>+D130+D131+D132</f>
        <v>0</v>
      </c>
      <c r="E129" s="268">
        <f>+E130+E131+E132</f>
        <v>0</v>
      </c>
    </row>
    <row r="130" spans="1:5" ht="12.75">
      <c r="A130" s="202" t="s">
        <v>177</v>
      </c>
      <c r="B130" s="7" t="s">
        <v>448</v>
      </c>
      <c r="C130" s="729"/>
      <c r="D130" s="105"/>
      <c r="E130" s="353"/>
    </row>
    <row r="131" spans="1:5" ht="12.75">
      <c r="A131" s="202" t="s">
        <v>178</v>
      </c>
      <c r="B131" s="7" t="s">
        <v>358</v>
      </c>
      <c r="C131" s="729"/>
      <c r="D131" s="105"/>
      <c r="E131" s="353"/>
    </row>
    <row r="132" spans="1:5" ht="13.5" thickBot="1">
      <c r="A132" s="368" t="s">
        <v>179</v>
      </c>
      <c r="B132" s="5" t="s">
        <v>449</v>
      </c>
      <c r="C132" s="729"/>
      <c r="D132" s="105"/>
      <c r="E132" s="353"/>
    </row>
    <row r="133" spans="1:5" ht="13.5" thickBot="1">
      <c r="A133" s="25" t="s">
        <v>13</v>
      </c>
      <c r="B133" s="56" t="s">
        <v>351</v>
      </c>
      <c r="C133" s="713">
        <f>+C134+C135+C136+C137+C138+C139</f>
        <v>0</v>
      </c>
      <c r="D133" s="112">
        <f>+D134+D135+D136+D137+D138+D139</f>
        <v>0</v>
      </c>
      <c r="E133" s="268">
        <f>+E134+E135+E136+E137+E138+E139</f>
        <v>0</v>
      </c>
    </row>
    <row r="134" spans="1:5" ht="12.75">
      <c r="A134" s="202" t="s">
        <v>54</v>
      </c>
      <c r="B134" s="7" t="s">
        <v>360</v>
      </c>
      <c r="C134" s="729"/>
      <c r="D134" s="105"/>
      <c r="E134" s="353"/>
    </row>
    <row r="135" spans="1:5" ht="12.75">
      <c r="A135" s="202" t="s">
        <v>55</v>
      </c>
      <c r="B135" s="7" t="s">
        <v>352</v>
      </c>
      <c r="C135" s="729"/>
      <c r="D135" s="105"/>
      <c r="E135" s="353"/>
    </row>
    <row r="136" spans="1:5" ht="12.75">
      <c r="A136" s="202" t="s">
        <v>56</v>
      </c>
      <c r="B136" s="7" t="s">
        <v>353</v>
      </c>
      <c r="C136" s="729"/>
      <c r="D136" s="105"/>
      <c r="E136" s="353"/>
    </row>
    <row r="137" spans="1:5" ht="12.75">
      <c r="A137" s="202" t="s">
        <v>114</v>
      </c>
      <c r="B137" s="7" t="s">
        <v>450</v>
      </c>
      <c r="C137" s="729"/>
      <c r="D137" s="105"/>
      <c r="E137" s="353"/>
    </row>
    <row r="138" spans="1:5" ht="12.75">
      <c r="A138" s="202" t="s">
        <v>115</v>
      </c>
      <c r="B138" s="7" t="s">
        <v>355</v>
      </c>
      <c r="C138" s="729"/>
      <c r="D138" s="105"/>
      <c r="E138" s="353"/>
    </row>
    <row r="139" spans="1:5" ht="13.5" thickBot="1">
      <c r="A139" s="368" t="s">
        <v>116</v>
      </c>
      <c r="B139" s="5" t="s">
        <v>356</v>
      </c>
      <c r="C139" s="729"/>
      <c r="D139" s="105"/>
      <c r="E139" s="372"/>
    </row>
    <row r="140" spans="1:5" ht="13.5" thickBot="1">
      <c r="A140" s="25" t="s">
        <v>14</v>
      </c>
      <c r="B140" s="56" t="s">
        <v>451</v>
      </c>
      <c r="C140" s="718">
        <f>+C141+C142+C144+C145+C143</f>
        <v>0</v>
      </c>
      <c r="D140" s="269">
        <f>+D141+D142+D144+D145+D143</f>
        <v>0</v>
      </c>
      <c r="E140" s="269">
        <f>+E141+E142+E144+E145+E143</f>
        <v>0</v>
      </c>
    </row>
    <row r="141" spans="1:5" ht="12.75">
      <c r="A141" s="202" t="s">
        <v>57</v>
      </c>
      <c r="B141" s="7" t="s">
        <v>282</v>
      </c>
      <c r="C141" s="729"/>
      <c r="D141" s="105"/>
      <c r="E141" s="353"/>
    </row>
    <row r="142" spans="1:5" ht="12.75">
      <c r="A142" s="202" t="s">
        <v>58</v>
      </c>
      <c r="B142" s="7" t="s">
        <v>283</v>
      </c>
      <c r="C142" s="729"/>
      <c r="D142" s="105"/>
      <c r="E142" s="353"/>
    </row>
    <row r="143" spans="1:5" ht="12.75">
      <c r="A143" s="202" t="s">
        <v>197</v>
      </c>
      <c r="B143" s="7" t="s">
        <v>452</v>
      </c>
      <c r="C143" s="729"/>
      <c r="D143" s="105"/>
      <c r="E143" s="353"/>
    </row>
    <row r="144" spans="1:5" ht="12.75">
      <c r="A144" s="202" t="s">
        <v>198</v>
      </c>
      <c r="B144" s="7" t="s">
        <v>365</v>
      </c>
      <c r="C144" s="729"/>
      <c r="D144" s="105"/>
      <c r="E144" s="372"/>
    </row>
    <row r="145" spans="1:5" ht="13.5" thickBot="1">
      <c r="A145" s="368" t="s">
        <v>199</v>
      </c>
      <c r="B145" s="5" t="s">
        <v>300</v>
      </c>
      <c r="C145" s="729"/>
      <c r="D145" s="105"/>
      <c r="E145" s="353"/>
    </row>
    <row r="146" spans="1:5" ht="13.5" thickBot="1">
      <c r="A146" s="25" t="s">
        <v>15</v>
      </c>
      <c r="B146" s="56" t="s">
        <v>366</v>
      </c>
      <c r="C146" s="732">
        <f>+C147+C148+C149+C150+C151</f>
        <v>0</v>
      </c>
      <c r="D146" s="272">
        <f>+D147+D148+D149+D150+D151</f>
        <v>0</v>
      </c>
      <c r="E146" s="272">
        <f>+E147+E148+E149+E150+E151</f>
        <v>0</v>
      </c>
    </row>
    <row r="147" spans="1:5" ht="12.75">
      <c r="A147" s="202" t="s">
        <v>59</v>
      </c>
      <c r="B147" s="7" t="s">
        <v>361</v>
      </c>
      <c r="C147" s="729"/>
      <c r="D147" s="374"/>
      <c r="E147" s="372"/>
    </row>
    <row r="148" spans="1:5" ht="12.75">
      <c r="A148" s="202" t="s">
        <v>60</v>
      </c>
      <c r="B148" s="7" t="s">
        <v>368</v>
      </c>
      <c r="C148" s="729"/>
      <c r="D148" s="374"/>
      <c r="E148" s="372"/>
    </row>
    <row r="149" spans="1:5" ht="12.75">
      <c r="A149" s="202" t="s">
        <v>209</v>
      </c>
      <c r="B149" s="7" t="s">
        <v>363</v>
      </c>
      <c r="C149" s="729"/>
      <c r="D149" s="374"/>
      <c r="E149" s="372"/>
    </row>
    <row r="150" spans="1:5" ht="12.75">
      <c r="A150" s="202" t="s">
        <v>210</v>
      </c>
      <c r="B150" s="7" t="s">
        <v>453</v>
      </c>
      <c r="C150" s="729"/>
      <c r="D150" s="374"/>
      <c r="E150" s="372"/>
    </row>
    <row r="151" spans="1:5" ht="13.5" thickBot="1">
      <c r="A151" s="368" t="s">
        <v>367</v>
      </c>
      <c r="B151" s="5" t="s">
        <v>370</v>
      </c>
      <c r="C151" s="730"/>
      <c r="D151" s="359"/>
      <c r="E151" s="360"/>
    </row>
    <row r="152" spans="1:5" ht="13.5" thickBot="1">
      <c r="A152" s="375" t="s">
        <v>16</v>
      </c>
      <c r="B152" s="56" t="s">
        <v>371</v>
      </c>
      <c r="C152" s="732"/>
      <c r="D152" s="361"/>
      <c r="E152" s="362"/>
    </row>
    <row r="153" spans="1:5" ht="13.5" thickBot="1">
      <c r="A153" s="375" t="s">
        <v>17</v>
      </c>
      <c r="B153" s="56" t="s">
        <v>372</v>
      </c>
      <c r="C153" s="732"/>
      <c r="D153" s="363"/>
      <c r="E153" s="364"/>
    </row>
    <row r="154" spans="1:5" ht="13.5" thickBot="1">
      <c r="A154" s="25" t="s">
        <v>18</v>
      </c>
      <c r="B154" s="56" t="s">
        <v>374</v>
      </c>
      <c r="C154" s="763">
        <f>+C129+C133+C140+C146+C152+C153</f>
        <v>0</v>
      </c>
      <c r="D154" s="273">
        <f>+D129+D133+D140+D146+D152+D153</f>
        <v>0</v>
      </c>
      <c r="E154" s="273">
        <f>+E129+E133+E140+E146+E152+E153</f>
        <v>0</v>
      </c>
    </row>
    <row r="155" spans="1:5" ht="13.5" thickBot="1">
      <c r="A155" s="376" t="s">
        <v>19</v>
      </c>
      <c r="B155" s="166" t="s">
        <v>373</v>
      </c>
      <c r="C155" s="763">
        <f>+C128+C154</f>
        <v>6639071</v>
      </c>
      <c r="D155" s="273">
        <f>+D128+D154</f>
        <v>7835233</v>
      </c>
      <c r="E155" s="273">
        <f>+E128+E154</f>
        <v>7835233</v>
      </c>
    </row>
    <row r="156" spans="1:5" ht="13.5" thickBot="1">
      <c r="A156" s="377"/>
      <c r="B156" s="378"/>
      <c r="C156" s="379"/>
      <c r="D156" s="2"/>
      <c r="E156" s="2"/>
    </row>
    <row r="157" spans="1:5" ht="13.5" thickBot="1">
      <c r="A157" s="103" t="s">
        <v>402</v>
      </c>
      <c r="B157" s="104"/>
      <c r="C157" s="380">
        <v>2</v>
      </c>
      <c r="D157" s="380">
        <v>2</v>
      </c>
      <c r="E157" s="381">
        <v>2</v>
      </c>
    </row>
    <row r="158" spans="1:5" ht="13.5" thickBot="1">
      <c r="A158" s="103" t="s">
        <v>138</v>
      </c>
      <c r="B158" s="104"/>
      <c r="C158" s="380"/>
      <c r="D158" s="380"/>
      <c r="E158" s="381"/>
    </row>
    <row r="159" spans="1:5" ht="13.5" thickBot="1">
      <c r="A159" s="854" t="s">
        <v>454</v>
      </c>
      <c r="B159" s="855"/>
      <c r="C159" s="382"/>
      <c r="D159" s="381"/>
      <c r="E159" s="381"/>
    </row>
  </sheetData>
  <sheetProtection/>
  <mergeCells count="6">
    <mergeCell ref="B1:C1"/>
    <mergeCell ref="C2:E2"/>
    <mergeCell ref="C3:E3"/>
    <mergeCell ref="A7:E7"/>
    <mergeCell ref="A92:E92"/>
    <mergeCell ref="A159:B15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Normal="115" zoomScaleSheetLayoutView="100" workbookViewId="0" topLeftCell="A1">
      <selection activeCell="B2" sqref="B2"/>
    </sheetView>
  </sheetViews>
  <sheetFormatPr defaultColWidth="9.25390625" defaultRowHeight="12.75"/>
  <cols>
    <col min="1" max="1" width="13.75390625" style="101" customWidth="1"/>
    <col min="2" max="2" width="79.125" style="102" customWidth="1"/>
    <col min="3" max="3" width="25.00390625" style="102" customWidth="1"/>
    <col min="4" max="4" width="18.375" style="102" customWidth="1"/>
    <col min="5" max="5" width="19.00390625" style="102" customWidth="1"/>
    <col min="6" max="16384" width="9.25390625" style="102" customWidth="1"/>
  </cols>
  <sheetData>
    <row r="1" spans="1:3" s="90" customFormat="1" ht="21" customHeight="1" thickBot="1">
      <c r="A1" s="89"/>
      <c r="B1" s="856" t="s">
        <v>814</v>
      </c>
      <c r="C1" s="857"/>
    </row>
    <row r="2" spans="1:5" s="212" customFormat="1" ht="25.5" customHeight="1" thickBot="1">
      <c r="A2" s="175" t="s">
        <v>136</v>
      </c>
      <c r="B2" s="413" t="s">
        <v>828</v>
      </c>
      <c r="C2" s="845" t="s">
        <v>42</v>
      </c>
      <c r="D2" s="846"/>
      <c r="E2" s="847"/>
    </row>
    <row r="3" spans="1:5" s="212" customFormat="1" ht="23.25" thickBot="1">
      <c r="A3" s="206" t="s">
        <v>135</v>
      </c>
      <c r="B3" s="259" t="s">
        <v>307</v>
      </c>
      <c r="C3" s="845" t="s">
        <v>42</v>
      </c>
      <c r="D3" s="846"/>
      <c r="E3" s="847"/>
    </row>
    <row r="4" spans="1:3" s="213" customFormat="1" ht="15.75" customHeight="1" thickBot="1">
      <c r="A4" s="91"/>
      <c r="B4" s="91"/>
      <c r="C4" s="343" t="s">
        <v>426</v>
      </c>
    </row>
    <row r="5" spans="1:5" ht="23.25" thickBot="1">
      <c r="A5" s="176" t="s">
        <v>137</v>
      </c>
      <c r="B5" s="92" t="s">
        <v>43</v>
      </c>
      <c r="C5" s="345" t="s">
        <v>792</v>
      </c>
      <c r="D5" s="346" t="s">
        <v>773</v>
      </c>
      <c r="E5" s="346" t="s">
        <v>774</v>
      </c>
    </row>
    <row r="6" spans="1:5" s="214" customFormat="1" ht="12.75" customHeight="1" thickBot="1">
      <c r="A6" s="79" t="s">
        <v>394</v>
      </c>
      <c r="B6" s="80" t="s">
        <v>395</v>
      </c>
      <c r="C6" s="81" t="s">
        <v>396</v>
      </c>
      <c r="D6" s="383" t="s">
        <v>398</v>
      </c>
      <c r="E6" s="383" t="s">
        <v>397</v>
      </c>
    </row>
    <row r="7" spans="1:5" s="214" customFormat="1" ht="15.75" customHeight="1" thickBot="1">
      <c r="A7" s="858" t="s">
        <v>44</v>
      </c>
      <c r="B7" s="859"/>
      <c r="C7" s="859"/>
      <c r="D7" s="859"/>
      <c r="E7" s="860"/>
    </row>
    <row r="8" spans="1:5" s="159" customFormat="1" ht="12" customHeight="1" thickBot="1">
      <c r="A8" s="79" t="s">
        <v>9</v>
      </c>
      <c r="B8" s="93" t="s">
        <v>403</v>
      </c>
      <c r="C8" s="260">
        <f>SUM(C9:C19)</f>
        <v>7656316</v>
      </c>
      <c r="D8" s="260">
        <f>SUM(D9:D19)</f>
        <v>8656316</v>
      </c>
      <c r="E8" s="260">
        <f>SUM(E9:E19)</f>
        <v>9367463</v>
      </c>
    </row>
    <row r="9" spans="1:5" s="159" customFormat="1" ht="12" customHeight="1">
      <c r="A9" s="207" t="s">
        <v>61</v>
      </c>
      <c r="B9" s="8" t="s">
        <v>186</v>
      </c>
      <c r="C9" s="414"/>
      <c r="D9" s="414"/>
      <c r="E9" s="384"/>
    </row>
    <row r="10" spans="1:5" s="159" customFormat="1" ht="12" customHeight="1">
      <c r="A10" s="208" t="s">
        <v>62</v>
      </c>
      <c r="B10" s="6" t="s">
        <v>187</v>
      </c>
      <c r="C10" s="415"/>
      <c r="D10" s="415"/>
      <c r="E10" s="384"/>
    </row>
    <row r="11" spans="1:5" s="159" customFormat="1" ht="12" customHeight="1">
      <c r="A11" s="208" t="s">
        <v>63</v>
      </c>
      <c r="B11" s="6" t="s">
        <v>188</v>
      </c>
      <c r="C11" s="415"/>
      <c r="D11" s="415"/>
      <c r="E11" s="384"/>
    </row>
    <row r="12" spans="1:5" s="159" customFormat="1" ht="12" customHeight="1">
      <c r="A12" s="208" t="s">
        <v>64</v>
      </c>
      <c r="B12" s="6" t="s">
        <v>189</v>
      </c>
      <c r="C12" s="415"/>
      <c r="D12" s="415"/>
      <c r="E12" s="384"/>
    </row>
    <row r="13" spans="1:5" s="159" customFormat="1" ht="12" customHeight="1">
      <c r="A13" s="208" t="s">
        <v>88</v>
      </c>
      <c r="B13" s="6" t="s">
        <v>190</v>
      </c>
      <c r="C13" s="415">
        <v>6028596</v>
      </c>
      <c r="D13" s="415">
        <v>7028596</v>
      </c>
      <c r="E13" s="384">
        <v>7372564</v>
      </c>
    </row>
    <row r="14" spans="1:5" s="159" customFormat="1" ht="12" customHeight="1">
      <c r="A14" s="208" t="s">
        <v>65</v>
      </c>
      <c r="B14" s="6" t="s">
        <v>308</v>
      </c>
      <c r="C14" s="415">
        <v>1627720</v>
      </c>
      <c r="D14" s="415">
        <v>1627720</v>
      </c>
      <c r="E14" s="384">
        <v>1990594</v>
      </c>
    </row>
    <row r="15" spans="1:5" s="159" customFormat="1" ht="12" customHeight="1">
      <c r="A15" s="208" t="s">
        <v>66</v>
      </c>
      <c r="B15" s="5" t="s">
        <v>309</v>
      </c>
      <c r="C15" s="415"/>
      <c r="D15" s="415"/>
      <c r="E15" s="384"/>
    </row>
    <row r="16" spans="1:5" s="159" customFormat="1" ht="12" customHeight="1">
      <c r="A16" s="208" t="s">
        <v>73</v>
      </c>
      <c r="B16" s="6" t="s">
        <v>193</v>
      </c>
      <c r="C16" s="416"/>
      <c r="D16" s="416"/>
      <c r="E16" s="384"/>
    </row>
    <row r="17" spans="1:5" s="215" customFormat="1" ht="12" customHeight="1">
      <c r="A17" s="208" t="s">
        <v>74</v>
      </c>
      <c r="B17" s="6" t="s">
        <v>194</v>
      </c>
      <c r="C17" s="415"/>
      <c r="D17" s="415"/>
      <c r="E17" s="384"/>
    </row>
    <row r="18" spans="1:5" s="215" customFormat="1" ht="12" customHeight="1">
      <c r="A18" s="208" t="s">
        <v>75</v>
      </c>
      <c r="B18" s="6" t="s">
        <v>337</v>
      </c>
      <c r="C18" s="417"/>
      <c r="D18" s="417"/>
      <c r="E18" s="384"/>
    </row>
    <row r="19" spans="1:5" s="215" customFormat="1" ht="12" customHeight="1" thickBot="1">
      <c r="A19" s="208" t="s">
        <v>76</v>
      </c>
      <c r="B19" s="5" t="s">
        <v>195</v>
      </c>
      <c r="C19" s="417"/>
      <c r="D19" s="417"/>
      <c r="E19" s="384">
        <v>4305</v>
      </c>
    </row>
    <row r="20" spans="1:5" s="159" customFormat="1" ht="12" customHeight="1" thickBot="1">
      <c r="A20" s="79" t="s">
        <v>10</v>
      </c>
      <c r="B20" s="93" t="s">
        <v>310</v>
      </c>
      <c r="C20" s="260">
        <f>SUM(C21:C23)</f>
        <v>0</v>
      </c>
      <c r="D20" s="260">
        <f>SUM(D21:D23)</f>
        <v>0</v>
      </c>
      <c r="E20" s="260">
        <f>SUM(E21:E23)</f>
        <v>0</v>
      </c>
    </row>
    <row r="21" spans="1:5" s="215" customFormat="1" ht="12" customHeight="1">
      <c r="A21" s="208" t="s">
        <v>67</v>
      </c>
      <c r="B21" s="7" t="s">
        <v>168</v>
      </c>
      <c r="C21" s="334"/>
      <c r="D21" s="334"/>
      <c r="E21" s="384"/>
    </row>
    <row r="22" spans="1:5" s="215" customFormat="1" ht="12" customHeight="1">
      <c r="A22" s="208" t="s">
        <v>68</v>
      </c>
      <c r="B22" s="6" t="s">
        <v>311</v>
      </c>
      <c r="C22" s="334"/>
      <c r="D22" s="334"/>
      <c r="E22" s="384"/>
    </row>
    <row r="23" spans="1:5" s="215" customFormat="1" ht="12" customHeight="1">
      <c r="A23" s="208" t="s">
        <v>69</v>
      </c>
      <c r="B23" s="6" t="s">
        <v>312</v>
      </c>
      <c r="C23" s="334"/>
      <c r="D23" s="334"/>
      <c r="E23" s="384"/>
    </row>
    <row r="24" spans="1:5" s="215" customFormat="1" ht="12" customHeight="1" thickBot="1">
      <c r="A24" s="208" t="s">
        <v>70</v>
      </c>
      <c r="B24" s="6" t="s">
        <v>455</v>
      </c>
      <c r="C24" s="334"/>
      <c r="D24" s="334"/>
      <c r="E24" s="385"/>
    </row>
    <row r="25" spans="1:5" s="215" customFormat="1" ht="12" customHeight="1" thickBot="1">
      <c r="A25" s="85" t="s">
        <v>11</v>
      </c>
      <c r="B25" s="56" t="s">
        <v>113</v>
      </c>
      <c r="C25" s="386"/>
      <c r="D25" s="386"/>
      <c r="E25" s="387"/>
    </row>
    <row r="26" spans="1:5" s="215" customFormat="1" ht="12" customHeight="1" thickBot="1">
      <c r="A26" s="85" t="s">
        <v>12</v>
      </c>
      <c r="B26" s="56" t="s">
        <v>456</v>
      </c>
      <c r="C26" s="260">
        <f>+C27+C28</f>
        <v>0</v>
      </c>
      <c r="D26" s="260">
        <f>+D27+D28</f>
        <v>0</v>
      </c>
      <c r="E26" s="260">
        <f>+E27+E28</f>
        <v>0</v>
      </c>
    </row>
    <row r="27" spans="1:5" s="215" customFormat="1" ht="12" customHeight="1">
      <c r="A27" s="209" t="s">
        <v>177</v>
      </c>
      <c r="B27" s="210" t="s">
        <v>311</v>
      </c>
      <c r="C27" s="261"/>
      <c r="D27" s="263"/>
      <c r="E27" s="384"/>
    </row>
    <row r="28" spans="1:5" s="215" customFormat="1" ht="12" customHeight="1">
      <c r="A28" s="209" t="s">
        <v>178</v>
      </c>
      <c r="B28" s="211" t="s">
        <v>313</v>
      </c>
      <c r="C28" s="264"/>
      <c r="D28" s="263"/>
      <c r="E28" s="384"/>
    </row>
    <row r="29" spans="1:5" s="215" customFormat="1" ht="12" customHeight="1" thickBot="1">
      <c r="A29" s="208" t="s">
        <v>179</v>
      </c>
      <c r="B29" s="66" t="s">
        <v>457</v>
      </c>
      <c r="C29" s="265"/>
      <c r="D29" s="263"/>
      <c r="E29" s="384"/>
    </row>
    <row r="30" spans="1:5" s="215" customFormat="1" ht="12" customHeight="1" thickBot="1">
      <c r="A30" s="85" t="s">
        <v>13</v>
      </c>
      <c r="B30" s="56" t="s">
        <v>314</v>
      </c>
      <c r="C30" s="260">
        <f>+C31+C32+C33</f>
        <v>0</v>
      </c>
      <c r="D30" s="260">
        <f>+D31+D32+D33</f>
        <v>0</v>
      </c>
      <c r="E30" s="260">
        <f>+E31+E32+E33</f>
        <v>0</v>
      </c>
    </row>
    <row r="31" spans="1:5" s="215" customFormat="1" ht="12" customHeight="1">
      <c r="A31" s="209" t="s">
        <v>54</v>
      </c>
      <c r="B31" s="210" t="s">
        <v>200</v>
      </c>
      <c r="C31" s="261"/>
      <c r="D31" s="263"/>
      <c r="E31" s="384"/>
    </row>
    <row r="32" spans="1:5" s="215" customFormat="1" ht="12" customHeight="1">
      <c r="A32" s="209" t="s">
        <v>55</v>
      </c>
      <c r="B32" s="211" t="s">
        <v>201</v>
      </c>
      <c r="C32" s="264"/>
      <c r="D32" s="263"/>
      <c r="E32" s="384"/>
    </row>
    <row r="33" spans="1:5" s="215" customFormat="1" ht="12" customHeight="1" thickBot="1">
      <c r="A33" s="208" t="s">
        <v>56</v>
      </c>
      <c r="B33" s="66" t="s">
        <v>202</v>
      </c>
      <c r="C33" s="265"/>
      <c r="D33" s="50"/>
      <c r="E33" s="385"/>
    </row>
    <row r="34" spans="1:5" s="159" customFormat="1" ht="12" customHeight="1" thickBot="1">
      <c r="A34" s="85" t="s">
        <v>14</v>
      </c>
      <c r="B34" s="56" t="s">
        <v>287</v>
      </c>
      <c r="C34" s="262"/>
      <c r="D34" s="262"/>
      <c r="E34" s="387"/>
    </row>
    <row r="35" spans="1:5" s="159" customFormat="1" ht="12" customHeight="1" thickBot="1">
      <c r="A35" s="85" t="s">
        <v>15</v>
      </c>
      <c r="B35" s="56" t="s">
        <v>315</v>
      </c>
      <c r="C35" s="266"/>
      <c r="D35" s="263"/>
      <c r="E35" s="388"/>
    </row>
    <row r="36" spans="1:5" s="159" customFormat="1" ht="12" customHeight="1" thickBot="1">
      <c r="A36" s="79" t="s">
        <v>16</v>
      </c>
      <c r="B36" s="56" t="s">
        <v>458</v>
      </c>
      <c r="C36" s="267">
        <f>+C8+C20+C25+C26+C30+C34+C35</f>
        <v>7656316</v>
      </c>
      <c r="D36" s="267">
        <f>+D8+D20+D25+D26+D30+D34+D35</f>
        <v>8656316</v>
      </c>
      <c r="E36" s="267">
        <f>+E8+E20+E25+E26+E30+E34+E35</f>
        <v>9367463</v>
      </c>
    </row>
    <row r="37" spans="1:5" s="159" customFormat="1" ht="12" customHeight="1" thickBot="1">
      <c r="A37" s="94" t="s">
        <v>17</v>
      </c>
      <c r="B37" s="56" t="s">
        <v>316</v>
      </c>
      <c r="C37" s="267">
        <f>+C38+C39+C40</f>
        <v>17271198</v>
      </c>
      <c r="D37" s="267">
        <f>+D38+D39+D40</f>
        <v>18311053</v>
      </c>
      <c r="E37" s="267">
        <f>+E38+E39+E40</f>
        <v>11419746</v>
      </c>
    </row>
    <row r="38" spans="1:5" s="159" customFormat="1" ht="12" customHeight="1">
      <c r="A38" s="209" t="s">
        <v>317</v>
      </c>
      <c r="B38" s="210" t="s">
        <v>150</v>
      </c>
      <c r="C38" s="418"/>
      <c r="D38" s="418">
        <v>1039855</v>
      </c>
      <c r="E38" s="384">
        <v>1039855</v>
      </c>
    </row>
    <row r="39" spans="1:5" s="159" customFormat="1" ht="12" customHeight="1">
      <c r="A39" s="209" t="s">
        <v>318</v>
      </c>
      <c r="B39" s="211" t="s">
        <v>0</v>
      </c>
      <c r="C39" s="416"/>
      <c r="D39" s="416"/>
      <c r="E39" s="384"/>
    </row>
    <row r="40" spans="1:5" s="215" customFormat="1" ht="12" customHeight="1" thickBot="1">
      <c r="A40" s="208" t="s">
        <v>319</v>
      </c>
      <c r="B40" s="66" t="s">
        <v>320</v>
      </c>
      <c r="C40" s="767">
        <v>17271198</v>
      </c>
      <c r="D40" s="767">
        <v>17271198</v>
      </c>
      <c r="E40" s="384">
        <v>10379891</v>
      </c>
    </row>
    <row r="41" spans="1:5" s="215" customFormat="1" ht="15" customHeight="1" thickBot="1">
      <c r="A41" s="94" t="s">
        <v>18</v>
      </c>
      <c r="B41" s="95" t="s">
        <v>321</v>
      </c>
      <c r="C41" s="267">
        <f>+C36+C37</f>
        <v>24927514</v>
      </c>
      <c r="D41" s="267">
        <f>+D36+D37</f>
        <v>26967369</v>
      </c>
      <c r="E41" s="267">
        <f>+E36+E37</f>
        <v>20787209</v>
      </c>
    </row>
    <row r="42" spans="1:3" s="215" customFormat="1" ht="15" customHeight="1">
      <c r="A42" s="96"/>
      <c r="B42" s="97"/>
      <c r="C42" s="156"/>
    </row>
    <row r="43" spans="1:3" ht="13.5" thickBot="1">
      <c r="A43" s="98"/>
      <c r="B43" s="99"/>
      <c r="C43" s="157"/>
    </row>
    <row r="44" spans="1:5" s="214" customFormat="1" ht="16.5" customHeight="1" thickBot="1">
      <c r="A44" s="848" t="s">
        <v>45</v>
      </c>
      <c r="B44" s="849"/>
      <c r="C44" s="849"/>
      <c r="D44" s="849"/>
      <c r="E44" s="850"/>
    </row>
    <row r="45" spans="1:5" s="216" customFormat="1" ht="12" customHeight="1" thickBot="1">
      <c r="A45" s="85" t="s">
        <v>9</v>
      </c>
      <c r="B45" s="56" t="s">
        <v>322</v>
      </c>
      <c r="C45" s="389">
        <f>SUM(C46:C50)</f>
        <v>24927514</v>
      </c>
      <c r="D45" s="389">
        <f>SUM(D46:D50)</f>
        <v>26967369</v>
      </c>
      <c r="E45" s="389">
        <f>SUM(E46:E50)</f>
        <v>19187435</v>
      </c>
    </row>
    <row r="46" spans="1:5" ht="12" customHeight="1">
      <c r="A46" s="208" t="s">
        <v>61</v>
      </c>
      <c r="B46" s="7" t="s">
        <v>39</v>
      </c>
      <c r="C46" s="766">
        <v>7422600</v>
      </c>
      <c r="D46" s="418">
        <v>7489009</v>
      </c>
      <c r="E46" s="384">
        <v>7489009</v>
      </c>
    </row>
    <row r="47" spans="1:5" ht="12" customHeight="1">
      <c r="A47" s="208" t="s">
        <v>62</v>
      </c>
      <c r="B47" s="6" t="s">
        <v>122</v>
      </c>
      <c r="C47" s="742">
        <v>1777494</v>
      </c>
      <c r="D47" s="415">
        <v>1712012</v>
      </c>
      <c r="E47" s="384">
        <v>1466512</v>
      </c>
    </row>
    <row r="48" spans="1:5" ht="12" customHeight="1">
      <c r="A48" s="208" t="s">
        <v>63</v>
      </c>
      <c r="B48" s="6" t="s">
        <v>87</v>
      </c>
      <c r="C48" s="742">
        <v>15727420</v>
      </c>
      <c r="D48" s="415">
        <v>17766348</v>
      </c>
      <c r="E48" s="384">
        <v>10231914</v>
      </c>
    </row>
    <row r="49" spans="1:5" ht="12" customHeight="1">
      <c r="A49" s="208" t="s">
        <v>64</v>
      </c>
      <c r="B49" s="6" t="s">
        <v>123</v>
      </c>
      <c r="C49" s="415"/>
      <c r="D49" s="415"/>
      <c r="E49" s="384"/>
    </row>
    <row r="50" spans="1:5" ht="12" customHeight="1" thickBot="1">
      <c r="A50" s="208" t="s">
        <v>88</v>
      </c>
      <c r="B50" s="6" t="s">
        <v>124</v>
      </c>
      <c r="C50" s="415"/>
      <c r="D50" s="415"/>
      <c r="E50" s="384"/>
    </row>
    <row r="51" spans="1:5" ht="12" customHeight="1" thickBot="1">
      <c r="A51" s="85" t="s">
        <v>10</v>
      </c>
      <c r="B51" s="56" t="s">
        <v>323</v>
      </c>
      <c r="C51" s="389">
        <f>SUM(C52:C54)</f>
        <v>0</v>
      </c>
      <c r="D51" s="389">
        <f>SUM(D52:D54)</f>
        <v>0</v>
      </c>
      <c r="E51" s="389">
        <f>SUM(E52:E54)</f>
        <v>0</v>
      </c>
    </row>
    <row r="52" spans="1:5" s="216" customFormat="1" ht="12" customHeight="1">
      <c r="A52" s="208" t="s">
        <v>67</v>
      </c>
      <c r="B52" s="7" t="s">
        <v>141</v>
      </c>
      <c r="C52" s="43"/>
      <c r="D52" s="43"/>
      <c r="E52" s="384"/>
    </row>
    <row r="53" spans="1:5" ht="12" customHeight="1">
      <c r="A53" s="208" t="s">
        <v>68</v>
      </c>
      <c r="B53" s="6" t="s">
        <v>126</v>
      </c>
      <c r="C53" s="46"/>
      <c r="D53" s="46"/>
      <c r="E53" s="384"/>
    </row>
    <row r="54" spans="1:5" ht="12" customHeight="1">
      <c r="A54" s="208" t="s">
        <v>69</v>
      </c>
      <c r="B54" s="6" t="s">
        <v>46</v>
      </c>
      <c r="C54" s="46"/>
      <c r="D54" s="46"/>
      <c r="E54" s="384"/>
    </row>
    <row r="55" spans="1:5" ht="12" customHeight="1" thickBot="1">
      <c r="A55" s="208" t="s">
        <v>70</v>
      </c>
      <c r="B55" s="6" t="s">
        <v>404</v>
      </c>
      <c r="C55" s="390"/>
      <c r="D55" s="385"/>
      <c r="E55" s="385"/>
    </row>
    <row r="56" spans="1:5" ht="15" customHeight="1" thickBot="1">
      <c r="A56" s="85" t="s">
        <v>11</v>
      </c>
      <c r="B56" s="56" t="s">
        <v>5</v>
      </c>
      <c r="C56" s="391"/>
      <c r="D56" s="387"/>
      <c r="E56" s="387"/>
    </row>
    <row r="57" spans="1:5" ht="13.5" thickBot="1">
      <c r="A57" s="85" t="s">
        <v>12</v>
      </c>
      <c r="B57" s="100" t="s">
        <v>405</v>
      </c>
      <c r="C57" s="389">
        <f>+C45+C51+C56</f>
        <v>24927514</v>
      </c>
      <c r="D57" s="389">
        <f>+D45+D51+D56</f>
        <v>26967369</v>
      </c>
      <c r="E57" s="389">
        <f>+E45+E51+E56</f>
        <v>19187435</v>
      </c>
    </row>
    <row r="58" spans="3:5" ht="15" customHeight="1" thickBot="1">
      <c r="C58" s="158"/>
      <c r="E58" s="392"/>
    </row>
    <row r="59" spans="1:5" ht="14.25" customHeight="1" thickBot="1">
      <c r="A59" s="103" t="s">
        <v>402</v>
      </c>
      <c r="B59" s="104"/>
      <c r="C59" s="380">
        <v>3</v>
      </c>
      <c r="D59" s="380">
        <v>3</v>
      </c>
      <c r="E59" s="393">
        <v>3</v>
      </c>
    </row>
    <row r="60" spans="1:5" ht="13.5" thickBot="1">
      <c r="A60" s="103" t="s">
        <v>138</v>
      </c>
      <c r="B60" s="104"/>
      <c r="C60" s="380">
        <v>0</v>
      </c>
      <c r="D60" s="380">
        <v>0</v>
      </c>
      <c r="E60" s="393">
        <v>0</v>
      </c>
    </row>
  </sheetData>
  <sheetProtection formatCells="0"/>
  <mergeCells count="5">
    <mergeCell ref="B1:C1"/>
    <mergeCell ref="C2:E2"/>
    <mergeCell ref="C3:E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7">
      <selection activeCell="B1" sqref="B1:C1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0.00390625" style="0" customWidth="1"/>
    <col min="4" max="4" width="19.125" style="0" customWidth="1"/>
    <col min="5" max="5" width="19.375" style="0" customWidth="1"/>
    <col min="6" max="6" width="26.25390625" style="0" customWidth="1"/>
  </cols>
  <sheetData>
    <row r="1" spans="1:5" ht="15.75" thickBot="1">
      <c r="A1" s="89"/>
      <c r="B1" s="856" t="s">
        <v>805</v>
      </c>
      <c r="C1" s="857"/>
      <c r="D1" s="90"/>
      <c r="E1" s="90"/>
    </row>
    <row r="2" spans="1:5" ht="24" customHeight="1" thickBot="1">
      <c r="A2" s="175" t="s">
        <v>136</v>
      </c>
      <c r="B2" s="413" t="s">
        <v>793</v>
      </c>
      <c r="C2" s="845" t="s">
        <v>42</v>
      </c>
      <c r="D2" s="846"/>
      <c r="E2" s="847"/>
    </row>
    <row r="3" spans="1:5" ht="29.25" customHeight="1" thickBot="1">
      <c r="A3" s="206" t="s">
        <v>135</v>
      </c>
      <c r="B3" s="259" t="s">
        <v>307</v>
      </c>
      <c r="C3" s="845" t="s">
        <v>42</v>
      </c>
      <c r="D3" s="846"/>
      <c r="E3" s="847"/>
    </row>
    <row r="4" spans="1:5" ht="13.5" thickBot="1">
      <c r="A4" s="91"/>
      <c r="B4" s="91"/>
      <c r="C4" s="343" t="s">
        <v>426</v>
      </c>
      <c r="D4" s="213"/>
      <c r="E4" s="213"/>
    </row>
    <row r="5" spans="1:5" ht="23.25" thickBot="1">
      <c r="A5" s="176" t="s">
        <v>137</v>
      </c>
      <c r="B5" s="92" t="s">
        <v>43</v>
      </c>
      <c r="C5" s="345" t="s">
        <v>792</v>
      </c>
      <c r="D5" s="346" t="s">
        <v>773</v>
      </c>
      <c r="E5" s="346" t="s">
        <v>774</v>
      </c>
    </row>
    <row r="6" spans="1:5" ht="13.5" thickBot="1">
      <c r="A6" s="79" t="s">
        <v>394</v>
      </c>
      <c r="B6" s="80" t="s">
        <v>395</v>
      </c>
      <c r="C6" s="81" t="s">
        <v>396</v>
      </c>
      <c r="D6" s="383" t="s">
        <v>398</v>
      </c>
      <c r="E6" s="383" t="s">
        <v>397</v>
      </c>
    </row>
    <row r="7" spans="1:5" ht="13.5" thickBot="1">
      <c r="A7" s="858" t="s">
        <v>44</v>
      </c>
      <c r="B7" s="859"/>
      <c r="C7" s="859"/>
      <c r="D7" s="859"/>
      <c r="E7" s="860"/>
    </row>
    <row r="8" spans="1:5" ht="13.5" thickBot="1">
      <c r="A8" s="79" t="s">
        <v>9</v>
      </c>
      <c r="B8" s="93" t="s">
        <v>403</v>
      </c>
      <c r="C8" s="260"/>
      <c r="D8" s="260">
        <f>SUM(D9:D19)</f>
        <v>0</v>
      </c>
      <c r="E8" s="260">
        <f>SUM(E9:E19)</f>
        <v>0</v>
      </c>
    </row>
    <row r="9" spans="1:5" ht="12.75">
      <c r="A9" s="207" t="s">
        <v>61</v>
      </c>
      <c r="B9" s="8" t="s">
        <v>186</v>
      </c>
      <c r="C9" s="414"/>
      <c r="D9" s="414"/>
      <c r="E9" s="384"/>
    </row>
    <row r="10" spans="1:5" ht="12.75">
      <c r="A10" s="208" t="s">
        <v>62</v>
      </c>
      <c r="B10" s="6" t="s">
        <v>187</v>
      </c>
      <c r="C10" s="415"/>
      <c r="D10" s="415"/>
      <c r="E10" s="384"/>
    </row>
    <row r="11" spans="1:5" ht="12.75">
      <c r="A11" s="208" t="s">
        <v>63</v>
      </c>
      <c r="B11" s="6" t="s">
        <v>188</v>
      </c>
      <c r="C11" s="415"/>
      <c r="D11" s="415"/>
      <c r="E11" s="384"/>
    </row>
    <row r="12" spans="1:5" ht="12.75">
      <c r="A12" s="208" t="s">
        <v>64</v>
      </c>
      <c r="B12" s="6" t="s">
        <v>189</v>
      </c>
      <c r="C12" s="415"/>
      <c r="D12" s="415"/>
      <c r="E12" s="384"/>
    </row>
    <row r="13" spans="1:5" ht="12.75">
      <c r="A13" s="208" t="s">
        <v>88</v>
      </c>
      <c r="B13" s="6" t="s">
        <v>190</v>
      </c>
      <c r="C13" s="415"/>
      <c r="D13" s="415"/>
      <c r="E13" s="384"/>
    </row>
    <row r="14" spans="1:5" ht="12.75">
      <c r="A14" s="208" t="s">
        <v>65</v>
      </c>
      <c r="B14" s="6" t="s">
        <v>308</v>
      </c>
      <c r="C14" s="415"/>
      <c r="D14" s="415"/>
      <c r="E14" s="384"/>
    </row>
    <row r="15" spans="1:5" ht="12.75">
      <c r="A15" s="208" t="s">
        <v>66</v>
      </c>
      <c r="B15" s="5" t="s">
        <v>309</v>
      </c>
      <c r="C15" s="415"/>
      <c r="D15" s="415"/>
      <c r="E15" s="384"/>
    </row>
    <row r="16" spans="1:5" ht="12.75">
      <c r="A16" s="208" t="s">
        <v>73</v>
      </c>
      <c r="B16" s="6" t="s">
        <v>193</v>
      </c>
      <c r="C16" s="416"/>
      <c r="D16" s="416"/>
      <c r="E16" s="384"/>
    </row>
    <row r="17" spans="1:5" ht="12.75">
      <c r="A17" s="208" t="s">
        <v>74</v>
      </c>
      <c r="B17" s="6" t="s">
        <v>194</v>
      </c>
      <c r="C17" s="415"/>
      <c r="D17" s="415"/>
      <c r="E17" s="384"/>
    </row>
    <row r="18" spans="1:5" ht="12.75">
      <c r="A18" s="208" t="s">
        <v>75</v>
      </c>
      <c r="B18" s="6" t="s">
        <v>337</v>
      </c>
      <c r="C18" s="417"/>
      <c r="D18" s="417"/>
      <c r="E18" s="384"/>
    </row>
    <row r="19" spans="1:5" ht="13.5" thickBot="1">
      <c r="A19" s="208" t="s">
        <v>76</v>
      </c>
      <c r="B19" s="5" t="s">
        <v>195</v>
      </c>
      <c r="C19" s="417"/>
      <c r="D19" s="417"/>
      <c r="E19" s="384"/>
    </row>
    <row r="20" spans="1:5" ht="21" thickBot="1">
      <c r="A20" s="79" t="s">
        <v>10</v>
      </c>
      <c r="B20" s="93" t="s">
        <v>310</v>
      </c>
      <c r="C20" s="260"/>
      <c r="D20" s="260">
        <f>SUM(D21:D23)</f>
        <v>0</v>
      </c>
      <c r="E20" s="260">
        <f>SUM(E21:E23)</f>
        <v>0</v>
      </c>
    </row>
    <row r="21" spans="1:5" ht="12.75">
      <c r="A21" s="208" t="s">
        <v>67</v>
      </c>
      <c r="B21" s="7" t="s">
        <v>168</v>
      </c>
      <c r="C21" s="334"/>
      <c r="D21" s="334"/>
      <c r="E21" s="384"/>
    </row>
    <row r="22" spans="1:5" ht="12.75">
      <c r="A22" s="208" t="s">
        <v>68</v>
      </c>
      <c r="B22" s="6" t="s">
        <v>311</v>
      </c>
      <c r="C22" s="334"/>
      <c r="D22" s="334"/>
      <c r="E22" s="384"/>
    </row>
    <row r="23" spans="1:5" ht="12.75">
      <c r="A23" s="208" t="s">
        <v>69</v>
      </c>
      <c r="B23" s="6" t="s">
        <v>312</v>
      </c>
      <c r="C23" s="334"/>
      <c r="D23" s="334"/>
      <c r="E23" s="384"/>
    </row>
    <row r="24" spans="1:5" ht="13.5" thickBot="1">
      <c r="A24" s="208" t="s">
        <v>70</v>
      </c>
      <c r="B24" s="6" t="s">
        <v>455</v>
      </c>
      <c r="C24" s="334"/>
      <c r="D24" s="334"/>
      <c r="E24" s="385"/>
    </row>
    <row r="25" spans="1:5" ht="13.5" thickBot="1">
      <c r="A25" s="85" t="s">
        <v>11</v>
      </c>
      <c r="B25" s="56" t="s">
        <v>113</v>
      </c>
      <c r="C25" s="386"/>
      <c r="D25" s="386"/>
      <c r="E25" s="387"/>
    </row>
    <row r="26" spans="1:5" ht="21" thickBot="1">
      <c r="A26" s="85" t="s">
        <v>12</v>
      </c>
      <c r="B26" s="56" t="s">
        <v>456</v>
      </c>
      <c r="C26" s="260"/>
      <c r="D26" s="260">
        <f>+D27+D28</f>
        <v>0</v>
      </c>
      <c r="E26" s="260">
        <f>+E27+E28</f>
        <v>0</v>
      </c>
    </row>
    <row r="27" spans="1:5" ht="12.75">
      <c r="A27" s="209" t="s">
        <v>177</v>
      </c>
      <c r="B27" s="210" t="s">
        <v>311</v>
      </c>
      <c r="C27" s="261"/>
      <c r="D27" s="263"/>
      <c r="E27" s="384"/>
    </row>
    <row r="28" spans="1:5" ht="12.75">
      <c r="A28" s="209" t="s">
        <v>178</v>
      </c>
      <c r="B28" s="211" t="s">
        <v>313</v>
      </c>
      <c r="C28" s="264"/>
      <c r="D28" s="263"/>
      <c r="E28" s="384"/>
    </row>
    <row r="29" spans="1:5" ht="13.5" thickBot="1">
      <c r="A29" s="208" t="s">
        <v>179</v>
      </c>
      <c r="B29" s="66" t="s">
        <v>457</v>
      </c>
      <c r="C29" s="265"/>
      <c r="D29" s="263"/>
      <c r="E29" s="384"/>
    </row>
    <row r="30" spans="1:5" ht="13.5" thickBot="1">
      <c r="A30" s="85" t="s">
        <v>13</v>
      </c>
      <c r="B30" s="56" t="s">
        <v>314</v>
      </c>
      <c r="C30" s="260"/>
      <c r="D30" s="260">
        <f>+D31+D32+D33</f>
        <v>0</v>
      </c>
      <c r="E30" s="260">
        <f>+E31+E32+E33</f>
        <v>0</v>
      </c>
    </row>
    <row r="31" spans="1:5" ht="12.75">
      <c r="A31" s="209" t="s">
        <v>54</v>
      </c>
      <c r="B31" s="210" t="s">
        <v>200</v>
      </c>
      <c r="C31" s="261"/>
      <c r="D31" s="263"/>
      <c r="E31" s="384"/>
    </row>
    <row r="32" spans="1:5" ht="12.75">
      <c r="A32" s="209" t="s">
        <v>55</v>
      </c>
      <c r="B32" s="211" t="s">
        <v>201</v>
      </c>
      <c r="C32" s="264"/>
      <c r="D32" s="263"/>
      <c r="E32" s="384"/>
    </row>
    <row r="33" spans="1:5" ht="13.5" thickBot="1">
      <c r="A33" s="208" t="s">
        <v>56</v>
      </c>
      <c r="B33" s="66" t="s">
        <v>202</v>
      </c>
      <c r="C33" s="265"/>
      <c r="D33" s="50"/>
      <c r="E33" s="385"/>
    </row>
    <row r="34" spans="1:5" ht="13.5" thickBot="1">
      <c r="A34" s="85" t="s">
        <v>14</v>
      </c>
      <c r="B34" s="56" t="s">
        <v>287</v>
      </c>
      <c r="C34" s="262"/>
      <c r="D34" s="262"/>
      <c r="E34" s="387"/>
    </row>
    <row r="35" spans="1:5" ht="13.5" thickBot="1">
      <c r="A35" s="85" t="s">
        <v>15</v>
      </c>
      <c r="B35" s="56" t="s">
        <v>315</v>
      </c>
      <c r="C35" s="266"/>
      <c r="D35" s="263"/>
      <c r="E35" s="388"/>
    </row>
    <row r="36" spans="1:5" ht="13.5" thickBot="1">
      <c r="A36" s="79" t="s">
        <v>16</v>
      </c>
      <c r="B36" s="56" t="s">
        <v>458</v>
      </c>
      <c r="C36" s="267"/>
      <c r="D36" s="267">
        <f>+D8+D20+D25+D26+D30+D34+D35</f>
        <v>0</v>
      </c>
      <c r="E36" s="267">
        <f>+E8+E20+E25+E26+E30+E34+E35</f>
        <v>0</v>
      </c>
    </row>
    <row r="37" spans="1:5" ht="13.5" thickBot="1">
      <c r="A37" s="94" t="s">
        <v>17</v>
      </c>
      <c r="B37" s="56" t="s">
        <v>316</v>
      </c>
      <c r="C37" s="267"/>
      <c r="D37" s="267">
        <f>+D38+D39+D40</f>
        <v>6595566</v>
      </c>
      <c r="E37" s="267">
        <f>+E38+E39+E40</f>
        <v>6541111</v>
      </c>
    </row>
    <row r="38" spans="1:5" ht="12.75">
      <c r="A38" s="209" t="s">
        <v>317</v>
      </c>
      <c r="B38" s="210" t="s">
        <v>150</v>
      </c>
      <c r="C38" s="418"/>
      <c r="D38" s="418"/>
      <c r="E38" s="384"/>
    </row>
    <row r="39" spans="1:5" ht="12.75">
      <c r="A39" s="209" t="s">
        <v>318</v>
      </c>
      <c r="B39" s="211" t="s">
        <v>0</v>
      </c>
      <c r="C39" s="416"/>
      <c r="D39" s="416"/>
      <c r="E39" s="384"/>
    </row>
    <row r="40" spans="1:5" ht="13.5" thickBot="1">
      <c r="A40" s="208" t="s">
        <v>319</v>
      </c>
      <c r="B40" s="66" t="s">
        <v>320</v>
      </c>
      <c r="C40" s="419"/>
      <c r="D40" s="419">
        <v>6595566</v>
      </c>
      <c r="E40" s="384">
        <v>6541111</v>
      </c>
    </row>
    <row r="41" spans="1:5" ht="13.5" thickBot="1">
      <c r="A41" s="94" t="s">
        <v>18</v>
      </c>
      <c r="B41" s="95" t="s">
        <v>321</v>
      </c>
      <c r="C41" s="267"/>
      <c r="D41" s="267">
        <f>+D36+D37</f>
        <v>6595566</v>
      </c>
      <c r="E41" s="267">
        <f>+E36+E37</f>
        <v>6541111</v>
      </c>
    </row>
    <row r="42" spans="1:5" ht="13.5">
      <c r="A42" s="96"/>
      <c r="B42" s="97"/>
      <c r="C42" s="156"/>
      <c r="D42" s="215"/>
      <c r="E42" s="215"/>
    </row>
    <row r="43" spans="1:5" ht="13.5" thickBot="1">
      <c r="A43" s="98"/>
      <c r="B43" s="99"/>
      <c r="C43" s="157"/>
      <c r="D43" s="102"/>
      <c r="E43" s="102"/>
    </row>
    <row r="44" spans="1:5" ht="13.5" thickBot="1">
      <c r="A44" s="848" t="s">
        <v>45</v>
      </c>
      <c r="B44" s="849"/>
      <c r="C44" s="849"/>
      <c r="D44" s="849"/>
      <c r="E44" s="850"/>
    </row>
    <row r="45" spans="1:5" ht="13.5" thickBot="1">
      <c r="A45" s="85" t="s">
        <v>9</v>
      </c>
      <c r="B45" s="56" t="s">
        <v>322</v>
      </c>
      <c r="C45" s="389"/>
      <c r="D45" s="389">
        <f>SUM(D46:D50)</f>
        <v>6595566</v>
      </c>
      <c r="E45" s="389">
        <f>SUM(E46:E50)</f>
        <v>6534136</v>
      </c>
    </row>
    <row r="46" spans="1:5" ht="12.75">
      <c r="A46" s="208" t="s">
        <v>61</v>
      </c>
      <c r="B46" s="7" t="s">
        <v>39</v>
      </c>
      <c r="C46" s="418"/>
      <c r="D46" s="418">
        <v>5360520</v>
      </c>
      <c r="E46" s="384">
        <v>5358170</v>
      </c>
    </row>
    <row r="47" spans="1:5" ht="12.75">
      <c r="A47" s="208" t="s">
        <v>62</v>
      </c>
      <c r="B47" s="6" t="s">
        <v>122</v>
      </c>
      <c r="C47" s="415"/>
      <c r="D47" s="415">
        <v>920591</v>
      </c>
      <c r="E47" s="384">
        <v>920591</v>
      </c>
    </row>
    <row r="48" spans="1:5" ht="12.75">
      <c r="A48" s="208" t="s">
        <v>63</v>
      </c>
      <c r="B48" s="6" t="s">
        <v>87</v>
      </c>
      <c r="C48" s="415"/>
      <c r="D48" s="415">
        <v>314455</v>
      </c>
      <c r="E48" s="384">
        <v>255375</v>
      </c>
    </row>
    <row r="49" spans="1:5" ht="12.75">
      <c r="A49" s="208" t="s">
        <v>64</v>
      </c>
      <c r="B49" s="6" t="s">
        <v>123</v>
      </c>
      <c r="C49" s="415"/>
      <c r="D49" s="415"/>
      <c r="E49" s="384"/>
    </row>
    <row r="50" spans="1:5" ht="13.5" thickBot="1">
      <c r="A50" s="208" t="s">
        <v>88</v>
      </c>
      <c r="B50" s="6" t="s">
        <v>124</v>
      </c>
      <c r="C50" s="415"/>
      <c r="D50" s="415"/>
      <c r="E50" s="384"/>
    </row>
    <row r="51" spans="1:5" ht="13.5" thickBot="1">
      <c r="A51" s="85" t="s">
        <v>10</v>
      </c>
      <c r="B51" s="56" t="s">
        <v>323</v>
      </c>
      <c r="C51" s="389"/>
      <c r="D51" s="389">
        <f>SUM(D52:D54)</f>
        <v>0</v>
      </c>
      <c r="E51" s="389">
        <f>SUM(E52:E54)</f>
        <v>0</v>
      </c>
    </row>
    <row r="52" spans="1:5" ht="12.75">
      <c r="A52" s="208" t="s">
        <v>67</v>
      </c>
      <c r="B52" s="7" t="s">
        <v>141</v>
      </c>
      <c r="C52" s="43"/>
      <c r="D52" s="43"/>
      <c r="E52" s="384"/>
    </row>
    <row r="53" spans="1:5" ht="12.75">
      <c r="A53" s="208" t="s">
        <v>68</v>
      </c>
      <c r="B53" s="6" t="s">
        <v>126</v>
      </c>
      <c r="C53" s="46"/>
      <c r="D53" s="46"/>
      <c r="E53" s="384"/>
    </row>
    <row r="54" spans="1:5" ht="12.75">
      <c r="A54" s="208" t="s">
        <v>69</v>
      </c>
      <c r="B54" s="6" t="s">
        <v>46</v>
      </c>
      <c r="C54" s="46"/>
      <c r="D54" s="46"/>
      <c r="E54" s="384"/>
    </row>
    <row r="55" spans="1:5" ht="21" thickBot="1">
      <c r="A55" s="208" t="s">
        <v>70</v>
      </c>
      <c r="B55" s="6" t="s">
        <v>404</v>
      </c>
      <c r="C55" s="390"/>
      <c r="D55" s="385"/>
      <c r="E55" s="385"/>
    </row>
    <row r="56" spans="1:5" ht="13.5" thickBot="1">
      <c r="A56" s="85" t="s">
        <v>11</v>
      </c>
      <c r="B56" s="56" t="s">
        <v>5</v>
      </c>
      <c r="C56" s="391"/>
      <c r="D56" s="387"/>
      <c r="E56" s="387"/>
    </row>
    <row r="57" spans="1:5" ht="13.5" thickBot="1">
      <c r="A57" s="85" t="s">
        <v>12</v>
      </c>
      <c r="B57" s="100" t="s">
        <v>405</v>
      </c>
      <c r="C57" s="389"/>
      <c r="D57" s="389">
        <f>+D45+D51+D56</f>
        <v>6595566</v>
      </c>
      <c r="E57" s="389">
        <f>+E45+E51+E56</f>
        <v>6534136</v>
      </c>
    </row>
    <row r="58" spans="1:5" ht="13.5" thickBot="1">
      <c r="A58" s="101"/>
      <c r="B58" s="102"/>
      <c r="C58" s="158"/>
      <c r="D58" s="102"/>
      <c r="E58" s="392"/>
    </row>
    <row r="59" spans="1:5" ht="13.5" thickBot="1">
      <c r="A59" s="103" t="s">
        <v>402</v>
      </c>
      <c r="B59" s="104"/>
      <c r="C59" s="380"/>
      <c r="D59" s="380">
        <v>2</v>
      </c>
      <c r="E59" s="393">
        <v>2</v>
      </c>
    </row>
    <row r="60" spans="1:5" ht="13.5" thickBot="1">
      <c r="A60" s="103" t="s">
        <v>138</v>
      </c>
      <c r="B60" s="104"/>
      <c r="C60" s="380"/>
      <c r="D60" s="380">
        <v>0</v>
      </c>
      <c r="E60" s="393">
        <v>0</v>
      </c>
    </row>
  </sheetData>
  <sheetProtection/>
  <mergeCells count="5">
    <mergeCell ref="B1:C1"/>
    <mergeCell ref="C2:E2"/>
    <mergeCell ref="C3:E3"/>
    <mergeCell ref="A7:E7"/>
    <mergeCell ref="A44:E4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Normal="80" zoomScaleSheetLayoutView="100" workbookViewId="0" topLeftCell="A10">
      <selection activeCell="D81" sqref="D81"/>
    </sheetView>
  </sheetViews>
  <sheetFormatPr defaultColWidth="9.00390625" defaultRowHeight="12.75"/>
  <cols>
    <col min="1" max="1" width="25.25390625" style="0" customWidth="1"/>
    <col min="2" max="2" width="15.75390625" style="0" customWidth="1"/>
    <col min="3" max="3" width="15.00390625" style="0" customWidth="1"/>
    <col min="4" max="4" width="18.25390625" style="0" customWidth="1"/>
    <col min="5" max="6" width="15.25390625" style="0" customWidth="1"/>
    <col min="7" max="7" width="13.25390625" style="0" customWidth="1"/>
  </cols>
  <sheetData>
    <row r="1" spans="1:8" ht="19.5" customHeight="1">
      <c r="A1" s="867"/>
      <c r="B1" s="867"/>
      <c r="C1" s="867"/>
      <c r="D1" s="867"/>
      <c r="E1" s="867"/>
      <c r="F1" s="867"/>
      <c r="G1" s="867"/>
      <c r="H1" s="872" t="s">
        <v>815</v>
      </c>
    </row>
    <row r="2" spans="1:8" ht="15">
      <c r="A2" s="420" t="s">
        <v>468</v>
      </c>
      <c r="B2" s="420"/>
      <c r="C2" s="420"/>
      <c r="D2" s="868" t="s">
        <v>777</v>
      </c>
      <c r="E2" s="868"/>
      <c r="F2" s="868"/>
      <c r="G2" s="868"/>
      <c r="H2" s="872"/>
    </row>
    <row r="3" spans="1:8" ht="13.5" thickBot="1">
      <c r="A3" s="421"/>
      <c r="B3" s="421"/>
      <c r="C3" s="421"/>
      <c r="D3" s="421"/>
      <c r="E3" s="421"/>
      <c r="F3" s="869">
        <f>'[1]KV_7.sz.mell.'!F2</f>
        <v>0</v>
      </c>
      <c r="G3" s="869"/>
      <c r="H3" s="872"/>
    </row>
    <row r="4" spans="1:8" ht="13.5" thickBot="1">
      <c r="A4" s="422" t="s">
        <v>469</v>
      </c>
      <c r="B4" s="423" t="s">
        <v>470</v>
      </c>
      <c r="C4" s="423" t="s">
        <v>471</v>
      </c>
      <c r="D4" s="424">
        <v>2019</v>
      </c>
      <c r="E4" s="424">
        <v>2020</v>
      </c>
      <c r="F4" s="424" t="s">
        <v>488</v>
      </c>
      <c r="G4" s="425" t="s">
        <v>467</v>
      </c>
      <c r="H4" s="872"/>
    </row>
    <row r="5" spans="1:8" ht="12.75">
      <c r="A5" s="426" t="s">
        <v>472</v>
      </c>
      <c r="B5" s="427"/>
      <c r="C5" s="427"/>
      <c r="D5" s="428"/>
      <c r="E5" s="428"/>
      <c r="F5" s="428"/>
      <c r="G5" s="429">
        <f aca="true" t="shared" si="0" ref="G5:G11">SUM(D5:F5)</f>
        <v>0</v>
      </c>
      <c r="H5" s="872"/>
    </row>
    <row r="6" spans="1:8" ht="12.75">
      <c r="A6" s="430" t="s">
        <v>473</v>
      </c>
      <c r="B6" s="431"/>
      <c r="C6" s="431"/>
      <c r="D6" s="432"/>
      <c r="E6" s="432"/>
      <c r="F6" s="432"/>
      <c r="G6" s="433">
        <f t="shared" si="0"/>
        <v>0</v>
      </c>
      <c r="H6" s="872"/>
    </row>
    <row r="7" spans="1:8" ht="12.75">
      <c r="A7" s="434" t="s">
        <v>474</v>
      </c>
      <c r="B7" s="435"/>
      <c r="C7" s="455">
        <v>60000000</v>
      </c>
      <c r="D7" s="436"/>
      <c r="E7" s="436"/>
      <c r="F7" s="436"/>
      <c r="G7" s="437">
        <f t="shared" si="0"/>
        <v>0</v>
      </c>
      <c r="H7" s="872"/>
    </row>
    <row r="8" spans="1:8" ht="12.75">
      <c r="A8" s="434" t="s">
        <v>475</v>
      </c>
      <c r="B8" s="435"/>
      <c r="C8" s="435"/>
      <c r="D8" s="436"/>
      <c r="E8" s="436"/>
      <c r="F8" s="436"/>
      <c r="G8" s="437">
        <f t="shared" si="0"/>
        <v>0</v>
      </c>
      <c r="H8" s="872"/>
    </row>
    <row r="9" spans="1:8" ht="12.75">
      <c r="A9" s="434" t="s">
        <v>476</v>
      </c>
      <c r="B9" s="435"/>
      <c r="C9" s="435"/>
      <c r="D9" s="436"/>
      <c r="E9" s="436"/>
      <c r="F9" s="436"/>
      <c r="G9" s="437">
        <f t="shared" si="0"/>
        <v>0</v>
      </c>
      <c r="H9" s="872"/>
    </row>
    <row r="10" spans="1:8" ht="12.75">
      <c r="A10" s="434" t="s">
        <v>477</v>
      </c>
      <c r="B10" s="435"/>
      <c r="C10" s="435"/>
      <c r="D10" s="436"/>
      <c r="E10" s="436"/>
      <c r="F10" s="436"/>
      <c r="G10" s="437">
        <f t="shared" si="0"/>
        <v>0</v>
      </c>
      <c r="H10" s="872"/>
    </row>
    <row r="11" spans="1:8" ht="13.5" thickBot="1">
      <c r="A11" s="438"/>
      <c r="B11" s="439"/>
      <c r="C11" s="439"/>
      <c r="D11" s="440"/>
      <c r="E11" s="440"/>
      <c r="F11" s="440"/>
      <c r="G11" s="437">
        <f t="shared" si="0"/>
        <v>0</v>
      </c>
      <c r="H11" s="872"/>
    </row>
    <row r="12" spans="1:8" ht="13.5" thickBot="1">
      <c r="A12" s="441" t="s">
        <v>478</v>
      </c>
      <c r="B12" s="442"/>
      <c r="C12" s="442"/>
      <c r="D12" s="443">
        <f>D5+SUM(D7:D11)</f>
        <v>0</v>
      </c>
      <c r="E12" s="443">
        <f>E5+SUM(E7:E11)</f>
        <v>0</v>
      </c>
      <c r="F12" s="443">
        <f>F5+SUM(F7:F11)</f>
        <v>0</v>
      </c>
      <c r="G12" s="444">
        <f>G5+SUM(G7:G11)</f>
        <v>0</v>
      </c>
      <c r="H12" s="872"/>
    </row>
    <row r="13" spans="1:8" ht="13.5" thickBot="1">
      <c r="A13" s="445"/>
      <c r="B13" s="445"/>
      <c r="C13" s="445"/>
      <c r="D13" s="445"/>
      <c r="E13" s="445"/>
      <c r="F13" s="445"/>
      <c r="G13" s="445"/>
      <c r="H13" s="872"/>
    </row>
    <row r="14" spans="1:8" ht="13.5" thickBot="1">
      <c r="A14" s="446" t="s">
        <v>479</v>
      </c>
      <c r="B14" s="447" t="s">
        <v>470</v>
      </c>
      <c r="C14" s="447" t="s">
        <v>471</v>
      </c>
      <c r="D14" s="448">
        <f>+D4</f>
        <v>2019</v>
      </c>
      <c r="E14" s="448">
        <f>+E4</f>
        <v>2020</v>
      </c>
      <c r="F14" s="448" t="str">
        <f>+F4</f>
        <v>2020 után</v>
      </c>
      <c r="G14" s="449" t="s">
        <v>467</v>
      </c>
      <c r="H14" s="872"/>
    </row>
    <row r="15" spans="1:8" ht="12.75">
      <c r="A15" s="426" t="s">
        <v>480</v>
      </c>
      <c r="B15" s="427"/>
      <c r="C15" s="427"/>
      <c r="D15" s="428"/>
      <c r="E15" s="428"/>
      <c r="F15" s="428"/>
      <c r="G15" s="429">
        <f aca="true" t="shared" si="1" ref="G15:G20">SUM(D15:F15)</f>
        <v>0</v>
      </c>
      <c r="H15" s="872"/>
    </row>
    <row r="16" spans="1:8" ht="12.75">
      <c r="A16" s="450" t="s">
        <v>481</v>
      </c>
      <c r="B16" s="451"/>
      <c r="C16" s="451"/>
      <c r="D16" s="436">
        <v>53269516</v>
      </c>
      <c r="E16" s="436"/>
      <c r="F16" s="436"/>
      <c r="G16" s="437">
        <f t="shared" si="1"/>
        <v>53269516</v>
      </c>
      <c r="H16" s="872"/>
    </row>
    <row r="17" spans="1:8" ht="12.75">
      <c r="A17" s="434" t="s">
        <v>482</v>
      </c>
      <c r="B17" s="435"/>
      <c r="C17" s="435"/>
      <c r="D17" s="436">
        <v>6357233</v>
      </c>
      <c r="E17" s="436"/>
      <c r="F17" s="436"/>
      <c r="G17" s="437">
        <f t="shared" si="1"/>
        <v>6357233</v>
      </c>
      <c r="H17" s="872"/>
    </row>
    <row r="18" spans="1:8" ht="12.75">
      <c r="A18" s="434" t="s">
        <v>483</v>
      </c>
      <c r="B18" s="435"/>
      <c r="C18" s="435"/>
      <c r="D18" s="436"/>
      <c r="E18" s="436">
        <f>362767+10484</f>
        <v>373251</v>
      </c>
      <c r="F18" s="436"/>
      <c r="G18" s="437">
        <f t="shared" si="1"/>
        <v>373251</v>
      </c>
      <c r="H18" s="872"/>
    </row>
    <row r="19" spans="1:8" ht="12.75">
      <c r="A19" s="452"/>
      <c r="B19" s="453"/>
      <c r="C19" s="453"/>
      <c r="D19" s="436"/>
      <c r="E19" s="436"/>
      <c r="F19" s="436"/>
      <c r="G19" s="437">
        <f t="shared" si="1"/>
        <v>0</v>
      </c>
      <c r="H19" s="872"/>
    </row>
    <row r="20" spans="1:8" ht="13.5" thickBot="1">
      <c r="A20" s="438"/>
      <c r="B20" s="439"/>
      <c r="C20" s="439"/>
      <c r="D20" s="440"/>
      <c r="E20" s="440"/>
      <c r="F20" s="440"/>
      <c r="G20" s="437">
        <f t="shared" si="1"/>
        <v>0</v>
      </c>
      <c r="H20" s="872"/>
    </row>
    <row r="21" spans="1:8" ht="13.5" thickBot="1">
      <c r="A21" s="441" t="s">
        <v>41</v>
      </c>
      <c r="B21" s="442"/>
      <c r="C21" s="442"/>
      <c r="D21" s="443">
        <f>SUM(D15:D20)</f>
        <v>59626749</v>
      </c>
      <c r="E21" s="443">
        <f>SUM(E15:E20)</f>
        <v>373251</v>
      </c>
      <c r="F21" s="443">
        <f>SUM(F15:F20)</f>
        <v>0</v>
      </c>
      <c r="G21" s="444">
        <f>SUM(G15:G20)</f>
        <v>60000000</v>
      </c>
      <c r="H21" s="872"/>
    </row>
    <row r="22" spans="1:8" ht="12.75">
      <c r="A22" s="454"/>
      <c r="B22" s="454"/>
      <c r="C22" s="454"/>
      <c r="D22" s="454"/>
      <c r="E22" s="454"/>
      <c r="F22" s="454"/>
      <c r="G22" s="454"/>
      <c r="H22" s="872"/>
    </row>
    <row r="23" spans="1:8" ht="15">
      <c r="A23" s="420" t="s">
        <v>468</v>
      </c>
      <c r="B23" s="420"/>
      <c r="C23" s="420"/>
      <c r="D23" s="870" t="s">
        <v>775</v>
      </c>
      <c r="E23" s="870"/>
      <c r="F23" s="870"/>
      <c r="G23" s="870"/>
      <c r="H23" s="872"/>
    </row>
    <row r="24" spans="1:8" ht="13.5" thickBot="1">
      <c r="A24" s="454"/>
      <c r="B24" s="454"/>
      <c r="C24" s="454"/>
      <c r="D24" s="454"/>
      <c r="E24" s="454"/>
      <c r="F24" s="871">
        <f>F3</f>
        <v>0</v>
      </c>
      <c r="G24" s="871"/>
      <c r="H24" s="872"/>
    </row>
    <row r="25" spans="1:8" ht="13.5" thickBot="1">
      <c r="A25" s="446" t="s">
        <v>469</v>
      </c>
      <c r="B25" s="447" t="s">
        <v>470</v>
      </c>
      <c r="C25" s="447" t="s">
        <v>471</v>
      </c>
      <c r="D25" s="448">
        <f>+D14</f>
        <v>2019</v>
      </c>
      <c r="E25" s="448">
        <f>+E14</f>
        <v>2020</v>
      </c>
      <c r="F25" s="448" t="str">
        <f>+F14</f>
        <v>2020 után</v>
      </c>
      <c r="G25" s="449" t="s">
        <v>467</v>
      </c>
      <c r="H25" s="872"/>
    </row>
    <row r="26" spans="1:8" ht="12.75">
      <c r="A26" s="426" t="s">
        <v>472</v>
      </c>
      <c r="B26" s="427"/>
      <c r="C26" s="427"/>
      <c r="D26" s="428">
        <v>2585859</v>
      </c>
      <c r="E26" s="428"/>
      <c r="F26" s="428"/>
      <c r="G26" s="429">
        <f aca="true" t="shared" si="2" ref="G26:G32">SUM(B26:F26)</f>
        <v>2585859</v>
      </c>
      <c r="H26" s="872"/>
    </row>
    <row r="27" spans="1:8" ht="12.75">
      <c r="A27" s="430" t="s">
        <v>473</v>
      </c>
      <c r="B27" s="431"/>
      <c r="C27" s="431"/>
      <c r="D27" s="432"/>
      <c r="E27" s="432"/>
      <c r="F27" s="432"/>
      <c r="G27" s="437">
        <f t="shared" si="2"/>
        <v>0</v>
      </c>
      <c r="H27" s="872"/>
    </row>
    <row r="28" spans="1:8" ht="12.75">
      <c r="A28" s="434" t="s">
        <v>474</v>
      </c>
      <c r="B28" s="435"/>
      <c r="C28" s="455"/>
      <c r="D28" s="436">
        <v>24560491</v>
      </c>
      <c r="E28" s="436">
        <v>24570787</v>
      </c>
      <c r="F28" s="436"/>
      <c r="G28" s="437">
        <f t="shared" si="2"/>
        <v>49131278</v>
      </c>
      <c r="H28" s="872"/>
    </row>
    <row r="29" spans="1:8" ht="12.75">
      <c r="A29" s="434" t="s">
        <v>475</v>
      </c>
      <c r="B29" s="435"/>
      <c r="C29" s="435"/>
      <c r="D29" s="436"/>
      <c r="E29" s="436"/>
      <c r="F29" s="436"/>
      <c r="G29" s="456">
        <f t="shared" si="2"/>
        <v>0</v>
      </c>
      <c r="H29" s="872"/>
    </row>
    <row r="30" spans="1:8" ht="12.75">
      <c r="A30" s="434" t="s">
        <v>476</v>
      </c>
      <c r="B30" s="435"/>
      <c r="C30" s="435"/>
      <c r="D30" s="436"/>
      <c r="E30" s="436"/>
      <c r="F30" s="436"/>
      <c r="G30" s="437">
        <f t="shared" si="2"/>
        <v>0</v>
      </c>
      <c r="H30" s="872"/>
    </row>
    <row r="31" spans="1:8" ht="12.75">
      <c r="A31" s="434" t="s">
        <v>477</v>
      </c>
      <c r="B31" s="435"/>
      <c r="C31" s="435"/>
      <c r="D31" s="436"/>
      <c r="E31" s="436"/>
      <c r="F31" s="436"/>
      <c r="G31" s="457">
        <f t="shared" si="2"/>
        <v>0</v>
      </c>
      <c r="H31" s="872"/>
    </row>
    <row r="32" spans="1:8" ht="13.5" thickBot="1">
      <c r="A32" s="438"/>
      <c r="B32" s="439"/>
      <c r="C32" s="439"/>
      <c r="D32" s="440"/>
      <c r="E32" s="440"/>
      <c r="F32" s="440"/>
      <c r="G32" s="456">
        <f t="shared" si="2"/>
        <v>0</v>
      </c>
      <c r="H32" s="872"/>
    </row>
    <row r="33" spans="1:8" ht="13.5" thickBot="1">
      <c r="A33" s="441" t="s">
        <v>478</v>
      </c>
      <c r="B33" s="442"/>
      <c r="C33" s="442"/>
      <c r="D33" s="443">
        <f>D26+SUM(D28:D32)</f>
        <v>27146350</v>
      </c>
      <c r="E33" s="443">
        <f>E26+SUM(E28:E32)</f>
        <v>24570787</v>
      </c>
      <c r="F33" s="443">
        <f>F26+SUM(F28:F32)</f>
        <v>0</v>
      </c>
      <c r="G33" s="444">
        <f>G26+SUM(G28:G32)</f>
        <v>51717137</v>
      </c>
      <c r="H33" s="872"/>
    </row>
    <row r="34" spans="1:8" ht="13.5" thickBot="1">
      <c r="A34" s="445"/>
      <c r="B34" s="445"/>
      <c r="C34" s="445"/>
      <c r="D34" s="445"/>
      <c r="E34" s="445"/>
      <c r="F34" s="445"/>
      <c r="G34" s="445"/>
      <c r="H34" s="872"/>
    </row>
    <row r="35" spans="1:8" ht="13.5" thickBot="1">
      <c r="A35" s="446" t="s">
        <v>479</v>
      </c>
      <c r="B35" s="447" t="s">
        <v>470</v>
      </c>
      <c r="C35" s="447" t="s">
        <v>471</v>
      </c>
      <c r="D35" s="448">
        <f>+D25</f>
        <v>2019</v>
      </c>
      <c r="E35" s="448">
        <f>+E25</f>
        <v>2020</v>
      </c>
      <c r="F35" s="448" t="str">
        <f>+F25</f>
        <v>2020 után</v>
      </c>
      <c r="G35" s="449" t="s">
        <v>467</v>
      </c>
      <c r="H35" s="872"/>
    </row>
    <row r="36" spans="1:8" ht="12.75">
      <c r="A36" s="426" t="s">
        <v>480</v>
      </c>
      <c r="B36" s="427"/>
      <c r="C36" s="427"/>
      <c r="D36" s="428">
        <v>772520</v>
      </c>
      <c r="E36" s="428">
        <v>170888</v>
      </c>
      <c r="F36" s="428"/>
      <c r="G36" s="429">
        <f>SUM(D36:F36)</f>
        <v>943408</v>
      </c>
      <c r="H36" s="872"/>
    </row>
    <row r="37" spans="1:8" ht="12.75">
      <c r="A37" s="450" t="s">
        <v>481</v>
      </c>
      <c r="B37" s="451"/>
      <c r="C37" s="451"/>
      <c r="D37" s="436">
        <v>49263377</v>
      </c>
      <c r="E37" s="436"/>
      <c r="F37" s="436"/>
      <c r="G37" s="437">
        <f>SUM(D37:F37)</f>
        <v>49263377</v>
      </c>
      <c r="H37" s="872"/>
    </row>
    <row r="38" spans="1:8" ht="12.75">
      <c r="A38" s="434" t="s">
        <v>482</v>
      </c>
      <c r="B38" s="435"/>
      <c r="C38" s="435"/>
      <c r="D38" s="436">
        <v>826830</v>
      </c>
      <c r="E38" s="436"/>
      <c r="F38" s="436"/>
      <c r="G38" s="437">
        <f>SUM(D38:F38)</f>
        <v>826830</v>
      </c>
      <c r="H38" s="872"/>
    </row>
    <row r="39" spans="1:8" ht="12.75">
      <c r="A39" s="434" t="s">
        <v>483</v>
      </c>
      <c r="B39" s="435"/>
      <c r="C39" s="435"/>
      <c r="D39" s="436"/>
      <c r="E39" s="436"/>
      <c r="F39" s="436"/>
      <c r="G39" s="437">
        <f>SUM(D39:F39)</f>
        <v>0</v>
      </c>
      <c r="H39" s="872"/>
    </row>
    <row r="40" spans="1:8" ht="13.5" thickBot="1">
      <c r="A40" s="438"/>
      <c r="B40" s="439"/>
      <c r="C40" s="439"/>
      <c r="D40" s="440"/>
      <c r="E40" s="440"/>
      <c r="F40" s="440"/>
      <c r="G40" s="437">
        <f>SUM(D40:F40)</f>
        <v>0</v>
      </c>
      <c r="H40" s="872"/>
    </row>
    <row r="41" spans="1:8" ht="13.5" thickBot="1">
      <c r="A41" s="441" t="s">
        <v>41</v>
      </c>
      <c r="B41" s="442"/>
      <c r="C41" s="442"/>
      <c r="D41" s="443">
        <f>SUM(D36:D40)</f>
        <v>50862727</v>
      </c>
      <c r="E41" s="443">
        <f>SUM(E36:E40)</f>
        <v>170888</v>
      </c>
      <c r="F41" s="443">
        <f>SUM(F36:F40)</f>
        <v>0</v>
      </c>
      <c r="G41" s="444">
        <f>SUM(G36:G40)</f>
        <v>51033615</v>
      </c>
      <c r="H41" s="872"/>
    </row>
    <row r="42" spans="1:7" ht="12.75">
      <c r="A42" s="458"/>
      <c r="B42" s="458"/>
      <c r="C42" s="458"/>
      <c r="D42" s="459"/>
      <c r="E42" s="459"/>
      <c r="F42" s="459"/>
      <c r="G42" s="459"/>
    </row>
    <row r="43" spans="1:7" ht="15">
      <c r="A43" s="420" t="s">
        <v>468</v>
      </c>
      <c r="B43" s="420"/>
      <c r="C43" s="420"/>
      <c r="D43" s="870" t="s">
        <v>824</v>
      </c>
      <c r="E43" s="870"/>
      <c r="F43" s="870"/>
      <c r="G43" s="870"/>
    </row>
    <row r="44" spans="1:7" ht="13.5" thickBot="1">
      <c r="A44" s="454"/>
      <c r="B44" s="454"/>
      <c r="C44" s="454"/>
      <c r="D44" s="454"/>
      <c r="E44" s="454"/>
      <c r="F44" s="871">
        <f>F23</f>
        <v>0</v>
      </c>
      <c r="G44" s="871"/>
    </row>
    <row r="45" spans="1:7" ht="13.5" thickBot="1">
      <c r="A45" s="446" t="s">
        <v>469</v>
      </c>
      <c r="B45" s="447" t="s">
        <v>470</v>
      </c>
      <c r="C45" s="447" t="s">
        <v>471</v>
      </c>
      <c r="D45" s="447" t="s">
        <v>484</v>
      </c>
      <c r="E45" s="447" t="s">
        <v>485</v>
      </c>
      <c r="F45" s="448" t="str">
        <f>+F35</f>
        <v>2020 után</v>
      </c>
      <c r="G45" s="449" t="s">
        <v>467</v>
      </c>
    </row>
    <row r="46" spans="1:7" ht="12.75">
      <c r="A46" s="426" t="s">
        <v>472</v>
      </c>
      <c r="B46" s="460"/>
      <c r="C46" s="460"/>
      <c r="D46" s="428"/>
      <c r="E46" s="428"/>
      <c r="F46" s="428"/>
      <c r="G46" s="429">
        <f aca="true" t="shared" si="3" ref="G46:G52">SUM(B46:F46)</f>
        <v>0</v>
      </c>
    </row>
    <row r="47" spans="1:7" ht="12.75">
      <c r="A47" s="430" t="s">
        <v>473</v>
      </c>
      <c r="B47" s="461"/>
      <c r="C47" s="461"/>
      <c r="D47" s="432"/>
      <c r="E47" s="432"/>
      <c r="F47" s="432"/>
      <c r="G47" s="433">
        <f t="shared" si="3"/>
        <v>0</v>
      </c>
    </row>
    <row r="48" spans="1:7" ht="12.75">
      <c r="A48" s="434" t="s">
        <v>474</v>
      </c>
      <c r="B48" s="455"/>
      <c r="C48" s="455">
        <v>1879600</v>
      </c>
      <c r="D48" s="436"/>
      <c r="E48" s="813">
        <v>4394200</v>
      </c>
      <c r="F48" s="436"/>
      <c r="G48" s="433">
        <f t="shared" si="3"/>
        <v>6273800</v>
      </c>
    </row>
    <row r="49" spans="1:7" ht="12.75">
      <c r="A49" s="434" t="s">
        <v>475</v>
      </c>
      <c r="B49" s="455"/>
      <c r="C49" s="455"/>
      <c r="D49" s="436"/>
      <c r="E49" s="436"/>
      <c r="F49" s="436"/>
      <c r="G49" s="433">
        <f t="shared" si="3"/>
        <v>0</v>
      </c>
    </row>
    <row r="50" spans="1:7" ht="12.75">
      <c r="A50" s="434" t="s">
        <v>476</v>
      </c>
      <c r="B50" s="455"/>
      <c r="C50" s="455"/>
      <c r="D50" s="436"/>
      <c r="E50" s="436"/>
      <c r="F50" s="436"/>
      <c r="G50" s="433">
        <f t="shared" si="3"/>
        <v>0</v>
      </c>
    </row>
    <row r="51" spans="1:7" ht="12.75">
      <c r="A51" s="434" t="s">
        <v>477</v>
      </c>
      <c r="B51" s="455"/>
      <c r="C51" s="455"/>
      <c r="D51" s="436"/>
      <c r="E51" s="436"/>
      <c r="F51" s="436"/>
      <c r="G51" s="433">
        <f t="shared" si="3"/>
        <v>0</v>
      </c>
    </row>
    <row r="52" spans="1:7" ht="13.5" thickBot="1">
      <c r="A52" s="438"/>
      <c r="B52" s="462"/>
      <c r="C52" s="462"/>
      <c r="D52" s="440"/>
      <c r="E52" s="440"/>
      <c r="F52" s="440"/>
      <c r="G52" s="433">
        <f t="shared" si="3"/>
        <v>0</v>
      </c>
    </row>
    <row r="53" spans="1:7" ht="13.5" thickBot="1">
      <c r="A53" s="441" t="s">
        <v>478</v>
      </c>
      <c r="B53" s="463"/>
      <c r="C53" s="463"/>
      <c r="D53" s="443">
        <f>D46+SUM(D48:D52)</f>
        <v>0</v>
      </c>
      <c r="E53" s="443">
        <f>E46+SUM(E48:E52)</f>
        <v>4394200</v>
      </c>
      <c r="F53" s="443">
        <f>F46+SUM(F48:F52)</f>
        <v>0</v>
      </c>
      <c r="G53" s="444">
        <f>G46+SUM(G48:G52)</f>
        <v>6273800</v>
      </c>
    </row>
    <row r="54" spans="1:7" ht="13.5" thickBot="1">
      <c r="A54" s="445"/>
      <c r="B54" s="445"/>
      <c r="C54" s="445"/>
      <c r="D54" s="445"/>
      <c r="E54" s="445"/>
      <c r="F54" s="445"/>
      <c r="G54" s="445"/>
    </row>
    <row r="55" spans="1:7" ht="13.5" thickBot="1">
      <c r="A55" s="446" t="s">
        <v>479</v>
      </c>
      <c r="B55" s="447" t="str">
        <f>+B45</f>
        <v>2017.</v>
      </c>
      <c r="C55" s="447" t="str">
        <f>+C45</f>
        <v>2018.</v>
      </c>
      <c r="D55" s="448" t="str">
        <f>+D45</f>
        <v>2019.</v>
      </c>
      <c r="E55" s="448" t="str">
        <f>+E45</f>
        <v>2020.</v>
      </c>
      <c r="F55" s="448" t="str">
        <f>+F45</f>
        <v>2020 után</v>
      </c>
      <c r="G55" s="449" t="s">
        <v>467</v>
      </c>
    </row>
    <row r="56" spans="1:7" ht="12.75">
      <c r="A56" s="426" t="s">
        <v>480</v>
      </c>
      <c r="B56" s="427"/>
      <c r="C56" s="427"/>
      <c r="D56" s="428"/>
      <c r="E56" s="428"/>
      <c r="F56" s="428"/>
      <c r="G56" s="429">
        <f>SUM(D56:F56)</f>
        <v>0</v>
      </c>
    </row>
    <row r="57" spans="1:7" ht="12.75">
      <c r="A57" s="450" t="s">
        <v>481</v>
      </c>
      <c r="B57" s="451"/>
      <c r="C57" s="451"/>
      <c r="D57" s="436"/>
      <c r="E57" s="436"/>
      <c r="F57" s="436"/>
      <c r="G57" s="437">
        <f>SUM(D57:F57)</f>
        <v>0</v>
      </c>
    </row>
    <row r="58" spans="1:7" ht="12.75">
      <c r="A58" s="434" t="s">
        <v>482</v>
      </c>
      <c r="B58" s="435"/>
      <c r="C58" s="435"/>
      <c r="D58" s="436"/>
      <c r="E58" s="436">
        <v>6273800</v>
      </c>
      <c r="F58" s="436"/>
      <c r="G58" s="437">
        <f>SUM(D58:F58)</f>
        <v>6273800</v>
      </c>
    </row>
    <row r="59" spans="1:7" ht="12.75">
      <c r="A59" s="434" t="s">
        <v>483</v>
      </c>
      <c r="B59" s="435"/>
      <c r="C59" s="435"/>
      <c r="D59" s="436"/>
      <c r="E59" s="436"/>
      <c r="F59" s="436"/>
      <c r="G59" s="437">
        <f>SUM(D59:F59)</f>
        <v>0</v>
      </c>
    </row>
    <row r="60" spans="1:7" ht="13.5" thickBot="1">
      <c r="A60" s="438"/>
      <c r="B60" s="439"/>
      <c r="C60" s="439"/>
      <c r="D60" s="440"/>
      <c r="E60" s="440"/>
      <c r="F60" s="440"/>
      <c r="G60" s="437">
        <f>SUM(D60:F60)</f>
        <v>0</v>
      </c>
    </row>
    <row r="61" spans="1:7" ht="13.5" thickBot="1">
      <c r="A61" s="441" t="s">
        <v>41</v>
      </c>
      <c r="B61" s="442"/>
      <c r="C61" s="442"/>
      <c r="D61" s="443">
        <f>SUM(D56:D60)</f>
        <v>0</v>
      </c>
      <c r="E61" s="443">
        <f>SUM(E56:E60)</f>
        <v>6273800</v>
      </c>
      <c r="F61" s="443">
        <f>SUM(F56:F60)</f>
        <v>0</v>
      </c>
      <c r="G61" s="444">
        <f>SUM(G56:G60)</f>
        <v>6273800</v>
      </c>
    </row>
    <row r="62" spans="1:7" ht="12.75">
      <c r="A62" s="458"/>
      <c r="B62" s="458"/>
      <c r="C62" s="458"/>
      <c r="D62" s="459"/>
      <c r="E62" s="459"/>
      <c r="F62" s="459"/>
      <c r="G62" s="459"/>
    </row>
    <row r="63" spans="1:7" ht="15">
      <c r="A63" s="420" t="s">
        <v>468</v>
      </c>
      <c r="B63" s="420"/>
      <c r="C63" s="420"/>
      <c r="D63" s="870" t="s">
        <v>823</v>
      </c>
      <c r="E63" s="870"/>
      <c r="F63" s="870"/>
      <c r="G63" s="870"/>
    </row>
    <row r="64" spans="1:7" ht="13.5" thickBot="1">
      <c r="A64" s="454"/>
      <c r="B64" s="454"/>
      <c r="C64" s="454"/>
      <c r="D64" s="454"/>
      <c r="E64" s="454"/>
      <c r="F64" s="871">
        <f>F43</f>
        <v>0</v>
      </c>
      <c r="G64" s="871"/>
    </row>
    <row r="65" spans="1:7" ht="13.5" thickBot="1">
      <c r="A65" s="446" t="s">
        <v>469</v>
      </c>
      <c r="B65" s="447" t="str">
        <f>+B55</f>
        <v>2017.</v>
      </c>
      <c r="C65" s="447" t="str">
        <f>+C55</f>
        <v>2018.</v>
      </c>
      <c r="D65" s="447" t="str">
        <f>+D55</f>
        <v>2019.</v>
      </c>
      <c r="E65" s="447" t="str">
        <f>+E55</f>
        <v>2020.</v>
      </c>
      <c r="F65" s="447" t="str">
        <f>+F55</f>
        <v>2020 után</v>
      </c>
      <c r="G65" s="449" t="s">
        <v>467</v>
      </c>
    </row>
    <row r="66" spans="1:7" ht="12.75">
      <c r="A66" s="426" t="s">
        <v>472</v>
      </c>
      <c r="B66" s="460"/>
      <c r="C66" s="460"/>
      <c r="D66" s="428"/>
      <c r="E66" s="428"/>
      <c r="F66" s="428"/>
      <c r="G66" s="429">
        <f aca="true" t="shared" si="4" ref="G66:G72">SUM(B66:F66)</f>
        <v>0</v>
      </c>
    </row>
    <row r="67" spans="1:7" ht="12.75">
      <c r="A67" s="430" t="s">
        <v>473</v>
      </c>
      <c r="B67" s="461"/>
      <c r="C67" s="461"/>
      <c r="D67" s="432"/>
      <c r="E67" s="432"/>
      <c r="F67" s="432"/>
      <c r="G67" s="433">
        <f t="shared" si="4"/>
        <v>0</v>
      </c>
    </row>
    <row r="68" spans="1:7" ht="12.75">
      <c r="A68" s="434" t="s">
        <v>474</v>
      </c>
      <c r="B68" s="455"/>
      <c r="C68" s="455">
        <v>6984837</v>
      </c>
      <c r="D68" s="436"/>
      <c r="E68" s="436">
        <v>5452703</v>
      </c>
      <c r="F68" s="436"/>
      <c r="G68" s="437">
        <f t="shared" si="4"/>
        <v>12437540</v>
      </c>
    </row>
    <row r="69" spans="1:7" ht="12.75">
      <c r="A69" s="434" t="s">
        <v>475</v>
      </c>
      <c r="B69" s="455"/>
      <c r="C69" s="455"/>
      <c r="D69" s="436"/>
      <c r="E69" s="436"/>
      <c r="F69" s="436"/>
      <c r="G69" s="433">
        <f t="shared" si="4"/>
        <v>0</v>
      </c>
    </row>
    <row r="70" spans="1:7" ht="12.75">
      <c r="A70" s="434" t="s">
        <v>476</v>
      </c>
      <c r="B70" s="455"/>
      <c r="C70" s="455"/>
      <c r="D70" s="436"/>
      <c r="E70" s="436"/>
      <c r="F70" s="436"/>
      <c r="G70" s="433">
        <f t="shared" si="4"/>
        <v>0</v>
      </c>
    </row>
    <row r="71" spans="1:7" ht="12.75">
      <c r="A71" s="434" t="s">
        <v>477</v>
      </c>
      <c r="B71" s="455"/>
      <c r="C71" s="455"/>
      <c r="D71" s="436"/>
      <c r="E71" s="436"/>
      <c r="F71" s="436"/>
      <c r="G71" s="433">
        <f t="shared" si="4"/>
        <v>0</v>
      </c>
    </row>
    <row r="72" spans="1:7" ht="13.5" thickBot="1">
      <c r="A72" s="438"/>
      <c r="B72" s="462"/>
      <c r="C72" s="462"/>
      <c r="D72" s="440"/>
      <c r="E72" s="440"/>
      <c r="F72" s="440"/>
      <c r="G72" s="433">
        <f t="shared" si="4"/>
        <v>0</v>
      </c>
    </row>
    <row r="73" spans="1:7" ht="13.5" thickBot="1">
      <c r="A73" s="441" t="s">
        <v>478</v>
      </c>
      <c r="B73" s="463"/>
      <c r="C73" s="463"/>
      <c r="D73" s="443">
        <f>D66+SUM(D68:D72)</f>
        <v>0</v>
      </c>
      <c r="E73" s="443">
        <f>E66+SUM(E68:E72)</f>
        <v>5452703</v>
      </c>
      <c r="F73" s="443">
        <f>F66+SUM(F68:F72)</f>
        <v>0</v>
      </c>
      <c r="G73" s="444">
        <f>G66+SUM(G68:G72)</f>
        <v>12437540</v>
      </c>
    </row>
    <row r="74" spans="1:7" ht="13.5" thickBot="1">
      <c r="A74" s="445"/>
      <c r="B74" s="445"/>
      <c r="C74" s="445"/>
      <c r="D74" s="445"/>
      <c r="E74" s="445"/>
      <c r="F74" s="445"/>
      <c r="G74" s="445"/>
    </row>
    <row r="75" spans="1:7" ht="13.5" thickBot="1">
      <c r="A75" s="446" t="s">
        <v>479</v>
      </c>
      <c r="B75" s="447" t="str">
        <f>+B65</f>
        <v>2017.</v>
      </c>
      <c r="C75" s="447" t="str">
        <f>+C65</f>
        <v>2018.</v>
      </c>
      <c r="D75" s="448" t="str">
        <f>+D65</f>
        <v>2019.</v>
      </c>
      <c r="E75" s="448" t="str">
        <f>+E65</f>
        <v>2020.</v>
      </c>
      <c r="F75" s="448" t="str">
        <f>+F65</f>
        <v>2020 után</v>
      </c>
      <c r="G75" s="449" t="s">
        <v>467</v>
      </c>
    </row>
    <row r="76" spans="1:7" ht="12.75">
      <c r="A76" s="426" t="s">
        <v>480</v>
      </c>
      <c r="B76" s="460"/>
      <c r="C76" s="460">
        <v>2580076</v>
      </c>
      <c r="D76" s="428">
        <v>2759473</v>
      </c>
      <c r="E76" s="428">
        <v>2703675</v>
      </c>
      <c r="F76" s="428"/>
      <c r="G76" s="429">
        <f>SUM(B76:F76)</f>
        <v>8043224</v>
      </c>
    </row>
    <row r="77" spans="1:7" ht="12.75">
      <c r="A77" s="450" t="s">
        <v>481</v>
      </c>
      <c r="B77" s="464"/>
      <c r="C77" s="464"/>
      <c r="D77" s="436"/>
      <c r="E77" s="436"/>
      <c r="F77" s="436"/>
      <c r="G77" s="437">
        <f>SUM(B77:F77)</f>
        <v>0</v>
      </c>
    </row>
    <row r="78" spans="1:7" ht="12.75">
      <c r="A78" s="434" t="s">
        <v>482</v>
      </c>
      <c r="B78" s="455"/>
      <c r="C78" s="455"/>
      <c r="D78" s="436">
        <v>592013</v>
      </c>
      <c r="E78" s="436">
        <v>3802303</v>
      </c>
      <c r="F78" s="436"/>
      <c r="G78" s="437">
        <f>SUM(B78:F78)</f>
        <v>4394316</v>
      </c>
    </row>
    <row r="79" spans="1:7" ht="12.75">
      <c r="A79" s="434" t="s">
        <v>483</v>
      </c>
      <c r="B79" s="455"/>
      <c r="C79" s="455"/>
      <c r="D79" s="436"/>
      <c r="E79" s="436"/>
      <c r="F79" s="436"/>
      <c r="G79" s="437">
        <f>SUM(B79:F79)</f>
        <v>0</v>
      </c>
    </row>
    <row r="80" spans="1:7" ht="13.5" thickBot="1">
      <c r="A80" s="438"/>
      <c r="B80" s="462"/>
      <c r="C80" s="462"/>
      <c r="D80" s="440"/>
      <c r="E80" s="440"/>
      <c r="F80" s="440"/>
      <c r="G80" s="437">
        <f>SUM(B80:F80)</f>
        <v>0</v>
      </c>
    </row>
    <row r="81" spans="1:7" ht="13.5" thickBot="1">
      <c r="A81" s="441" t="s">
        <v>41</v>
      </c>
      <c r="B81" s="463"/>
      <c r="C81" s="463"/>
      <c r="D81" s="443">
        <f>SUM(D76:D80)</f>
        <v>3351486</v>
      </c>
      <c r="E81" s="443">
        <f>SUM(E76:E80)</f>
        <v>6505978</v>
      </c>
      <c r="F81" s="443">
        <f>SUM(F76:F80)</f>
        <v>0</v>
      </c>
      <c r="G81" s="444">
        <f>SUM(G76:G80)</f>
        <v>12437540</v>
      </c>
    </row>
    <row r="82" spans="1:7" ht="12.75">
      <c r="A82" s="458"/>
      <c r="B82" s="799"/>
      <c r="C82" s="799"/>
      <c r="D82" s="459"/>
      <c r="E82" s="459"/>
      <c r="F82" s="459"/>
      <c r="G82" s="459"/>
    </row>
    <row r="83" spans="1:7" ht="12.75">
      <c r="A83" s="458"/>
      <c r="B83" s="799"/>
      <c r="C83" s="799"/>
      <c r="D83" s="459"/>
      <c r="E83" s="459"/>
      <c r="F83" s="459"/>
      <c r="G83" s="459"/>
    </row>
    <row r="84" spans="1:7" ht="12.75">
      <c r="A84" s="458"/>
      <c r="B84" s="799"/>
      <c r="C84" s="799"/>
      <c r="D84" s="459"/>
      <c r="E84" s="459"/>
      <c r="F84" s="459"/>
      <c r="G84" s="459"/>
    </row>
    <row r="85" spans="1:7" ht="12.75">
      <c r="A85" s="458"/>
      <c r="B85" s="458"/>
      <c r="C85" s="458"/>
      <c r="D85" s="459"/>
      <c r="E85" s="459"/>
      <c r="F85" s="459"/>
      <c r="G85" s="459"/>
    </row>
    <row r="86" spans="1:7" ht="12.75">
      <c r="A86" s="454"/>
      <c r="B86" s="454"/>
      <c r="C86" s="454"/>
      <c r="D86" s="454"/>
      <c r="E86" s="454"/>
      <c r="F86" s="454"/>
      <c r="G86" s="454"/>
    </row>
    <row r="87" spans="1:7" ht="13.5">
      <c r="A87" s="861" t="str">
        <f>+CONCATENATE("Önkormányzaton kívüli EU-s projektekhez történő hozzájárulás ",LEFT('[1]KV_ÖSSZEFÜGGÉSEK'!A2,4),". évi előirányzat")</f>
        <v>Önkormányzaton kívüli EU-s projektekhez történő hozzájárulás Költ. évi előirányzat</v>
      </c>
      <c r="B87" s="861"/>
      <c r="C87" s="861"/>
      <c r="D87" s="861"/>
      <c r="E87" s="861"/>
      <c r="F87" s="861"/>
      <c r="G87" s="861"/>
    </row>
    <row r="88" spans="1:7" ht="13.5" thickBot="1">
      <c r="A88" s="454"/>
      <c r="B88" s="454"/>
      <c r="C88" s="454"/>
      <c r="D88" s="454"/>
      <c r="E88" s="454"/>
      <c r="F88" s="454"/>
      <c r="G88" s="454"/>
    </row>
    <row r="89" spans="1:7" ht="13.5" thickBot="1">
      <c r="A89" s="862" t="s">
        <v>486</v>
      </c>
      <c r="B89" s="863"/>
      <c r="C89" s="863"/>
      <c r="D89" s="863"/>
      <c r="E89" s="864"/>
      <c r="F89" s="865" t="s">
        <v>487</v>
      </c>
      <c r="G89" s="866"/>
    </row>
    <row r="90" spans="1:7" ht="12.75">
      <c r="A90" s="873"/>
      <c r="B90" s="874"/>
      <c r="C90" s="874"/>
      <c r="D90" s="874"/>
      <c r="E90" s="875"/>
      <c r="F90" s="876"/>
      <c r="G90" s="877"/>
    </row>
    <row r="91" spans="1:7" ht="13.5" thickBot="1">
      <c r="A91" s="878"/>
      <c r="B91" s="879"/>
      <c r="C91" s="879"/>
      <c r="D91" s="879"/>
      <c r="E91" s="880"/>
      <c r="F91" s="881"/>
      <c r="G91" s="882"/>
    </row>
    <row r="92" spans="1:7" ht="13.5" thickBot="1">
      <c r="A92" s="883" t="s">
        <v>41</v>
      </c>
      <c r="B92" s="884"/>
      <c r="C92" s="884"/>
      <c r="D92" s="884"/>
      <c r="E92" s="885"/>
      <c r="F92" s="886">
        <f>SUM(F90:G91)</f>
        <v>0</v>
      </c>
      <c r="G92" s="887"/>
    </row>
  </sheetData>
  <sheetProtection/>
  <mergeCells count="19">
    <mergeCell ref="H1:H41"/>
    <mergeCell ref="A90:E90"/>
    <mergeCell ref="F90:G90"/>
    <mergeCell ref="A91:E91"/>
    <mergeCell ref="F91:G91"/>
    <mergeCell ref="A92:E92"/>
    <mergeCell ref="F92:G92"/>
    <mergeCell ref="F44:G44"/>
    <mergeCell ref="D63:G63"/>
    <mergeCell ref="F64:G64"/>
    <mergeCell ref="A87:G87"/>
    <mergeCell ref="A89:E89"/>
    <mergeCell ref="F89:G89"/>
    <mergeCell ref="A1:G1"/>
    <mergeCell ref="D2:G2"/>
    <mergeCell ref="F3:G3"/>
    <mergeCell ref="D23:G23"/>
    <mergeCell ref="F24:G24"/>
    <mergeCell ref="D43:G43"/>
  </mergeCells>
  <conditionalFormatting sqref="F92:G92 D33:F33 D21:G21 G5:G12 D12:F12 G15:G20 D64:F64 G26:G33 D41:F44 G36:G62 G64:G85 D66:F85 D23 D46:D62 F46:F62 E46:E47 E49:E62">
    <cfRule type="cellIs" priority="3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E23"/>
  <sheetViews>
    <sheetView view="pageLayout" zoomScale="90" zoomScaleSheetLayoutView="100" zoomScalePageLayoutView="90" workbookViewId="0" topLeftCell="A4">
      <selection activeCell="D9" sqref="D9"/>
    </sheetView>
  </sheetViews>
  <sheetFormatPr defaultColWidth="9.25390625" defaultRowHeight="12.75"/>
  <cols>
    <col min="1" max="1" width="6.75390625" style="466" customWidth="1"/>
    <col min="2" max="2" width="83.375" style="466" customWidth="1"/>
    <col min="3" max="4" width="16.00390625" style="466" customWidth="1"/>
    <col min="5" max="5" width="14.375" style="466" bestFit="1" customWidth="1"/>
    <col min="6" max="16384" width="9.25390625" style="466" customWidth="1"/>
  </cols>
  <sheetData>
    <row r="2" spans="1:3" ht="14.25">
      <c r="A2" s="888" t="s">
        <v>489</v>
      </c>
      <c r="B2" s="888"/>
      <c r="C2" s="888"/>
    </row>
    <row r="3" spans="1:3" ht="14.25">
      <c r="A3" s="888" t="s">
        <v>798</v>
      </c>
      <c r="B3" s="888"/>
      <c r="C3" s="888"/>
    </row>
    <row r="4" spans="1:3" ht="15" thickBot="1">
      <c r="A4" s="467"/>
      <c r="B4" s="467"/>
      <c r="C4" s="465"/>
    </row>
    <row r="5" spans="1:3" ht="14.25">
      <c r="A5" s="468" t="s">
        <v>42</v>
      </c>
      <c r="B5" s="469" t="s">
        <v>490</v>
      </c>
      <c r="C5" s="470">
        <v>252557310</v>
      </c>
    </row>
    <row r="6" spans="1:3" ht="14.25">
      <c r="A6" s="471" t="s">
        <v>491</v>
      </c>
      <c r="B6" s="472" t="s">
        <v>492</v>
      </c>
      <c r="C6" s="473">
        <v>313136874</v>
      </c>
    </row>
    <row r="7" spans="1:5" s="477" customFormat="1" ht="14.25">
      <c r="A7" s="474" t="s">
        <v>493</v>
      </c>
      <c r="B7" s="475" t="s">
        <v>494</v>
      </c>
      <c r="C7" s="476">
        <f>C5-C6</f>
        <v>-60579564</v>
      </c>
      <c r="D7" s="466"/>
      <c r="E7" s="466"/>
    </row>
    <row r="8" spans="1:3" ht="14.25">
      <c r="A8" s="471" t="s">
        <v>495</v>
      </c>
      <c r="B8" s="472" t="s">
        <v>496</v>
      </c>
      <c r="C8" s="473">
        <v>101253090</v>
      </c>
    </row>
    <row r="9" spans="1:3" ht="14.25">
      <c r="A9" s="471" t="s">
        <v>497</v>
      </c>
      <c r="B9" s="472" t="s">
        <v>498</v>
      </c>
      <c r="C9" s="473">
        <v>19037243</v>
      </c>
    </row>
    <row r="10" spans="1:5" s="477" customFormat="1" ht="14.25">
      <c r="A10" s="474" t="s">
        <v>499</v>
      </c>
      <c r="B10" s="475" t="s">
        <v>500</v>
      </c>
      <c r="C10" s="476">
        <f>C8-C9</f>
        <v>82215847</v>
      </c>
      <c r="D10" s="466"/>
      <c r="E10" s="466"/>
    </row>
    <row r="11" spans="1:5" s="477" customFormat="1" ht="14.25">
      <c r="A11" s="474" t="s">
        <v>501</v>
      </c>
      <c r="B11" s="475" t="s">
        <v>502</v>
      </c>
      <c r="C11" s="476">
        <f>SUM(C7,C10)</f>
        <v>21636283</v>
      </c>
      <c r="D11" s="466"/>
      <c r="E11" s="466"/>
    </row>
    <row r="12" spans="1:3" ht="14.25">
      <c r="A12" s="471" t="s">
        <v>503</v>
      </c>
      <c r="B12" s="472" t="s">
        <v>504</v>
      </c>
      <c r="C12" s="473"/>
    </row>
    <row r="13" spans="1:3" ht="14.25">
      <c r="A13" s="471" t="s">
        <v>505</v>
      </c>
      <c r="B13" s="472" t="s">
        <v>506</v>
      </c>
      <c r="C13" s="473"/>
    </row>
    <row r="14" spans="1:5" s="477" customFormat="1" ht="14.25">
      <c r="A14" s="474" t="s">
        <v>507</v>
      </c>
      <c r="B14" s="475" t="s">
        <v>508</v>
      </c>
      <c r="C14" s="476"/>
      <c r="D14" s="466"/>
      <c r="E14" s="466"/>
    </row>
    <row r="15" spans="1:3" ht="14.25">
      <c r="A15" s="471" t="s">
        <v>509</v>
      </c>
      <c r="B15" s="472" t="s">
        <v>510</v>
      </c>
      <c r="C15" s="473"/>
    </row>
    <row r="16" spans="1:3" ht="14.25">
      <c r="A16" s="471" t="s">
        <v>511</v>
      </c>
      <c r="B16" s="472" t="s">
        <v>512</v>
      </c>
      <c r="C16" s="473"/>
    </row>
    <row r="17" spans="1:5" s="477" customFormat="1" ht="14.25">
      <c r="A17" s="474" t="s">
        <v>513</v>
      </c>
      <c r="B17" s="475" t="s">
        <v>514</v>
      </c>
      <c r="C17" s="476"/>
      <c r="D17" s="466"/>
      <c r="E17" s="466"/>
    </row>
    <row r="18" spans="1:5" s="477" customFormat="1" ht="14.25">
      <c r="A18" s="474" t="s">
        <v>515</v>
      </c>
      <c r="B18" s="475" t="s">
        <v>516</v>
      </c>
      <c r="C18" s="476"/>
      <c r="D18" s="466"/>
      <c r="E18" s="466"/>
    </row>
    <row r="19" spans="1:5" s="477" customFormat="1" ht="14.25">
      <c r="A19" s="474" t="s">
        <v>517</v>
      </c>
      <c r="B19" s="475" t="s">
        <v>518</v>
      </c>
      <c r="C19" s="476">
        <f>SUM(C11,C18)</f>
        <v>21636283</v>
      </c>
      <c r="D19" s="466"/>
      <c r="E19" s="466"/>
    </row>
    <row r="20" spans="1:5" s="477" customFormat="1" ht="14.25">
      <c r="A20" s="474" t="s">
        <v>519</v>
      </c>
      <c r="B20" s="475" t="s">
        <v>520</v>
      </c>
      <c r="C20" s="476">
        <v>0</v>
      </c>
      <c r="D20" s="466"/>
      <c r="E20" s="466"/>
    </row>
    <row r="21" spans="1:5" s="477" customFormat="1" ht="14.25">
      <c r="A21" s="474" t="s">
        <v>521</v>
      </c>
      <c r="B21" s="475" t="s">
        <v>522</v>
      </c>
      <c r="C21" s="476">
        <f>C19-C20</f>
        <v>21636283</v>
      </c>
      <c r="D21" s="466"/>
      <c r="E21" s="466"/>
    </row>
    <row r="22" spans="1:5" s="477" customFormat="1" ht="14.25">
      <c r="A22" s="474" t="s">
        <v>523</v>
      </c>
      <c r="B22" s="475" t="s">
        <v>524</v>
      </c>
      <c r="C22" s="476"/>
      <c r="D22" s="466"/>
      <c r="E22" s="466"/>
    </row>
    <row r="23" spans="1:5" s="477" customFormat="1" ht="15" thickBot="1">
      <c r="A23" s="478" t="s">
        <v>525</v>
      </c>
      <c r="B23" s="479" t="s">
        <v>526</v>
      </c>
      <c r="C23" s="480"/>
      <c r="D23" s="466"/>
      <c r="E23" s="466"/>
    </row>
  </sheetData>
  <sheetProtection/>
  <mergeCells count="2">
    <mergeCell ref="A2:C2"/>
    <mergeCell ref="A3:C3"/>
  </mergeCells>
  <printOptions/>
  <pageMargins left="0.25" right="0.25" top="0.75" bottom="0.75" header="0.3" footer="0.3"/>
  <pageSetup horizontalDpi="600" verticalDpi="600" orientation="portrait" paperSize="9" scale="75" r:id="rId1"/>
  <headerFooter alignWithMargins="0">
    <oddHeader>&amp;R13. melléklet …./2020. (…..)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view="pageLayout" zoomScaleSheetLayoutView="130" workbookViewId="0" topLeftCell="A1">
      <selection activeCell="A1" sqref="A1:B1"/>
    </sheetView>
  </sheetViews>
  <sheetFormatPr defaultColWidth="9.00390625" defaultRowHeight="12.75"/>
  <cols>
    <col min="1" max="1" width="75.375" style="0" customWidth="1"/>
    <col min="2" max="2" width="39.125" style="0" customWidth="1"/>
    <col min="3" max="3" width="20.375" style="0" customWidth="1"/>
    <col min="4" max="4" width="19.00390625" style="0" customWidth="1"/>
    <col min="5" max="5" width="17.375" style="0" customWidth="1"/>
  </cols>
  <sheetData>
    <row r="1" spans="1:5" ht="12.75" customHeight="1">
      <c r="A1" s="889" t="s">
        <v>801</v>
      </c>
      <c r="B1" s="889"/>
      <c r="C1" s="780"/>
      <c r="D1" s="780"/>
      <c r="E1" s="780"/>
    </row>
    <row r="2" spans="1:5" ht="12.75" customHeight="1">
      <c r="A2" s="780"/>
      <c r="B2" s="780"/>
      <c r="C2" s="780"/>
      <c r="D2" s="780"/>
      <c r="E2" s="780"/>
    </row>
    <row r="3" ht="13.5" thickBot="1"/>
    <row r="4" spans="1:2" ht="15.75" thickBot="1">
      <c r="A4" s="768" t="s">
        <v>47</v>
      </c>
      <c r="B4" s="769" t="s">
        <v>799</v>
      </c>
    </row>
    <row r="5" spans="1:2" ht="15.75" thickBot="1">
      <c r="A5" s="770" t="s">
        <v>800</v>
      </c>
      <c r="B5" s="771">
        <f>SUM(B6:B11)</f>
        <v>12596586</v>
      </c>
    </row>
    <row r="6" spans="1:2" ht="15">
      <c r="A6" s="772" t="s">
        <v>827</v>
      </c>
      <c r="B6" s="773">
        <v>1599774</v>
      </c>
    </row>
    <row r="7" spans="1:2" ht="15">
      <c r="A7" s="778" t="s">
        <v>987</v>
      </c>
      <c r="B7" s="773">
        <v>6975</v>
      </c>
    </row>
    <row r="8" spans="1:2" ht="15">
      <c r="A8" s="808" t="s">
        <v>825</v>
      </c>
      <c r="B8" s="809">
        <v>3140241</v>
      </c>
    </row>
    <row r="9" spans="1:2" ht="15">
      <c r="A9" s="810" t="s">
        <v>826</v>
      </c>
      <c r="B9" s="809">
        <v>7849596</v>
      </c>
    </row>
    <row r="10" spans="1:2" ht="15">
      <c r="A10" s="774"/>
      <c r="B10" s="775"/>
    </row>
    <row r="11" spans="1:2" ht="15.75" thickBot="1">
      <c r="A11" s="776"/>
      <c r="B11" s="777"/>
    </row>
    <row r="12" spans="1:2" ht="15.75" thickBot="1">
      <c r="A12" s="806" t="s">
        <v>816</v>
      </c>
      <c r="B12" s="807">
        <f>SUM(B13:B16)</f>
        <v>9039697</v>
      </c>
    </row>
    <row r="13" spans="1:2" ht="16.5" customHeight="1">
      <c r="A13" s="822" t="s">
        <v>788</v>
      </c>
      <c r="B13" s="773">
        <v>9039697</v>
      </c>
    </row>
    <row r="14" spans="1:2" ht="15">
      <c r="A14" s="778"/>
      <c r="B14" s="773"/>
    </row>
    <row r="15" spans="1:2" ht="15">
      <c r="A15" s="779"/>
      <c r="B15" s="773"/>
    </row>
    <row r="16" spans="1:2" ht="15.75" thickBot="1">
      <c r="A16" s="811"/>
      <c r="B16" s="812"/>
    </row>
    <row r="17" spans="1:2" ht="15.75" thickBot="1">
      <c r="A17" s="770" t="s">
        <v>467</v>
      </c>
      <c r="B17" s="771">
        <f>B5+B12</f>
        <v>21636283</v>
      </c>
    </row>
  </sheetData>
  <sheetProtection/>
  <mergeCells count="1">
    <mergeCell ref="A1:B1"/>
  </mergeCells>
  <conditionalFormatting sqref="A8:B8 A8:A9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4" r:id="rId1"/>
  <headerFooter>
    <oddHeader>&amp;R14. melléklet …./2020. (…..) önkormányzati rendelethez</oddHeader>
  </headerFooter>
  <colBreaks count="1" manualBreakCount="1">
    <brk id="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75390625" style="0" customWidth="1"/>
    <col min="2" max="2" width="49.75390625" style="0" customWidth="1"/>
    <col min="3" max="3" width="19.625" style="0" customWidth="1"/>
    <col min="4" max="4" width="18.75390625" style="0" customWidth="1"/>
    <col min="5" max="5" width="19.125" style="0" customWidth="1"/>
  </cols>
  <sheetData>
    <row r="1" spans="3:5" ht="12.75">
      <c r="C1" s="823" t="s">
        <v>988</v>
      </c>
      <c r="D1" s="823"/>
      <c r="E1" s="823"/>
    </row>
    <row r="3" spans="1:5" ht="12.75">
      <c r="A3" s="890" t="s">
        <v>859</v>
      </c>
      <c r="B3" s="891"/>
      <c r="C3" s="891"/>
      <c r="D3" s="891"/>
      <c r="E3" s="891"/>
    </row>
    <row r="4" spans="1:5" ht="30.75">
      <c r="A4" s="821" t="s">
        <v>860</v>
      </c>
      <c r="B4" s="821" t="s">
        <v>47</v>
      </c>
      <c r="C4" s="821" t="s">
        <v>861</v>
      </c>
      <c r="D4" s="821" t="s">
        <v>862</v>
      </c>
      <c r="E4" s="821" t="s">
        <v>863</v>
      </c>
    </row>
    <row r="5" spans="1:5" ht="15">
      <c r="A5" s="821">
        <v>1</v>
      </c>
      <c r="B5" s="821">
        <v>2</v>
      </c>
      <c r="C5" s="821">
        <v>3</v>
      </c>
      <c r="D5" s="821">
        <v>4</v>
      </c>
      <c r="E5" s="821">
        <v>5</v>
      </c>
    </row>
    <row r="6" spans="1:5" ht="12.75">
      <c r="A6" s="816" t="s">
        <v>491</v>
      </c>
      <c r="B6" s="815" t="s">
        <v>829</v>
      </c>
      <c r="C6" s="817">
        <v>527558</v>
      </c>
      <c r="D6" s="817">
        <v>0</v>
      </c>
      <c r="E6" s="817">
        <v>267716</v>
      </c>
    </row>
    <row r="7" spans="1:5" ht="12.75">
      <c r="A7" s="818" t="s">
        <v>495</v>
      </c>
      <c r="B7" s="819" t="s">
        <v>830</v>
      </c>
      <c r="C7" s="820">
        <v>527558</v>
      </c>
      <c r="D7" s="820">
        <v>0</v>
      </c>
      <c r="E7" s="820">
        <v>267716</v>
      </c>
    </row>
    <row r="8" spans="1:5" ht="24.75">
      <c r="A8" s="816" t="s">
        <v>497</v>
      </c>
      <c r="B8" s="815" t="s">
        <v>831</v>
      </c>
      <c r="C8" s="817">
        <v>767684886</v>
      </c>
      <c r="D8" s="817">
        <v>0</v>
      </c>
      <c r="E8" s="817">
        <v>829583356</v>
      </c>
    </row>
    <row r="9" spans="1:5" ht="12.75">
      <c r="A9" s="816" t="s">
        <v>499</v>
      </c>
      <c r="B9" s="815" t="s">
        <v>832</v>
      </c>
      <c r="C9" s="817">
        <v>20111075</v>
      </c>
      <c r="D9" s="817">
        <v>0</v>
      </c>
      <c r="E9" s="817">
        <v>18085408</v>
      </c>
    </row>
    <row r="10" spans="1:5" ht="12.75">
      <c r="A10" s="818" t="s">
        <v>507</v>
      </c>
      <c r="B10" s="819" t="s">
        <v>864</v>
      </c>
      <c r="C10" s="820">
        <v>787795961</v>
      </c>
      <c r="D10" s="820">
        <v>0</v>
      </c>
      <c r="E10" s="820">
        <v>847668764</v>
      </c>
    </row>
    <row r="11" spans="1:5" ht="12.75">
      <c r="A11" s="816" t="s">
        <v>509</v>
      </c>
      <c r="B11" s="815" t="s">
        <v>833</v>
      </c>
      <c r="C11" s="817">
        <v>225430</v>
      </c>
      <c r="D11" s="817">
        <v>0</v>
      </c>
      <c r="E11" s="817">
        <v>263630</v>
      </c>
    </row>
    <row r="12" spans="1:5" ht="12.75">
      <c r="A12" s="816" t="s">
        <v>519</v>
      </c>
      <c r="B12" s="815" t="s">
        <v>834</v>
      </c>
      <c r="C12" s="817">
        <v>225430</v>
      </c>
      <c r="D12" s="817">
        <v>0</v>
      </c>
      <c r="E12" s="817">
        <v>263630</v>
      </c>
    </row>
    <row r="13" spans="1:5" ht="25.5">
      <c r="A13" s="818" t="s">
        <v>865</v>
      </c>
      <c r="B13" s="819" t="s">
        <v>835</v>
      </c>
      <c r="C13" s="820">
        <v>225430</v>
      </c>
      <c r="D13" s="820">
        <v>0</v>
      </c>
      <c r="E13" s="820">
        <v>263630</v>
      </c>
    </row>
    <row r="14" spans="1:5" ht="25.5">
      <c r="A14" s="818" t="s">
        <v>866</v>
      </c>
      <c r="B14" s="819" t="s">
        <v>836</v>
      </c>
      <c r="C14" s="820">
        <v>788548949</v>
      </c>
      <c r="D14" s="820">
        <v>0</v>
      </c>
      <c r="E14" s="820">
        <v>848200110</v>
      </c>
    </row>
    <row r="15" spans="1:5" ht="12.75">
      <c r="A15" s="816">
        <v>29</v>
      </c>
      <c r="B15" s="815" t="s">
        <v>837</v>
      </c>
      <c r="C15" s="817">
        <v>930371</v>
      </c>
      <c r="D15" s="817">
        <v>0</v>
      </c>
      <c r="E15" s="817">
        <v>520903</v>
      </c>
    </row>
    <row r="16" spans="1:5" ht="12.75">
      <c r="A16" s="818">
        <v>34</v>
      </c>
      <c r="B16" s="819" t="s">
        <v>982</v>
      </c>
      <c r="C16" s="820">
        <v>930371</v>
      </c>
      <c r="D16" s="820">
        <v>0</v>
      </c>
      <c r="E16" s="820">
        <v>520903</v>
      </c>
    </row>
    <row r="17" spans="1:5" ht="25.5">
      <c r="A17" s="818">
        <v>43</v>
      </c>
      <c r="B17" s="819" t="s">
        <v>983</v>
      </c>
      <c r="C17" s="820">
        <v>930371</v>
      </c>
      <c r="D17" s="820">
        <v>0</v>
      </c>
      <c r="E17" s="820">
        <v>520903</v>
      </c>
    </row>
    <row r="18" spans="1:5" ht="12.75">
      <c r="A18" s="816" t="s">
        <v>867</v>
      </c>
      <c r="B18" s="815" t="s">
        <v>868</v>
      </c>
      <c r="C18" s="817">
        <f>133110+18565</f>
        <v>151675</v>
      </c>
      <c r="D18" s="817">
        <v>0</v>
      </c>
      <c r="E18" s="817">
        <f>158110+178450</f>
        <v>336560</v>
      </c>
    </row>
    <row r="19" spans="1:5" ht="25.5">
      <c r="A19" s="818" t="s">
        <v>869</v>
      </c>
      <c r="B19" s="819" t="s">
        <v>870</v>
      </c>
      <c r="C19" s="820">
        <f>133110+18565</f>
        <v>151675</v>
      </c>
      <c r="D19" s="820">
        <v>0</v>
      </c>
      <c r="E19" s="820">
        <f>158110+178450</f>
        <v>336560</v>
      </c>
    </row>
    <row r="20" spans="1:5" ht="12.75">
      <c r="A20" s="816" t="s">
        <v>871</v>
      </c>
      <c r="B20" s="815" t="s">
        <v>872</v>
      </c>
      <c r="C20" s="817">
        <f>28147252+451089</f>
        <v>28598341</v>
      </c>
      <c r="D20" s="817">
        <v>0</v>
      </c>
      <c r="E20" s="817">
        <f>28211535+4175+851123</f>
        <v>29066833</v>
      </c>
    </row>
    <row r="21" spans="1:5" ht="12.75">
      <c r="A21" s="816" t="s">
        <v>873</v>
      </c>
      <c r="B21" s="815" t="s">
        <v>874</v>
      </c>
      <c r="C21" s="817">
        <v>60000000</v>
      </c>
      <c r="D21" s="817">
        <v>0</v>
      </c>
      <c r="E21" s="817">
        <v>603916</v>
      </c>
    </row>
    <row r="22" spans="1:5" ht="12.75">
      <c r="A22" s="818" t="s">
        <v>875</v>
      </c>
      <c r="B22" s="819" t="s">
        <v>876</v>
      </c>
      <c r="C22" s="820">
        <f>88147252+451089</f>
        <v>88598341</v>
      </c>
      <c r="D22" s="820">
        <v>0</v>
      </c>
      <c r="E22" s="820">
        <f>28815451+4175+851123</f>
        <v>29670749</v>
      </c>
    </row>
    <row r="23" spans="1:5" ht="12.75">
      <c r="A23" s="818" t="s">
        <v>877</v>
      </c>
      <c r="B23" s="819" t="s">
        <v>878</v>
      </c>
      <c r="C23" s="820">
        <f>88280362+469654</f>
        <v>88750016</v>
      </c>
      <c r="D23" s="820">
        <v>0</v>
      </c>
      <c r="E23" s="820">
        <f>28970761+6975+1029573</f>
        <v>30007309</v>
      </c>
    </row>
    <row r="24" spans="1:5" ht="24.75">
      <c r="A24" s="816" t="s">
        <v>879</v>
      </c>
      <c r="B24" s="815" t="s">
        <v>880</v>
      </c>
      <c r="C24" s="817">
        <v>979885</v>
      </c>
      <c r="D24" s="817">
        <v>0</v>
      </c>
      <c r="E24" s="817">
        <v>2584459</v>
      </c>
    </row>
    <row r="25" spans="1:5" ht="24.75">
      <c r="A25" s="816" t="s">
        <v>881</v>
      </c>
      <c r="B25" s="815" t="s">
        <v>882</v>
      </c>
      <c r="C25" s="817">
        <v>48990</v>
      </c>
      <c r="D25" s="817">
        <v>0</v>
      </c>
      <c r="E25" s="817">
        <v>267930</v>
      </c>
    </row>
    <row r="26" spans="1:5" ht="24.75">
      <c r="A26" s="816" t="s">
        <v>883</v>
      </c>
      <c r="B26" s="815" t="s">
        <v>884</v>
      </c>
      <c r="C26" s="817">
        <v>879809</v>
      </c>
      <c r="D26" s="817">
        <v>0</v>
      </c>
      <c r="E26" s="817">
        <v>2096757</v>
      </c>
    </row>
    <row r="27" spans="1:5" ht="24.75">
      <c r="A27" s="816" t="s">
        <v>885</v>
      </c>
      <c r="B27" s="815" t="s">
        <v>886</v>
      </c>
      <c r="C27" s="817">
        <v>51086</v>
      </c>
      <c r="D27" s="817">
        <v>0</v>
      </c>
      <c r="E27" s="817">
        <v>219772</v>
      </c>
    </row>
    <row r="28" spans="1:5" ht="24.75">
      <c r="A28" s="816" t="s">
        <v>887</v>
      </c>
      <c r="B28" s="815" t="s">
        <v>888</v>
      </c>
      <c r="C28" s="817">
        <f>3860204+1219347</f>
        <v>5079551</v>
      </c>
      <c r="D28" s="817">
        <v>0</v>
      </c>
      <c r="E28" s="817">
        <f>4558432+753329</f>
        <v>5311761</v>
      </c>
    </row>
    <row r="29" spans="1:5" ht="49.5">
      <c r="A29" s="816" t="s">
        <v>889</v>
      </c>
      <c r="B29" s="815" t="s">
        <v>890</v>
      </c>
      <c r="C29" s="817">
        <v>3151697</v>
      </c>
      <c r="D29" s="817">
        <v>0</v>
      </c>
      <c r="E29" s="817">
        <v>3701483</v>
      </c>
    </row>
    <row r="30" spans="1:5" ht="24.75">
      <c r="A30" s="816">
        <v>72</v>
      </c>
      <c r="B30" s="815" t="s">
        <v>984</v>
      </c>
      <c r="C30" s="817">
        <v>960116</v>
      </c>
      <c r="D30" s="817"/>
      <c r="E30" s="817">
        <v>593171</v>
      </c>
    </row>
    <row r="31" spans="1:5" ht="24.75">
      <c r="A31" s="816" t="s">
        <v>891</v>
      </c>
      <c r="B31" s="815" t="s">
        <v>892</v>
      </c>
      <c r="C31" s="817">
        <f>708507+259231</f>
        <v>967738</v>
      </c>
      <c r="D31" s="817">
        <v>0</v>
      </c>
      <c r="E31" s="817">
        <f>856949+160157</f>
        <v>1017106</v>
      </c>
    </row>
    <row r="32" spans="1:5" ht="24.75">
      <c r="A32" s="816">
        <v>78</v>
      </c>
      <c r="B32" s="815" t="s">
        <v>985</v>
      </c>
      <c r="C32" s="817">
        <v>0</v>
      </c>
      <c r="D32" s="817"/>
      <c r="E32" s="817">
        <v>1</v>
      </c>
    </row>
    <row r="33" spans="1:5" ht="25.5">
      <c r="A33" s="818" t="s">
        <v>893</v>
      </c>
      <c r="B33" s="819" t="s">
        <v>894</v>
      </c>
      <c r="C33" s="820">
        <f>4840089+1219347</f>
        <v>6059436</v>
      </c>
      <c r="D33" s="820">
        <v>0</v>
      </c>
      <c r="E33" s="820">
        <f>7142891+753329</f>
        <v>7896220</v>
      </c>
    </row>
    <row r="34" spans="1:5" ht="24.75">
      <c r="A34" s="816" t="s">
        <v>895</v>
      </c>
      <c r="B34" s="815" t="s">
        <v>896</v>
      </c>
      <c r="C34" s="817">
        <v>0</v>
      </c>
      <c r="D34" s="817">
        <v>0</v>
      </c>
      <c r="E34" s="817">
        <v>1146215</v>
      </c>
    </row>
    <row r="35" spans="1:5" ht="49.5">
      <c r="A35" s="816" t="s">
        <v>897</v>
      </c>
      <c r="B35" s="815" t="s">
        <v>898</v>
      </c>
      <c r="C35" s="817">
        <v>0</v>
      </c>
      <c r="D35" s="817">
        <v>0</v>
      </c>
      <c r="E35" s="817">
        <v>902532</v>
      </c>
    </row>
    <row r="36" spans="1:5" ht="24.75">
      <c r="A36" s="816" t="s">
        <v>899</v>
      </c>
      <c r="B36" s="815" t="s">
        <v>900</v>
      </c>
      <c r="C36" s="817">
        <v>0</v>
      </c>
      <c r="D36" s="817">
        <v>0</v>
      </c>
      <c r="E36" s="817">
        <v>243683</v>
      </c>
    </row>
    <row r="37" spans="1:5" ht="25.5">
      <c r="A37" s="818" t="s">
        <v>901</v>
      </c>
      <c r="B37" s="819" t="s">
        <v>902</v>
      </c>
      <c r="C37" s="820">
        <v>0</v>
      </c>
      <c r="D37" s="820">
        <v>0</v>
      </c>
      <c r="E37" s="820">
        <v>1146215</v>
      </c>
    </row>
    <row r="38" spans="1:5" ht="12.75">
      <c r="A38" s="816" t="s">
        <v>903</v>
      </c>
      <c r="B38" s="815" t="s">
        <v>904</v>
      </c>
      <c r="C38" s="817">
        <v>2515000</v>
      </c>
      <c r="D38" s="817">
        <v>0</v>
      </c>
      <c r="E38" s="817">
        <v>2515000</v>
      </c>
    </row>
    <row r="39" spans="1:5" ht="12.75">
      <c r="A39" s="816" t="s">
        <v>905</v>
      </c>
      <c r="B39" s="815" t="s">
        <v>906</v>
      </c>
      <c r="C39" s="817">
        <v>15000</v>
      </c>
      <c r="D39" s="817">
        <v>0</v>
      </c>
      <c r="E39" s="817">
        <v>15000</v>
      </c>
    </row>
    <row r="40" spans="1:5" ht="24.75">
      <c r="A40" s="816" t="s">
        <v>907</v>
      </c>
      <c r="B40" s="815" t="s">
        <v>908</v>
      </c>
      <c r="C40" s="817">
        <v>2500000</v>
      </c>
      <c r="D40" s="817">
        <v>0</v>
      </c>
      <c r="E40" s="817">
        <v>2500000</v>
      </c>
    </row>
    <row r="41" spans="1:5" ht="12.75">
      <c r="A41" s="816" t="s">
        <v>909</v>
      </c>
      <c r="B41" s="815" t="s">
        <v>910</v>
      </c>
      <c r="C41" s="817">
        <v>170000</v>
      </c>
      <c r="D41" s="817">
        <v>0</v>
      </c>
      <c r="E41" s="817">
        <v>170000</v>
      </c>
    </row>
    <row r="42" spans="1:5" ht="25.5">
      <c r="A42" s="818" t="s">
        <v>911</v>
      </c>
      <c r="B42" s="819" t="s">
        <v>912</v>
      </c>
      <c r="C42" s="820">
        <v>2685000</v>
      </c>
      <c r="D42" s="820">
        <v>0</v>
      </c>
      <c r="E42" s="820">
        <v>2685000</v>
      </c>
    </row>
    <row r="43" spans="1:5" ht="12.75">
      <c r="A43" s="818" t="s">
        <v>913</v>
      </c>
      <c r="B43" s="819" t="s">
        <v>914</v>
      </c>
      <c r="C43" s="820">
        <f>7525089+1219347</f>
        <v>8744436</v>
      </c>
      <c r="D43" s="820">
        <v>0</v>
      </c>
      <c r="E43" s="820">
        <f>10974106+753329</f>
        <v>11727435</v>
      </c>
    </row>
    <row r="44" spans="1:5" ht="24.75">
      <c r="A44" s="816" t="s">
        <v>915</v>
      </c>
      <c r="B44" s="815" t="s">
        <v>916</v>
      </c>
      <c r="C44" s="817">
        <v>392000</v>
      </c>
      <c r="D44" s="817">
        <v>0</v>
      </c>
      <c r="E44" s="817">
        <v>606671</v>
      </c>
    </row>
    <row r="45" spans="1:5" ht="25.5">
      <c r="A45" s="818" t="s">
        <v>917</v>
      </c>
      <c r="B45" s="819" t="s">
        <v>918</v>
      </c>
      <c r="C45" s="820">
        <v>392000</v>
      </c>
      <c r="D45" s="820">
        <v>0</v>
      </c>
      <c r="E45" s="820">
        <v>606671</v>
      </c>
    </row>
    <row r="46" spans="1:5" ht="24.75">
      <c r="A46" s="816">
        <v>161</v>
      </c>
      <c r="B46" s="815" t="s">
        <v>986</v>
      </c>
      <c r="C46" s="817">
        <v>464000</v>
      </c>
      <c r="D46" s="817">
        <v>0</v>
      </c>
      <c r="E46" s="817">
        <v>2280431</v>
      </c>
    </row>
    <row r="47" spans="1:5" ht="25.5">
      <c r="A47" s="818">
        <v>164</v>
      </c>
      <c r="B47" s="819" t="s">
        <v>918</v>
      </c>
      <c r="C47" s="820">
        <v>464000</v>
      </c>
      <c r="D47" s="820">
        <v>0</v>
      </c>
      <c r="E47" s="820">
        <v>2280431</v>
      </c>
    </row>
    <row r="48" spans="1:5" ht="12.75">
      <c r="A48" s="816" t="s">
        <v>919</v>
      </c>
      <c r="B48" s="815" t="s">
        <v>920</v>
      </c>
      <c r="C48" s="817">
        <f>-1706000-306000</f>
        <v>-2012000</v>
      </c>
      <c r="D48" s="817">
        <v>0</v>
      </c>
      <c r="E48" s="817">
        <f>-654432-1714520</f>
        <v>-2368952</v>
      </c>
    </row>
    <row r="49" spans="1:5" ht="25.5">
      <c r="A49" s="818" t="s">
        <v>921</v>
      </c>
      <c r="B49" s="819" t="s">
        <v>922</v>
      </c>
      <c r="C49" s="820">
        <f>-1706000-306000</f>
        <v>-2012000</v>
      </c>
      <c r="D49" s="820">
        <v>0</v>
      </c>
      <c r="E49" s="820">
        <f>-654432-1714520</f>
        <v>-2368952</v>
      </c>
    </row>
    <row r="50" spans="1:5" ht="25.5">
      <c r="A50" s="818" t="s">
        <v>923</v>
      </c>
      <c r="B50" s="819" t="s">
        <v>924</v>
      </c>
      <c r="C50" s="820">
        <f>-1314000+158000</f>
        <v>-1156000</v>
      </c>
      <c r="D50" s="820">
        <v>0</v>
      </c>
      <c r="E50" s="820">
        <f>-47761+565911</f>
        <v>518150</v>
      </c>
    </row>
    <row r="51" spans="1:5" ht="12.75">
      <c r="A51" s="818" t="s">
        <v>925</v>
      </c>
      <c r="B51" s="819" t="s">
        <v>926</v>
      </c>
      <c r="C51" s="820">
        <f>883040400+2777372</f>
        <v>885817772</v>
      </c>
      <c r="D51" s="820">
        <v>0</v>
      </c>
      <c r="E51" s="820">
        <f>E50+E43+E23+E17+E14</f>
        <v>890973907</v>
      </c>
    </row>
    <row r="52" spans="1:5" ht="12.75">
      <c r="A52" s="816" t="s">
        <v>927</v>
      </c>
      <c r="B52" s="815" t="s">
        <v>928</v>
      </c>
      <c r="C52" s="817">
        <v>753164511</v>
      </c>
      <c r="D52" s="817">
        <v>0</v>
      </c>
      <c r="E52" s="817">
        <v>753164511</v>
      </c>
    </row>
    <row r="53" spans="1:5" ht="12.75">
      <c r="A53" s="816" t="s">
        <v>929</v>
      </c>
      <c r="B53" s="815" t="s">
        <v>930</v>
      </c>
      <c r="C53" s="817">
        <v>9327046</v>
      </c>
      <c r="D53" s="817">
        <v>0</v>
      </c>
      <c r="E53" s="817">
        <v>9327046</v>
      </c>
    </row>
    <row r="54" spans="1:5" ht="12.75">
      <c r="A54" s="816" t="s">
        <v>931</v>
      </c>
      <c r="B54" s="815" t="s">
        <v>932</v>
      </c>
      <c r="C54" s="817">
        <f>8605271+11193622</f>
        <v>19798893</v>
      </c>
      <c r="D54" s="817">
        <v>0</v>
      </c>
      <c r="E54" s="817">
        <v>20174570</v>
      </c>
    </row>
    <row r="55" spans="1:5" ht="12.75">
      <c r="A55" s="816" t="s">
        <v>933</v>
      </c>
      <c r="B55" s="815" t="s">
        <v>934</v>
      </c>
      <c r="C55" s="817">
        <f>-63422870-3648893</f>
        <v>-67071763</v>
      </c>
      <c r="D55" s="817">
        <v>0</v>
      </c>
      <c r="E55" s="817">
        <v>-52061639</v>
      </c>
    </row>
    <row r="56" spans="1:5" ht="12.75">
      <c r="A56" s="818" t="s">
        <v>935</v>
      </c>
      <c r="B56" s="819" t="s">
        <v>936</v>
      </c>
      <c r="C56" s="820">
        <f>785121398-2455271</f>
        <v>782666127</v>
      </c>
      <c r="D56" s="820">
        <v>0</v>
      </c>
      <c r="E56" s="820">
        <v>730604488</v>
      </c>
    </row>
    <row r="57" spans="1:5" ht="24.75">
      <c r="A57" s="816" t="s">
        <v>937</v>
      </c>
      <c r="B57" s="815" t="s">
        <v>938</v>
      </c>
      <c r="C57" s="817">
        <f>5172671+4649123</f>
        <v>9821794</v>
      </c>
      <c r="D57" s="817">
        <v>0</v>
      </c>
      <c r="E57" s="817">
        <f>4197296+59080+7345664</f>
        <v>11602040</v>
      </c>
    </row>
    <row r="58" spans="1:5" ht="24.75">
      <c r="A58" s="816" t="s">
        <v>939</v>
      </c>
      <c r="B58" s="815" t="s">
        <v>940</v>
      </c>
      <c r="C58" s="817">
        <v>200000</v>
      </c>
      <c r="D58" s="817">
        <v>0</v>
      </c>
      <c r="E58" s="817">
        <v>350000</v>
      </c>
    </row>
    <row r="59" spans="1:5" ht="24.75">
      <c r="A59" s="816" t="s">
        <v>941</v>
      </c>
      <c r="B59" s="815" t="s">
        <v>942</v>
      </c>
      <c r="C59" s="817">
        <v>1100</v>
      </c>
      <c r="D59" s="817">
        <v>0</v>
      </c>
      <c r="E59" s="817">
        <v>547619</v>
      </c>
    </row>
    <row r="60" spans="1:5" ht="25.5">
      <c r="A60" s="818" t="s">
        <v>943</v>
      </c>
      <c r="B60" s="819" t="s">
        <v>944</v>
      </c>
      <c r="C60" s="820">
        <f>5373771+4649123</f>
        <v>10022894</v>
      </c>
      <c r="D60" s="820">
        <v>0</v>
      </c>
      <c r="E60" s="820">
        <f>5094915+59080+7345664</f>
        <v>12499659</v>
      </c>
    </row>
    <row r="61" spans="1:5" ht="37.5">
      <c r="A61" s="816" t="s">
        <v>945</v>
      </c>
      <c r="B61" s="815" t="s">
        <v>946</v>
      </c>
      <c r="C61" s="817">
        <v>2116241</v>
      </c>
      <c r="D61" s="817">
        <v>0</v>
      </c>
      <c r="E61" s="817">
        <v>3140241</v>
      </c>
    </row>
    <row r="62" spans="1:5" ht="37.5">
      <c r="A62" s="816" t="s">
        <v>947</v>
      </c>
      <c r="B62" s="815" t="s">
        <v>948</v>
      </c>
      <c r="C62" s="817">
        <v>2116241</v>
      </c>
      <c r="D62" s="817">
        <v>0</v>
      </c>
      <c r="E62" s="817">
        <v>3140241</v>
      </c>
    </row>
    <row r="63" spans="1:5" ht="25.5">
      <c r="A63" s="818" t="s">
        <v>949</v>
      </c>
      <c r="B63" s="819" t="s">
        <v>950</v>
      </c>
      <c r="C63" s="820">
        <v>2116241</v>
      </c>
      <c r="D63" s="820">
        <v>0</v>
      </c>
      <c r="E63" s="820">
        <v>3140241</v>
      </c>
    </row>
    <row r="64" spans="1:5" ht="12.75">
      <c r="A64" s="816" t="s">
        <v>951</v>
      </c>
      <c r="B64" s="815" t="s">
        <v>952</v>
      </c>
      <c r="C64" s="817">
        <v>822017</v>
      </c>
      <c r="D64" s="817">
        <v>0</v>
      </c>
      <c r="E64" s="817">
        <v>1598868</v>
      </c>
    </row>
    <row r="65" spans="1:5" ht="24.75">
      <c r="A65" s="816" t="s">
        <v>953</v>
      </c>
      <c r="B65" s="815" t="s">
        <v>954</v>
      </c>
      <c r="C65" s="817">
        <v>0</v>
      </c>
      <c r="D65" s="817">
        <v>0</v>
      </c>
      <c r="E65" s="817">
        <v>30000</v>
      </c>
    </row>
    <row r="66" spans="1:5" ht="24.75">
      <c r="A66" s="816" t="s">
        <v>955</v>
      </c>
      <c r="B66" s="815" t="s">
        <v>956</v>
      </c>
      <c r="C66" s="817">
        <v>0</v>
      </c>
      <c r="D66" s="817">
        <v>0</v>
      </c>
      <c r="E66" s="817">
        <v>6006</v>
      </c>
    </row>
    <row r="67" spans="1:5" ht="25.5">
      <c r="A67" s="818" t="s">
        <v>957</v>
      </c>
      <c r="B67" s="819" t="s">
        <v>958</v>
      </c>
      <c r="C67" s="820">
        <v>822017</v>
      </c>
      <c r="D67" s="820">
        <v>0</v>
      </c>
      <c r="E67" s="820">
        <v>1634874</v>
      </c>
    </row>
    <row r="68" spans="1:5" ht="12.75">
      <c r="A68" s="818" t="s">
        <v>959</v>
      </c>
      <c r="B68" s="819" t="s">
        <v>960</v>
      </c>
      <c r="C68" s="820">
        <f>8312029+4649123</f>
        <v>12961152</v>
      </c>
      <c r="D68" s="820">
        <v>0</v>
      </c>
      <c r="E68" s="820">
        <f>9870030+59080+7345664</f>
        <v>17274774</v>
      </c>
    </row>
    <row r="69" spans="1:5" ht="24.75">
      <c r="A69" s="816" t="s">
        <v>961</v>
      </c>
      <c r="B69" s="815" t="s">
        <v>962</v>
      </c>
      <c r="C69" s="817">
        <v>28771661</v>
      </c>
      <c r="D69" s="817">
        <v>0</v>
      </c>
      <c r="E69" s="817">
        <v>13613892</v>
      </c>
    </row>
    <row r="70" spans="1:5" ht="24.75">
      <c r="A70" s="816" t="s">
        <v>963</v>
      </c>
      <c r="B70" s="815" t="s">
        <v>964</v>
      </c>
      <c r="C70" s="817">
        <f>7368082+583520</f>
        <v>7951602</v>
      </c>
      <c r="D70" s="817">
        <v>0</v>
      </c>
      <c r="E70" s="817">
        <f>8527910+1924086+710875</f>
        <v>11162871</v>
      </c>
    </row>
    <row r="71" spans="1:5" ht="12.75">
      <c r="A71" s="816" t="s">
        <v>965</v>
      </c>
      <c r="B71" s="815" t="s">
        <v>966</v>
      </c>
      <c r="C71" s="817">
        <v>53467230</v>
      </c>
      <c r="D71" s="817">
        <v>0</v>
      </c>
      <c r="E71" s="817">
        <v>118317882</v>
      </c>
    </row>
    <row r="72" spans="1:5" ht="25.5">
      <c r="A72" s="818" t="s">
        <v>967</v>
      </c>
      <c r="B72" s="819" t="s">
        <v>968</v>
      </c>
      <c r="C72" s="820">
        <f>89606973+583520</f>
        <v>90190493</v>
      </c>
      <c r="D72" s="820">
        <v>0</v>
      </c>
      <c r="E72" s="820">
        <f>140459684+1924086+710875</f>
        <v>143094645</v>
      </c>
    </row>
    <row r="73" spans="1:5" ht="12.75">
      <c r="A73" s="818" t="s">
        <v>969</v>
      </c>
      <c r="B73" s="819" t="s">
        <v>970</v>
      </c>
      <c r="C73" s="820">
        <f>883040400+2777372</f>
        <v>885817772</v>
      </c>
      <c r="D73" s="820">
        <v>0</v>
      </c>
      <c r="E73" s="820">
        <f>E72+E68+E56</f>
        <v>890973907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7.00390625" style="0" customWidth="1"/>
    <col min="2" max="2" width="35.25390625" style="0" customWidth="1"/>
    <col min="3" max="3" width="20.75390625" style="0" customWidth="1"/>
    <col min="4" max="4" width="21.375" style="0" customWidth="1"/>
    <col min="5" max="5" width="20.25390625" style="0" customWidth="1"/>
    <col min="6" max="6" width="35.25390625" style="0" customWidth="1"/>
  </cols>
  <sheetData>
    <row r="1" spans="3:5" ht="12.75">
      <c r="C1" s="892" t="s">
        <v>989</v>
      </c>
      <c r="D1" s="892"/>
      <c r="E1" s="892"/>
    </row>
    <row r="3" spans="1:5" ht="12.75">
      <c r="A3" s="890" t="s">
        <v>971</v>
      </c>
      <c r="B3" s="891"/>
      <c r="C3" s="891"/>
      <c r="D3" s="891"/>
      <c r="E3" s="891"/>
    </row>
    <row r="4" spans="1:5" ht="15">
      <c r="A4" s="821" t="s">
        <v>860</v>
      </c>
      <c r="B4" s="821" t="s">
        <v>47</v>
      </c>
      <c r="C4" s="821" t="s">
        <v>861</v>
      </c>
      <c r="D4" s="821" t="s">
        <v>862</v>
      </c>
      <c r="E4" s="821" t="s">
        <v>863</v>
      </c>
    </row>
    <row r="5" spans="1:5" ht="15">
      <c r="A5" s="821">
        <v>1</v>
      </c>
      <c r="B5" s="821">
        <v>2</v>
      </c>
      <c r="C5" s="821">
        <v>3</v>
      </c>
      <c r="D5" s="821">
        <v>4</v>
      </c>
      <c r="E5" s="821">
        <v>5</v>
      </c>
    </row>
    <row r="6" spans="1:5" ht="24.75">
      <c r="A6" s="816" t="s">
        <v>42</v>
      </c>
      <c r="B6" s="815" t="s">
        <v>838</v>
      </c>
      <c r="C6" s="817">
        <v>10376152</v>
      </c>
      <c r="D6" s="817">
        <v>0</v>
      </c>
      <c r="E6" s="817">
        <v>3833754</v>
      </c>
    </row>
    <row r="7" spans="1:5" ht="37.5">
      <c r="A7" s="816" t="s">
        <v>491</v>
      </c>
      <c r="B7" s="815" t="s">
        <v>839</v>
      </c>
      <c r="C7" s="817">
        <f>7259924+5987762</f>
        <v>13247686</v>
      </c>
      <c r="D7" s="817">
        <v>0</v>
      </c>
      <c r="E7" s="817">
        <f>8917374+7005619</f>
        <v>15922993</v>
      </c>
    </row>
    <row r="8" spans="1:5" ht="24.75">
      <c r="A8" s="816" t="s">
        <v>493</v>
      </c>
      <c r="B8" s="815" t="s">
        <v>840</v>
      </c>
      <c r="C8" s="817">
        <v>0</v>
      </c>
      <c r="D8" s="817">
        <v>0</v>
      </c>
      <c r="E8" s="817">
        <v>450860</v>
      </c>
    </row>
    <row r="9" spans="1:5" ht="39">
      <c r="A9" s="818" t="s">
        <v>495</v>
      </c>
      <c r="B9" s="819" t="s">
        <v>841</v>
      </c>
      <c r="C9" s="820">
        <f>17636076+5987762</f>
        <v>23623838</v>
      </c>
      <c r="D9" s="820">
        <v>0</v>
      </c>
      <c r="E9" s="820">
        <f>13201988+7005619</f>
        <v>20207607</v>
      </c>
    </row>
    <row r="10" spans="1:5" ht="37.5">
      <c r="A10" s="816" t="s">
        <v>503</v>
      </c>
      <c r="B10" s="815" t="s">
        <v>842</v>
      </c>
      <c r="C10" s="817">
        <f>68391039+11434915</f>
        <v>79825954</v>
      </c>
      <c r="D10" s="817">
        <v>0</v>
      </c>
      <c r="E10" s="817">
        <f>77957117+10379891+6541111</f>
        <v>94878119</v>
      </c>
    </row>
    <row r="11" spans="1:5" ht="24.75">
      <c r="A11" s="816" t="s">
        <v>505</v>
      </c>
      <c r="B11" s="815" t="s">
        <v>843</v>
      </c>
      <c r="C11" s="817">
        <v>64105880</v>
      </c>
      <c r="D11" s="817">
        <v>0</v>
      </c>
      <c r="E11" s="817">
        <v>98820951</v>
      </c>
    </row>
    <row r="12" spans="1:5" ht="24.75">
      <c r="A12" s="816" t="s">
        <v>507</v>
      </c>
      <c r="B12" s="815" t="s">
        <v>844</v>
      </c>
      <c r="C12" s="817">
        <v>5286865</v>
      </c>
      <c r="D12" s="817">
        <v>0</v>
      </c>
      <c r="E12" s="817">
        <v>2530833</v>
      </c>
    </row>
    <row r="13" spans="1:5" ht="24.75">
      <c r="A13" s="816" t="s">
        <v>509</v>
      </c>
      <c r="B13" s="815" t="s">
        <v>845</v>
      </c>
      <c r="C13" s="817">
        <f>40984596+3556</f>
        <v>40988152</v>
      </c>
      <c r="D13" s="817">
        <v>0</v>
      </c>
      <c r="E13" s="817">
        <f>2742860+4306+174185</f>
        <v>2921351</v>
      </c>
    </row>
    <row r="14" spans="1:5" ht="25.5">
      <c r="A14" s="818" t="s">
        <v>511</v>
      </c>
      <c r="B14" s="819" t="s">
        <v>846</v>
      </c>
      <c r="C14" s="820">
        <f>178768380+11438471</f>
        <v>190206851</v>
      </c>
      <c r="D14" s="820">
        <v>0</v>
      </c>
      <c r="E14" s="820">
        <f>182051761+10384197+6541111</f>
        <v>198977069</v>
      </c>
    </row>
    <row r="15" spans="1:5" ht="12.75">
      <c r="A15" s="816" t="s">
        <v>513</v>
      </c>
      <c r="B15" s="815" t="s">
        <v>847</v>
      </c>
      <c r="C15" s="817">
        <f>11938430+8633889</f>
        <v>20572319</v>
      </c>
      <c r="D15" s="817">
        <v>0</v>
      </c>
      <c r="E15" s="817">
        <f>13382547+10886567+85174</f>
        <v>24354288</v>
      </c>
    </row>
    <row r="16" spans="1:5" ht="12.75">
      <c r="A16" s="816" t="s">
        <v>515</v>
      </c>
      <c r="B16" s="815" t="s">
        <v>848</v>
      </c>
      <c r="C16" s="817">
        <f>2228846+734879</f>
        <v>2963725</v>
      </c>
      <c r="D16" s="817">
        <v>0</v>
      </c>
      <c r="E16" s="817">
        <f>15291893+147702</f>
        <v>15439595</v>
      </c>
    </row>
    <row r="17" spans="1:5" ht="24.75">
      <c r="A17" s="816" t="s">
        <v>519</v>
      </c>
      <c r="B17" s="815" t="s">
        <v>849</v>
      </c>
      <c r="C17" s="817">
        <v>2191798</v>
      </c>
      <c r="D17" s="817">
        <v>0</v>
      </c>
      <c r="E17" s="817">
        <v>754220</v>
      </c>
    </row>
    <row r="18" spans="1:5" ht="25.5">
      <c r="A18" s="818" t="s">
        <v>521</v>
      </c>
      <c r="B18" s="819" t="s">
        <v>850</v>
      </c>
      <c r="C18" s="820">
        <f>16359074+9368768</f>
        <v>25727842</v>
      </c>
      <c r="D18" s="820">
        <v>0</v>
      </c>
      <c r="E18" s="820">
        <f>29428660+11034269+259359</f>
        <v>40722288</v>
      </c>
    </row>
    <row r="19" spans="1:5" ht="12.75">
      <c r="A19" s="816" t="s">
        <v>523</v>
      </c>
      <c r="B19" s="815" t="s">
        <v>851</v>
      </c>
      <c r="C19" s="817">
        <f>77277491+6927800</f>
        <v>84205291</v>
      </c>
      <c r="D19" s="817">
        <v>0</v>
      </c>
      <c r="E19" s="817">
        <f>72147586+7031473+6898040</f>
        <v>86077099</v>
      </c>
    </row>
    <row r="20" spans="1:5" ht="12.75">
      <c r="A20" s="816" t="s">
        <v>525</v>
      </c>
      <c r="B20" s="815" t="s">
        <v>852</v>
      </c>
      <c r="C20" s="817">
        <f>11906936+447027</f>
        <v>12353963</v>
      </c>
      <c r="D20" s="817">
        <v>0</v>
      </c>
      <c r="E20" s="817">
        <f>13406071+574236+97650</f>
        <v>14077957</v>
      </c>
    </row>
    <row r="21" spans="1:5" ht="12.75">
      <c r="A21" s="816" t="s">
        <v>972</v>
      </c>
      <c r="B21" s="815" t="s">
        <v>853</v>
      </c>
      <c r="C21" s="817">
        <f>12199659+1515987</f>
        <v>13715646</v>
      </c>
      <c r="D21" s="817">
        <v>0</v>
      </c>
      <c r="E21" s="817">
        <f>11078559+1477167+1207157</f>
        <v>13762883</v>
      </c>
    </row>
    <row r="22" spans="1:5" ht="25.5">
      <c r="A22" s="818" t="s">
        <v>865</v>
      </c>
      <c r="B22" s="819" t="s">
        <v>854</v>
      </c>
      <c r="C22" s="820">
        <f>101384086+8890814</f>
        <v>110274900</v>
      </c>
      <c r="D22" s="820">
        <v>0</v>
      </c>
      <c r="E22" s="820">
        <f>96632216+9082876+8202847</f>
        <v>113917939</v>
      </c>
    </row>
    <row r="23" spans="1:5" ht="12.75">
      <c r="A23" s="818" t="s">
        <v>973</v>
      </c>
      <c r="B23" s="819" t="s">
        <v>855</v>
      </c>
      <c r="C23" s="820">
        <v>74879760</v>
      </c>
      <c r="D23" s="820">
        <v>0</v>
      </c>
      <c r="E23" s="820">
        <v>36363413</v>
      </c>
    </row>
    <row r="24" spans="1:5" ht="12.75">
      <c r="A24" s="818" t="s">
        <v>974</v>
      </c>
      <c r="B24" s="819" t="s">
        <v>856</v>
      </c>
      <c r="C24" s="820">
        <f>67204465+2815544</f>
        <v>70020009</v>
      </c>
      <c r="D24" s="820">
        <v>0</v>
      </c>
      <c r="E24" s="820">
        <f>80183356+4223+55096</f>
        <v>80242675</v>
      </c>
    </row>
    <row r="25" spans="1:5" ht="25.5">
      <c r="A25" s="818" t="s">
        <v>975</v>
      </c>
      <c r="B25" s="819" t="s">
        <v>976</v>
      </c>
      <c r="C25" s="820">
        <f>-63422929-3648893</f>
        <v>-67071822</v>
      </c>
      <c r="D25" s="820">
        <v>0</v>
      </c>
      <c r="E25" s="820">
        <f>-47353896-2731552-1976191</f>
        <v>-52061639</v>
      </c>
    </row>
    <row r="26" spans="1:5" ht="37.5">
      <c r="A26" s="816" t="s">
        <v>866</v>
      </c>
      <c r="B26" s="815" t="s">
        <v>857</v>
      </c>
      <c r="C26" s="817">
        <v>59</v>
      </c>
      <c r="D26" s="817">
        <v>0</v>
      </c>
      <c r="E26" s="817">
        <v>0</v>
      </c>
    </row>
    <row r="27" spans="1:5" ht="39">
      <c r="A27" s="818" t="s">
        <v>977</v>
      </c>
      <c r="B27" s="819" t="s">
        <v>858</v>
      </c>
      <c r="C27" s="820">
        <v>59</v>
      </c>
      <c r="D27" s="820">
        <v>0</v>
      </c>
      <c r="E27" s="820">
        <v>0</v>
      </c>
    </row>
    <row r="28" spans="1:5" ht="25.5">
      <c r="A28" s="818" t="s">
        <v>978</v>
      </c>
      <c r="B28" s="819" t="s">
        <v>979</v>
      </c>
      <c r="C28" s="820">
        <v>59</v>
      </c>
      <c r="D28" s="820">
        <v>0</v>
      </c>
      <c r="E28" s="820">
        <v>0</v>
      </c>
    </row>
    <row r="29" spans="1:5" ht="25.5">
      <c r="A29" s="818" t="s">
        <v>980</v>
      </c>
      <c r="B29" s="819" t="s">
        <v>981</v>
      </c>
      <c r="C29" s="820">
        <f>-63422870-3648893</f>
        <v>-67071763</v>
      </c>
      <c r="D29" s="820">
        <v>0</v>
      </c>
      <c r="E29" s="820">
        <f>-47353896-2731552-1976191</f>
        <v>-52061639</v>
      </c>
    </row>
  </sheetData>
  <sheetProtection/>
  <mergeCells count="2">
    <mergeCell ref="A3:E3"/>
    <mergeCell ref="C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375" style="0" customWidth="1"/>
    <col min="2" max="2" width="73.375" style="0" customWidth="1"/>
    <col min="3" max="3" width="16.75390625" style="0" customWidth="1"/>
  </cols>
  <sheetData>
    <row r="2" ht="12.75">
      <c r="A2" t="s">
        <v>91</v>
      </c>
    </row>
    <row r="4" spans="1:2" ht="12.75">
      <c r="A4" s="63"/>
      <c r="B4" s="63"/>
    </row>
    <row r="5" spans="1:2" s="71" customFormat="1" ht="15">
      <c r="A5" s="53" t="s">
        <v>332</v>
      </c>
      <c r="B5" s="70"/>
    </row>
    <row r="6" spans="1:2" ht="12.75">
      <c r="A6" s="63"/>
      <c r="B6" s="63"/>
    </row>
    <row r="7" spans="1:2" ht="12.75">
      <c r="A7" s="63" t="s">
        <v>407</v>
      </c>
      <c r="B7" s="63" t="s">
        <v>388</v>
      </c>
    </row>
    <row r="8" spans="1:2" ht="12.75">
      <c r="A8" s="63" t="s">
        <v>408</v>
      </c>
      <c r="B8" s="63" t="s">
        <v>389</v>
      </c>
    </row>
    <row r="9" spans="1:2" ht="12.75">
      <c r="A9" s="63" t="s">
        <v>409</v>
      </c>
      <c r="B9" s="63" t="s">
        <v>390</v>
      </c>
    </row>
    <row r="10" spans="1:2" ht="12.75">
      <c r="A10" s="63"/>
      <c r="B10" s="63"/>
    </row>
    <row r="11" spans="1:2" ht="12.75">
      <c r="A11" s="63"/>
      <c r="B11" s="63"/>
    </row>
    <row r="12" spans="1:2" s="71" customFormat="1" ht="15">
      <c r="A12" s="53" t="str">
        <f>+CONCATENATE(LEFT(A5,4),". évi előirányzat KIADÁSOK")</f>
        <v>2015. évi előirányzat KIADÁSOK</v>
      </c>
      <c r="B12" s="70"/>
    </row>
    <row r="13" spans="1:2" ht="12.75">
      <c r="A13" s="63"/>
      <c r="B13" s="63"/>
    </row>
    <row r="14" spans="1:2" ht="12.75">
      <c r="A14" s="63" t="s">
        <v>410</v>
      </c>
      <c r="B14" s="63" t="s">
        <v>391</v>
      </c>
    </row>
    <row r="15" spans="1:2" ht="12.75">
      <c r="A15" s="63" t="s">
        <v>411</v>
      </c>
      <c r="B15" s="63" t="s">
        <v>392</v>
      </c>
    </row>
    <row r="16" spans="1:2" ht="12.75">
      <c r="A16" s="63" t="s">
        <v>412</v>
      </c>
      <c r="B16" s="63" t="s">
        <v>393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7"/>
  <sheetViews>
    <sheetView view="pageLayout" zoomScaleNormal="120" zoomScaleSheetLayoutView="100" workbookViewId="0" topLeftCell="A58">
      <selection activeCell="E119" sqref="E119"/>
    </sheetView>
  </sheetViews>
  <sheetFormatPr defaultColWidth="9.25390625" defaultRowHeight="12.75"/>
  <cols>
    <col min="1" max="1" width="9.00390625" style="169" customWidth="1"/>
    <col min="2" max="2" width="75.75390625" style="169" customWidth="1"/>
    <col min="3" max="3" width="18.00390625" style="170" customWidth="1"/>
    <col min="4" max="5" width="15.375" style="169" customWidth="1"/>
    <col min="6" max="6" width="9.00390625" style="30" customWidth="1"/>
    <col min="7" max="16384" width="9.25390625" style="30" customWidth="1"/>
  </cols>
  <sheetData>
    <row r="1" spans="1:5" ht="15.75" customHeight="1">
      <c r="A1" s="824" t="s">
        <v>6</v>
      </c>
      <c r="B1" s="824"/>
      <c r="C1" s="824"/>
      <c r="D1" s="824"/>
      <c r="E1" s="824"/>
    </row>
    <row r="2" spans="1:5" ht="15.75" customHeight="1" thickBot="1">
      <c r="A2" s="825" t="s">
        <v>92</v>
      </c>
      <c r="B2" s="825"/>
      <c r="D2" s="65"/>
      <c r="E2" s="122" t="s">
        <v>426</v>
      </c>
    </row>
    <row r="3" spans="1:5" ht="37.5" customHeight="1" thickBot="1">
      <c r="A3" s="21" t="s">
        <v>49</v>
      </c>
      <c r="B3" s="22" t="s">
        <v>8</v>
      </c>
      <c r="C3" s="22" t="s">
        <v>780</v>
      </c>
      <c r="D3" s="174" t="s">
        <v>781</v>
      </c>
      <c r="E3" s="73" t="s">
        <v>774</v>
      </c>
    </row>
    <row r="4" spans="1:5" s="32" customFormat="1" ht="12" customHeight="1" thickBot="1">
      <c r="A4" s="25" t="s">
        <v>394</v>
      </c>
      <c r="B4" s="26" t="s">
        <v>395</v>
      </c>
      <c r="C4" s="178" t="s">
        <v>396</v>
      </c>
      <c r="D4" s="26" t="s">
        <v>398</v>
      </c>
      <c r="E4" s="205" t="s">
        <v>397</v>
      </c>
    </row>
    <row r="5" spans="1:5" s="1" customFormat="1" ht="12" customHeight="1" thickBot="1">
      <c r="A5" s="18" t="s">
        <v>9</v>
      </c>
      <c r="B5" s="19" t="s">
        <v>162</v>
      </c>
      <c r="C5" s="268">
        <f>+C6+C7+C8+C9+C10+C11</f>
        <v>68391039</v>
      </c>
      <c r="D5" s="239">
        <f>+D6+D7+D8+D9+D10+D11</f>
        <v>77957117</v>
      </c>
      <c r="E5" s="268">
        <f>+E6+E7+E8+E9+E10+E11</f>
        <v>77957117</v>
      </c>
    </row>
    <row r="6" spans="1:6" s="1" customFormat="1" ht="12" customHeight="1">
      <c r="A6" s="13" t="s">
        <v>61</v>
      </c>
      <c r="B6" s="185" t="s">
        <v>163</v>
      </c>
      <c r="C6" s="290">
        <v>20934944</v>
      </c>
      <c r="D6" s="115">
        <v>22707401</v>
      </c>
      <c r="E6" s="115">
        <v>22707401</v>
      </c>
      <c r="F6" s="184"/>
    </row>
    <row r="7" spans="1:6" s="1" customFormat="1" ht="12" customHeight="1">
      <c r="A7" s="12" t="s">
        <v>62</v>
      </c>
      <c r="B7" s="186" t="s">
        <v>164</v>
      </c>
      <c r="C7" s="290"/>
      <c r="D7" s="114">
        <v>7350050</v>
      </c>
      <c r="E7" s="114">
        <v>7350050</v>
      </c>
      <c r="F7" s="184"/>
    </row>
    <row r="8" spans="1:6" s="1" customFormat="1" ht="12" customHeight="1">
      <c r="A8" s="12" t="s">
        <v>63</v>
      </c>
      <c r="B8" s="186" t="s">
        <v>165</v>
      </c>
      <c r="C8" s="290">
        <v>24563497</v>
      </c>
      <c r="D8" s="114">
        <v>30922116</v>
      </c>
      <c r="E8" s="114">
        <v>30922116</v>
      </c>
      <c r="F8" s="184"/>
    </row>
    <row r="9" spans="1:6" s="1" customFormat="1" ht="12" customHeight="1">
      <c r="A9" s="12" t="s">
        <v>64</v>
      </c>
      <c r="B9" s="186" t="s">
        <v>166</v>
      </c>
      <c r="C9" s="290">
        <v>1800000</v>
      </c>
      <c r="D9" s="114">
        <v>1800000</v>
      </c>
      <c r="E9" s="114">
        <v>1800000</v>
      </c>
      <c r="F9" s="184"/>
    </row>
    <row r="10" spans="1:6" s="1" customFormat="1" ht="12" customHeight="1">
      <c r="A10" s="12" t="s">
        <v>88</v>
      </c>
      <c r="B10" s="108" t="s">
        <v>333</v>
      </c>
      <c r="C10" s="290">
        <v>21092598</v>
      </c>
      <c r="D10" s="395">
        <v>14829280</v>
      </c>
      <c r="E10" s="395">
        <v>14829280</v>
      </c>
      <c r="F10" s="184"/>
    </row>
    <row r="11" spans="1:6" s="1" customFormat="1" ht="12" customHeight="1" thickBot="1">
      <c r="A11" s="14" t="s">
        <v>65</v>
      </c>
      <c r="B11" s="109" t="s">
        <v>334</v>
      </c>
      <c r="C11" s="290"/>
      <c r="D11" s="114">
        <v>348270</v>
      </c>
      <c r="E11" s="114">
        <v>348270</v>
      </c>
      <c r="F11" s="184"/>
    </row>
    <row r="12" spans="1:6" s="1" customFormat="1" ht="12" customHeight="1" thickBot="1">
      <c r="A12" s="18" t="s">
        <v>10</v>
      </c>
      <c r="B12" s="107" t="s">
        <v>167</v>
      </c>
      <c r="C12" s="268">
        <f>+C13+C14+C15+C16+C17</f>
        <v>94267960</v>
      </c>
      <c r="D12" s="239">
        <f>+D13+D14+D15+D16+D17</f>
        <v>102975723</v>
      </c>
      <c r="E12" s="268">
        <f>+E13+E14+E15+E16+E17</f>
        <v>83663182</v>
      </c>
      <c r="F12" s="184"/>
    </row>
    <row r="13" spans="1:6" s="1" customFormat="1" ht="12" customHeight="1">
      <c r="A13" s="13" t="s">
        <v>67</v>
      </c>
      <c r="B13" s="185" t="s">
        <v>168</v>
      </c>
      <c r="C13" s="290"/>
      <c r="D13" s="115"/>
      <c r="E13" s="290"/>
      <c r="F13" s="184"/>
    </row>
    <row r="14" spans="1:6" s="1" customFormat="1" ht="12" customHeight="1">
      <c r="A14" s="12" t="s">
        <v>68</v>
      </c>
      <c r="B14" s="186" t="s">
        <v>169</v>
      </c>
      <c r="C14" s="290"/>
      <c r="D14" s="114"/>
      <c r="E14" s="290"/>
      <c r="F14" s="184"/>
    </row>
    <row r="15" spans="1:6" s="1" customFormat="1" ht="12" customHeight="1">
      <c r="A15" s="12" t="s">
        <v>69</v>
      </c>
      <c r="B15" s="186" t="s">
        <v>325</v>
      </c>
      <c r="C15" s="290"/>
      <c r="D15" s="114"/>
      <c r="E15" s="290"/>
      <c r="F15" s="184"/>
    </row>
    <row r="16" spans="1:6" s="1" customFormat="1" ht="12" customHeight="1">
      <c r="A16" s="12" t="s">
        <v>70</v>
      </c>
      <c r="B16" s="186" t="s">
        <v>326</v>
      </c>
      <c r="C16" s="290"/>
      <c r="D16" s="114"/>
      <c r="E16" s="290"/>
      <c r="F16" s="184"/>
    </row>
    <row r="17" spans="1:6" s="1" customFormat="1" ht="12" customHeight="1">
      <c r="A17" s="12" t="s">
        <v>71</v>
      </c>
      <c r="B17" s="186" t="s">
        <v>170</v>
      </c>
      <c r="C17" s="290">
        <v>94267960</v>
      </c>
      <c r="D17" s="114">
        <v>102975723</v>
      </c>
      <c r="E17" s="290">
        <v>83663182</v>
      </c>
      <c r="F17" s="184"/>
    </row>
    <row r="18" spans="1:6" s="1" customFormat="1" ht="12" customHeight="1" thickBot="1">
      <c r="A18" s="14" t="s">
        <v>77</v>
      </c>
      <c r="B18" s="109" t="s">
        <v>171</v>
      </c>
      <c r="C18" s="290">
        <v>17506110</v>
      </c>
      <c r="D18" s="116">
        <v>15472270</v>
      </c>
      <c r="E18" s="290">
        <v>3492818</v>
      </c>
      <c r="F18" s="184"/>
    </row>
    <row r="19" spans="1:6" s="1" customFormat="1" ht="12" customHeight="1" thickBot="1">
      <c r="A19" s="18" t="s">
        <v>11</v>
      </c>
      <c r="B19" s="19" t="s">
        <v>172</v>
      </c>
      <c r="C19" s="268">
        <f>+C20+C21+C22+C23+C24</f>
        <v>73566865</v>
      </c>
      <c r="D19" s="239">
        <f>+D20+D21+D22+D23+D24</f>
        <v>93493090</v>
      </c>
      <c r="E19" s="268">
        <f>+E20+E21+E22+E23+E24</f>
        <v>67343285</v>
      </c>
      <c r="F19" s="184"/>
    </row>
    <row r="20" spans="1:6" s="1" customFormat="1" ht="12" customHeight="1">
      <c r="A20" s="13" t="s">
        <v>50</v>
      </c>
      <c r="B20" s="185" t="s">
        <v>173</v>
      </c>
      <c r="C20" s="290">
        <v>15000000</v>
      </c>
      <c r="D20" s="115">
        <v>44895823</v>
      </c>
      <c r="E20" s="290">
        <v>44895823</v>
      </c>
      <c r="F20" s="184"/>
    </row>
    <row r="21" spans="1:6" s="1" customFormat="1" ht="12" customHeight="1">
      <c r="A21" s="12" t="s">
        <v>51</v>
      </c>
      <c r="B21" s="186" t="s">
        <v>174</v>
      </c>
      <c r="C21" s="290"/>
      <c r="D21" s="114"/>
      <c r="E21" s="290"/>
      <c r="F21" s="184"/>
    </row>
    <row r="22" spans="1:6" s="1" customFormat="1" ht="12" customHeight="1">
      <c r="A22" s="12" t="s">
        <v>52</v>
      </c>
      <c r="B22" s="186" t="s">
        <v>327</v>
      </c>
      <c r="C22" s="290"/>
      <c r="D22" s="114"/>
      <c r="E22" s="290"/>
      <c r="F22" s="184"/>
    </row>
    <row r="23" spans="1:6" s="1" customFormat="1" ht="12" customHeight="1">
      <c r="A23" s="12" t="s">
        <v>53</v>
      </c>
      <c r="B23" s="186" t="s">
        <v>328</v>
      </c>
      <c r="C23" s="290"/>
      <c r="D23" s="114"/>
      <c r="E23" s="290"/>
      <c r="F23" s="184"/>
    </row>
    <row r="24" spans="1:6" s="1" customFormat="1" ht="12" customHeight="1">
      <c r="A24" s="12" t="s">
        <v>110</v>
      </c>
      <c r="B24" s="186" t="s">
        <v>175</v>
      </c>
      <c r="C24" s="290">
        <v>58566865</v>
      </c>
      <c r="D24" s="114">
        <v>48597267</v>
      </c>
      <c r="E24" s="290">
        <v>22447462</v>
      </c>
      <c r="F24" s="184"/>
    </row>
    <row r="25" spans="1:6" s="1" customFormat="1" ht="12" customHeight="1" thickBot="1">
      <c r="A25" s="14" t="s">
        <v>111</v>
      </c>
      <c r="B25" s="187" t="s">
        <v>176</v>
      </c>
      <c r="C25" s="290">
        <v>53280000</v>
      </c>
      <c r="D25" s="116">
        <v>46674716</v>
      </c>
      <c r="E25" s="290">
        <v>21067673</v>
      </c>
      <c r="F25" s="184"/>
    </row>
    <row r="26" spans="1:6" s="1" customFormat="1" ht="12" customHeight="1" thickBot="1">
      <c r="A26" s="18" t="s">
        <v>112</v>
      </c>
      <c r="B26" s="19" t="s">
        <v>414</v>
      </c>
      <c r="C26" s="268">
        <f>SUM(C27:C33)</f>
        <v>4910929</v>
      </c>
      <c r="D26" s="239">
        <f>SUM(D27:D33)</f>
        <v>3010000</v>
      </c>
      <c r="E26" s="268">
        <f>SUM(E27:E33)</f>
        <v>3256690</v>
      </c>
      <c r="F26" s="184"/>
    </row>
    <row r="27" spans="1:6" s="1" customFormat="1" ht="12" customHeight="1">
      <c r="A27" s="202" t="s">
        <v>177</v>
      </c>
      <c r="B27" s="185" t="s">
        <v>418</v>
      </c>
      <c r="C27" s="290"/>
      <c r="D27" s="714"/>
      <c r="E27" s="290"/>
      <c r="F27" s="184"/>
    </row>
    <row r="28" spans="1:6" s="1" customFormat="1" ht="12" customHeight="1">
      <c r="A28" s="203" t="s">
        <v>178</v>
      </c>
      <c r="B28" s="186" t="s">
        <v>427</v>
      </c>
      <c r="C28" s="290">
        <v>347102</v>
      </c>
      <c r="D28" s="715">
        <v>350000</v>
      </c>
      <c r="E28" s="290">
        <v>206715</v>
      </c>
      <c r="F28" s="184"/>
    </row>
    <row r="29" spans="1:6" s="1" customFormat="1" ht="12" customHeight="1">
      <c r="A29" s="203" t="s">
        <v>179</v>
      </c>
      <c r="B29" s="186" t="s">
        <v>420</v>
      </c>
      <c r="C29" s="290">
        <v>2925815</v>
      </c>
      <c r="D29" s="715">
        <v>1000000</v>
      </c>
      <c r="E29" s="290">
        <v>1695763</v>
      </c>
      <c r="F29" s="184"/>
    </row>
    <row r="30" spans="1:6" s="1" customFormat="1" ht="12" customHeight="1">
      <c r="A30" s="203" t="s">
        <v>180</v>
      </c>
      <c r="B30" s="186" t="s">
        <v>421</v>
      </c>
      <c r="C30" s="290"/>
      <c r="D30" s="715"/>
      <c r="E30" s="290"/>
      <c r="F30" s="184"/>
    </row>
    <row r="31" spans="1:6" s="1" customFormat="1" ht="12" customHeight="1">
      <c r="A31" s="203" t="s">
        <v>415</v>
      </c>
      <c r="B31" s="186" t="s">
        <v>181</v>
      </c>
      <c r="C31" s="290">
        <v>1581711</v>
      </c>
      <c r="D31" s="715">
        <v>1600000</v>
      </c>
      <c r="E31" s="290">
        <v>1305772</v>
      </c>
      <c r="F31" s="184"/>
    </row>
    <row r="32" spans="1:6" s="1" customFormat="1" ht="12" customHeight="1">
      <c r="A32" s="203" t="s">
        <v>416</v>
      </c>
      <c r="B32" s="186" t="s">
        <v>182</v>
      </c>
      <c r="C32" s="290"/>
      <c r="D32" s="715"/>
      <c r="E32" s="290"/>
      <c r="F32" s="184"/>
    </row>
    <row r="33" spans="1:6" s="1" customFormat="1" ht="12" customHeight="1" thickBot="1">
      <c r="A33" s="204" t="s">
        <v>417</v>
      </c>
      <c r="B33" s="187" t="s">
        <v>183</v>
      </c>
      <c r="C33" s="290">
        <v>56301</v>
      </c>
      <c r="D33" s="716">
        <v>60000</v>
      </c>
      <c r="E33" s="290">
        <v>48440</v>
      </c>
      <c r="F33" s="184"/>
    </row>
    <row r="34" spans="1:6" s="1" customFormat="1" ht="12" customHeight="1" thickBot="1">
      <c r="A34" s="18" t="s">
        <v>13</v>
      </c>
      <c r="B34" s="19" t="s">
        <v>335</v>
      </c>
      <c r="C34" s="268">
        <f>SUM(C35:C45)</f>
        <v>14966294</v>
      </c>
      <c r="D34" s="239">
        <f>SUM(D35:D45)</f>
        <v>17984281</v>
      </c>
      <c r="E34" s="268">
        <f>SUM(E35:E45)</f>
        <v>20187036</v>
      </c>
      <c r="F34" s="184"/>
    </row>
    <row r="35" spans="1:6" s="1" customFormat="1" ht="12" customHeight="1">
      <c r="A35" s="13" t="s">
        <v>54</v>
      </c>
      <c r="B35" s="185" t="s">
        <v>186</v>
      </c>
      <c r="C35" s="290">
        <v>2021903</v>
      </c>
      <c r="D35" s="115">
        <v>1647583</v>
      </c>
      <c r="E35" s="290">
        <v>1647583</v>
      </c>
      <c r="F35" s="184"/>
    </row>
    <row r="36" spans="1:6" s="1" customFormat="1" ht="12" customHeight="1">
      <c r="A36" s="12" t="s">
        <v>55</v>
      </c>
      <c r="B36" s="186" t="s">
        <v>187</v>
      </c>
      <c r="C36" s="290">
        <v>2660362</v>
      </c>
      <c r="D36" s="114">
        <v>6461882</v>
      </c>
      <c r="E36" s="290">
        <v>4671258</v>
      </c>
      <c r="F36" s="184"/>
    </row>
    <row r="37" spans="1:6" s="1" customFormat="1" ht="12" customHeight="1">
      <c r="A37" s="12" t="s">
        <v>56</v>
      </c>
      <c r="B37" s="186" t="s">
        <v>188</v>
      </c>
      <c r="C37" s="290">
        <v>1183060</v>
      </c>
      <c r="D37" s="114"/>
      <c r="E37" s="290">
        <v>1146215</v>
      </c>
      <c r="F37" s="184"/>
    </row>
    <row r="38" spans="1:6" s="1" customFormat="1" ht="12" customHeight="1">
      <c r="A38" s="12" t="s">
        <v>114</v>
      </c>
      <c r="B38" s="186" t="s">
        <v>189</v>
      </c>
      <c r="C38" s="290"/>
      <c r="D38" s="114"/>
      <c r="E38" s="290">
        <v>450860</v>
      </c>
      <c r="F38" s="184"/>
    </row>
    <row r="39" spans="1:6" s="1" customFormat="1" ht="12" customHeight="1">
      <c r="A39" s="12" t="s">
        <v>115</v>
      </c>
      <c r="B39" s="186" t="s">
        <v>190</v>
      </c>
      <c r="C39" s="290">
        <v>5027646</v>
      </c>
      <c r="D39" s="114">
        <v>7028596</v>
      </c>
      <c r="E39" s="290">
        <v>7372564</v>
      </c>
      <c r="F39" s="184"/>
    </row>
    <row r="40" spans="1:6" s="1" customFormat="1" ht="12" customHeight="1">
      <c r="A40" s="12" t="s">
        <v>116</v>
      </c>
      <c r="B40" s="186" t="s">
        <v>191</v>
      </c>
      <c r="C40" s="290">
        <v>3384018</v>
      </c>
      <c r="D40" s="114">
        <v>2846220</v>
      </c>
      <c r="E40" s="290">
        <v>3328901</v>
      </c>
      <c r="F40" s="184"/>
    </row>
    <row r="41" spans="1:6" s="1" customFormat="1" ht="12" customHeight="1">
      <c r="A41" s="12" t="s">
        <v>117</v>
      </c>
      <c r="B41" s="186" t="s">
        <v>192</v>
      </c>
      <c r="C41" s="290"/>
      <c r="D41" s="114"/>
      <c r="E41" s="290"/>
      <c r="F41" s="184"/>
    </row>
    <row r="42" spans="1:6" s="1" customFormat="1" ht="12" customHeight="1">
      <c r="A42" s="12" t="s">
        <v>118</v>
      </c>
      <c r="B42" s="186" t="s">
        <v>193</v>
      </c>
      <c r="C42" s="290">
        <v>67</v>
      </c>
      <c r="D42" s="114"/>
      <c r="E42" s="290"/>
      <c r="F42" s="184"/>
    </row>
    <row r="43" spans="1:6" s="1" customFormat="1" ht="12" customHeight="1">
      <c r="A43" s="12" t="s">
        <v>184</v>
      </c>
      <c r="B43" s="186" t="s">
        <v>194</v>
      </c>
      <c r="C43" s="290"/>
      <c r="D43" s="117"/>
      <c r="E43" s="290"/>
      <c r="F43" s="184"/>
    </row>
    <row r="44" spans="1:6" s="1" customFormat="1" ht="12" customHeight="1">
      <c r="A44" s="14" t="s">
        <v>185</v>
      </c>
      <c r="B44" s="187" t="s">
        <v>337</v>
      </c>
      <c r="C44" s="290"/>
      <c r="D44" s="173"/>
      <c r="E44" s="290">
        <v>135500</v>
      </c>
      <c r="F44" s="184"/>
    </row>
    <row r="45" spans="1:6" s="1" customFormat="1" ht="12" customHeight="1" thickBot="1">
      <c r="A45" s="14" t="s">
        <v>336</v>
      </c>
      <c r="B45" s="109" t="s">
        <v>195</v>
      </c>
      <c r="C45" s="290">
        <v>689238</v>
      </c>
      <c r="D45" s="173"/>
      <c r="E45" s="290">
        <v>1434155</v>
      </c>
      <c r="F45" s="184"/>
    </row>
    <row r="46" spans="1:6" s="1" customFormat="1" ht="12" customHeight="1" thickBot="1">
      <c r="A46" s="18" t="s">
        <v>14</v>
      </c>
      <c r="B46" s="19" t="s">
        <v>196</v>
      </c>
      <c r="C46" s="268">
        <f>SUM(C47:C51)</f>
        <v>3700784</v>
      </c>
      <c r="D46" s="239">
        <f>SUM(D47:D51)</f>
        <v>300000</v>
      </c>
      <c r="E46" s="268">
        <f>SUM(E47:E51)</f>
        <v>150000</v>
      </c>
      <c r="F46" s="184"/>
    </row>
    <row r="47" spans="1:6" s="1" customFormat="1" ht="12" customHeight="1">
      <c r="A47" s="13" t="s">
        <v>57</v>
      </c>
      <c r="B47" s="185" t="s">
        <v>200</v>
      </c>
      <c r="C47" s="290"/>
      <c r="D47" s="217"/>
      <c r="E47" s="290"/>
      <c r="F47" s="184"/>
    </row>
    <row r="48" spans="1:6" s="1" customFormat="1" ht="12" customHeight="1">
      <c r="A48" s="12" t="s">
        <v>58</v>
      </c>
      <c r="B48" s="186" t="s">
        <v>201</v>
      </c>
      <c r="C48" s="290"/>
      <c r="D48" s="117"/>
      <c r="E48" s="290"/>
      <c r="F48" s="184"/>
    </row>
    <row r="49" spans="1:6" s="1" customFormat="1" ht="12" customHeight="1">
      <c r="A49" s="12" t="s">
        <v>197</v>
      </c>
      <c r="B49" s="186" t="s">
        <v>202</v>
      </c>
      <c r="C49" s="290">
        <v>3700784</v>
      </c>
      <c r="D49" s="117">
        <v>300000</v>
      </c>
      <c r="E49" s="290">
        <v>150000</v>
      </c>
      <c r="F49" s="184"/>
    </row>
    <row r="50" spans="1:6" s="1" customFormat="1" ht="12" customHeight="1">
      <c r="A50" s="12" t="s">
        <v>198</v>
      </c>
      <c r="B50" s="186" t="s">
        <v>203</v>
      </c>
      <c r="C50" s="290"/>
      <c r="D50" s="117"/>
      <c r="E50" s="290"/>
      <c r="F50" s="184"/>
    </row>
    <row r="51" spans="1:6" s="1" customFormat="1" ht="12" customHeight="1" thickBot="1">
      <c r="A51" s="14" t="s">
        <v>199</v>
      </c>
      <c r="B51" s="109" t="s">
        <v>204</v>
      </c>
      <c r="C51" s="290"/>
      <c r="D51" s="173"/>
      <c r="E51" s="290"/>
      <c r="F51" s="184"/>
    </row>
    <row r="52" spans="1:6" s="1" customFormat="1" ht="12" customHeight="1" thickBot="1">
      <c r="A52" s="18" t="s">
        <v>119</v>
      </c>
      <c r="B52" s="19" t="s">
        <v>205</v>
      </c>
      <c r="C52" s="268">
        <f>SUM(C53:C55)</f>
        <v>0</v>
      </c>
      <c r="D52" s="239">
        <f>SUM(D53:D55)</f>
        <v>0</v>
      </c>
      <c r="E52" s="268">
        <f>SUM(E53:E55)</f>
        <v>0</v>
      </c>
      <c r="F52" s="184"/>
    </row>
    <row r="53" spans="1:6" s="1" customFormat="1" ht="12" customHeight="1">
      <c r="A53" s="13" t="s">
        <v>59</v>
      </c>
      <c r="B53" s="185" t="s">
        <v>206</v>
      </c>
      <c r="C53" s="290"/>
      <c r="D53" s="230"/>
      <c r="E53" s="290"/>
      <c r="F53" s="184"/>
    </row>
    <row r="54" spans="1:6" s="1" customFormat="1" ht="12" customHeight="1">
      <c r="A54" s="12" t="s">
        <v>60</v>
      </c>
      <c r="B54" s="186" t="s">
        <v>329</v>
      </c>
      <c r="C54" s="290"/>
      <c r="D54" s="231"/>
      <c r="E54" s="290"/>
      <c r="F54" s="184"/>
    </row>
    <row r="55" spans="1:6" s="1" customFormat="1" ht="12" customHeight="1">
      <c r="A55" s="12" t="s">
        <v>209</v>
      </c>
      <c r="B55" s="186" t="s">
        <v>207</v>
      </c>
      <c r="C55" s="290"/>
      <c r="D55" s="231"/>
      <c r="E55" s="290"/>
      <c r="F55" s="184"/>
    </row>
    <row r="56" spans="1:6" s="1" customFormat="1" ht="12" customHeight="1" thickBot="1">
      <c r="A56" s="14" t="s">
        <v>210</v>
      </c>
      <c r="B56" s="109" t="s">
        <v>208</v>
      </c>
      <c r="C56" s="290"/>
      <c r="D56" s="232"/>
      <c r="E56" s="290"/>
      <c r="F56" s="184"/>
    </row>
    <row r="57" spans="1:6" s="1" customFormat="1" ht="12" customHeight="1" thickBot="1">
      <c r="A57" s="18" t="s">
        <v>16</v>
      </c>
      <c r="B57" s="107" t="s">
        <v>211</v>
      </c>
      <c r="C57" s="268">
        <f>SUM(C58:C60)</f>
        <v>0</v>
      </c>
      <c r="D57" s="239">
        <f>SUM(D58:D60)</f>
        <v>0</v>
      </c>
      <c r="E57" s="268">
        <f>SUM(E58:E60)</f>
        <v>0</v>
      </c>
      <c r="F57" s="184"/>
    </row>
    <row r="58" spans="1:6" s="1" customFormat="1" ht="12" customHeight="1">
      <c r="A58" s="13" t="s">
        <v>120</v>
      </c>
      <c r="B58" s="185" t="s">
        <v>213</v>
      </c>
      <c r="C58" s="290"/>
      <c r="D58" s="231"/>
      <c r="E58" s="290"/>
      <c r="F58" s="184"/>
    </row>
    <row r="59" spans="1:6" s="1" customFormat="1" ht="12" customHeight="1">
      <c r="A59" s="12" t="s">
        <v>121</v>
      </c>
      <c r="B59" s="186" t="s">
        <v>330</v>
      </c>
      <c r="C59" s="290"/>
      <c r="D59" s="231"/>
      <c r="E59" s="290"/>
      <c r="F59" s="184"/>
    </row>
    <row r="60" spans="1:6" s="1" customFormat="1" ht="12" customHeight="1">
      <c r="A60" s="12" t="s">
        <v>142</v>
      </c>
      <c r="B60" s="186" t="s">
        <v>214</v>
      </c>
      <c r="C60" s="290"/>
      <c r="D60" s="231"/>
      <c r="E60" s="290"/>
      <c r="F60" s="184"/>
    </row>
    <row r="61" spans="1:6" s="1" customFormat="1" ht="12" customHeight="1" thickBot="1">
      <c r="A61" s="14" t="s">
        <v>212</v>
      </c>
      <c r="B61" s="109" t="s">
        <v>215</v>
      </c>
      <c r="C61" s="290"/>
      <c r="D61" s="231"/>
      <c r="E61" s="290"/>
      <c r="F61" s="184"/>
    </row>
    <row r="62" spans="1:6" s="1" customFormat="1" ht="12" customHeight="1" thickBot="1">
      <c r="A62" s="227" t="s">
        <v>377</v>
      </c>
      <c r="B62" s="19" t="s">
        <v>216</v>
      </c>
      <c r="C62" s="268">
        <f>+C5+C12+C19+C26+C34+C46+C52+C57</f>
        <v>259803871</v>
      </c>
      <c r="D62" s="239">
        <f>+D5+D12+D19+D26+D34+D46+D52+D57</f>
        <v>295720211</v>
      </c>
      <c r="E62" s="268">
        <f>+E5+E12+E19+E26+E34+E46+E52+E57</f>
        <v>252557310</v>
      </c>
      <c r="F62" s="184"/>
    </row>
    <row r="63" spans="1:6" s="1" customFormat="1" ht="12" customHeight="1" thickBot="1">
      <c r="A63" s="219" t="s">
        <v>217</v>
      </c>
      <c r="B63" s="107" t="s">
        <v>406</v>
      </c>
      <c r="C63" s="268">
        <f>SUM(C64:C66)</f>
        <v>0</v>
      </c>
      <c r="D63" s="239">
        <f>SUM(D64:D66)</f>
        <v>0</v>
      </c>
      <c r="E63" s="268">
        <f>SUM(E64:E66)</f>
        <v>0</v>
      </c>
      <c r="F63" s="184"/>
    </row>
    <row r="64" spans="1:6" s="1" customFormat="1" ht="12" customHeight="1">
      <c r="A64" s="13" t="s">
        <v>248</v>
      </c>
      <c r="B64" s="185" t="s">
        <v>219</v>
      </c>
      <c r="C64" s="290"/>
      <c r="D64" s="231"/>
      <c r="E64" s="290"/>
      <c r="F64" s="184"/>
    </row>
    <row r="65" spans="1:6" s="1" customFormat="1" ht="12" customHeight="1">
      <c r="A65" s="12" t="s">
        <v>257</v>
      </c>
      <c r="B65" s="186" t="s">
        <v>220</v>
      </c>
      <c r="C65" s="290"/>
      <c r="D65" s="231"/>
      <c r="E65" s="290"/>
      <c r="F65" s="184"/>
    </row>
    <row r="66" spans="1:6" s="1" customFormat="1" ht="12" customHeight="1" thickBot="1">
      <c r="A66" s="14" t="s">
        <v>258</v>
      </c>
      <c r="B66" s="221" t="s">
        <v>362</v>
      </c>
      <c r="C66" s="290"/>
      <c r="D66" s="231"/>
      <c r="E66" s="290"/>
      <c r="F66" s="184"/>
    </row>
    <row r="67" spans="1:6" s="1" customFormat="1" ht="12" customHeight="1" thickBot="1">
      <c r="A67" s="219" t="s">
        <v>221</v>
      </c>
      <c r="B67" s="107" t="s">
        <v>222</v>
      </c>
      <c r="C67" s="268">
        <f>SUM(C68:C71)</f>
        <v>0</v>
      </c>
      <c r="D67" s="229">
        <f>SUM(D68:D71)</f>
        <v>0</v>
      </c>
      <c r="E67" s="268">
        <f>SUM(E68:E71)</f>
        <v>0</v>
      </c>
      <c r="F67" s="184"/>
    </row>
    <row r="68" spans="1:6" s="1" customFormat="1" ht="12" customHeight="1">
      <c r="A68" s="13" t="s">
        <v>89</v>
      </c>
      <c r="B68" s="185" t="s">
        <v>223</v>
      </c>
      <c r="C68" s="290"/>
      <c r="D68" s="231"/>
      <c r="E68" s="290"/>
      <c r="F68" s="184"/>
    </row>
    <row r="69" spans="1:7" s="1" customFormat="1" ht="17.25" customHeight="1">
      <c r="A69" s="12" t="s">
        <v>90</v>
      </c>
      <c r="B69" s="186" t="s">
        <v>224</v>
      </c>
      <c r="C69" s="290"/>
      <c r="D69" s="231"/>
      <c r="E69" s="290"/>
      <c r="F69" s="184"/>
      <c r="G69" s="33"/>
    </row>
    <row r="70" spans="1:6" s="1" customFormat="1" ht="12" customHeight="1">
      <c r="A70" s="12" t="s">
        <v>249</v>
      </c>
      <c r="B70" s="186" t="s">
        <v>225</v>
      </c>
      <c r="C70" s="290"/>
      <c r="D70" s="231"/>
      <c r="E70" s="290"/>
      <c r="F70" s="184"/>
    </row>
    <row r="71" spans="1:6" s="1" customFormat="1" ht="12" customHeight="1" thickBot="1">
      <c r="A71" s="14" t="s">
        <v>250</v>
      </c>
      <c r="B71" s="109" t="s">
        <v>226</v>
      </c>
      <c r="C71" s="290"/>
      <c r="D71" s="231"/>
      <c r="E71" s="290"/>
      <c r="F71" s="184"/>
    </row>
    <row r="72" spans="1:6" s="1" customFormat="1" ht="12" customHeight="1" thickBot="1">
      <c r="A72" s="219" t="s">
        <v>227</v>
      </c>
      <c r="B72" s="107" t="s">
        <v>228</v>
      </c>
      <c r="C72" s="268">
        <f>SUM(C73:C74)</f>
        <v>14437728</v>
      </c>
      <c r="D72" s="239">
        <f>SUM(D73:D74)</f>
        <v>81191847</v>
      </c>
      <c r="E72" s="268">
        <f>SUM(E73:E74)</f>
        <v>81191847</v>
      </c>
      <c r="F72" s="184"/>
    </row>
    <row r="73" spans="1:6" s="1" customFormat="1" ht="12" customHeight="1">
      <c r="A73" s="13" t="s">
        <v>251</v>
      </c>
      <c r="B73" s="185" t="s">
        <v>229</v>
      </c>
      <c r="C73" s="290">
        <v>14437728</v>
      </c>
      <c r="D73" s="117">
        <f>80151992+1039855</f>
        <v>81191847</v>
      </c>
      <c r="E73" s="117">
        <f>80151992+1039855</f>
        <v>81191847</v>
      </c>
      <c r="F73" s="184"/>
    </row>
    <row r="74" spans="1:6" s="1" customFormat="1" ht="12" customHeight="1" thickBot="1">
      <c r="A74" s="14" t="s">
        <v>252</v>
      </c>
      <c r="B74" s="109" t="s">
        <v>230</v>
      </c>
      <c r="C74" s="290"/>
      <c r="D74" s="117"/>
      <c r="E74" s="290"/>
      <c r="F74" s="184"/>
    </row>
    <row r="75" spans="1:6" s="1" customFormat="1" ht="12" customHeight="1" thickBot="1">
      <c r="A75" s="219" t="s">
        <v>231</v>
      </c>
      <c r="B75" s="107" t="s">
        <v>232</v>
      </c>
      <c r="C75" s="268">
        <f>SUM(C76:C78)</f>
        <v>2116241</v>
      </c>
      <c r="D75" s="239">
        <f>SUM(D76:D78)</f>
        <v>0</v>
      </c>
      <c r="E75" s="268">
        <f>SUM(E76:E78)</f>
        <v>0</v>
      </c>
      <c r="F75" s="184"/>
    </row>
    <row r="76" spans="1:6" s="1" customFormat="1" ht="12" customHeight="1">
      <c r="A76" s="13" t="s">
        <v>253</v>
      </c>
      <c r="B76" s="185" t="s">
        <v>233</v>
      </c>
      <c r="C76" s="290">
        <v>2116241</v>
      </c>
      <c r="D76" s="117"/>
      <c r="E76" s="290"/>
      <c r="F76" s="184"/>
    </row>
    <row r="77" spans="1:6" s="1" customFormat="1" ht="12" customHeight="1">
      <c r="A77" s="12" t="s">
        <v>254</v>
      </c>
      <c r="B77" s="186" t="s">
        <v>234</v>
      </c>
      <c r="C77" s="290"/>
      <c r="D77" s="240"/>
      <c r="E77" s="290"/>
      <c r="F77" s="184"/>
    </row>
    <row r="78" spans="1:6" s="1" customFormat="1" ht="12" customHeight="1" thickBot="1">
      <c r="A78" s="14" t="s">
        <v>255</v>
      </c>
      <c r="B78" s="109" t="s">
        <v>235</v>
      </c>
      <c r="C78" s="290"/>
      <c r="D78" s="240"/>
      <c r="E78" s="290"/>
      <c r="F78" s="184"/>
    </row>
    <row r="79" spans="1:6" s="1" customFormat="1" ht="12" customHeight="1" thickBot="1">
      <c r="A79" s="219" t="s">
        <v>236</v>
      </c>
      <c r="B79" s="107" t="s">
        <v>256</v>
      </c>
      <c r="C79" s="268">
        <f>SUM(C80:C83)</f>
        <v>0</v>
      </c>
      <c r="D79" s="239">
        <f>SUM(D80:D83)</f>
        <v>0</v>
      </c>
      <c r="E79" s="268">
        <f>SUM(E80:E83)</f>
        <v>0</v>
      </c>
      <c r="F79" s="184"/>
    </row>
    <row r="80" spans="1:6" s="1" customFormat="1" ht="12" customHeight="1">
      <c r="A80" s="188" t="s">
        <v>237</v>
      </c>
      <c r="B80" s="185" t="s">
        <v>238</v>
      </c>
      <c r="C80" s="290"/>
      <c r="D80" s="240"/>
      <c r="E80" s="290"/>
      <c r="F80" s="184"/>
    </row>
    <row r="81" spans="1:6" s="1" customFormat="1" ht="12" customHeight="1">
      <c r="A81" s="189" t="s">
        <v>239</v>
      </c>
      <c r="B81" s="186" t="s">
        <v>240</v>
      </c>
      <c r="C81" s="290"/>
      <c r="D81" s="240"/>
      <c r="E81" s="290"/>
      <c r="F81" s="184"/>
    </row>
    <row r="82" spans="1:6" s="1" customFormat="1" ht="12" customHeight="1">
      <c r="A82" s="189" t="s">
        <v>241</v>
      </c>
      <c r="B82" s="186" t="s">
        <v>242</v>
      </c>
      <c r="C82" s="290"/>
      <c r="D82" s="240"/>
      <c r="E82" s="290"/>
      <c r="F82" s="184"/>
    </row>
    <row r="83" spans="1:6" s="1" customFormat="1" ht="12" customHeight="1" thickBot="1">
      <c r="A83" s="190" t="s">
        <v>243</v>
      </c>
      <c r="B83" s="109" t="s">
        <v>244</v>
      </c>
      <c r="C83" s="291"/>
      <c r="D83" s="241"/>
      <c r="E83" s="291"/>
      <c r="F83" s="184"/>
    </row>
    <row r="84" spans="1:6" s="1" customFormat="1" ht="12" customHeight="1" thickBot="1">
      <c r="A84" s="219" t="s">
        <v>245</v>
      </c>
      <c r="B84" s="107" t="s">
        <v>376</v>
      </c>
      <c r="C84" s="292"/>
      <c r="D84" s="242"/>
      <c r="E84" s="292"/>
      <c r="F84" s="184"/>
    </row>
    <row r="85" spans="1:6" s="1" customFormat="1" ht="12" customHeight="1" thickBot="1">
      <c r="A85" s="219" t="s">
        <v>247</v>
      </c>
      <c r="B85" s="107" t="s">
        <v>246</v>
      </c>
      <c r="C85" s="293"/>
      <c r="D85" s="243"/>
      <c r="E85" s="293"/>
      <c r="F85" s="184"/>
    </row>
    <row r="86" spans="1:6" s="1" customFormat="1" ht="12" customHeight="1" thickBot="1">
      <c r="A86" s="219" t="s">
        <v>259</v>
      </c>
      <c r="B86" s="191" t="s">
        <v>379</v>
      </c>
      <c r="C86" s="268">
        <f>+C63+C67+C72+C75+C79+C85+C84</f>
        <v>16553969</v>
      </c>
      <c r="D86" s="239">
        <f>+D63+D67+D72+D75+D79+D85+D84</f>
        <v>81191847</v>
      </c>
      <c r="E86" s="268">
        <f>+E63+E67+E72+E75+E79+E85+E84</f>
        <v>81191847</v>
      </c>
      <c r="F86" s="184"/>
    </row>
    <row r="87" spans="1:5" s="1" customFormat="1" ht="12" customHeight="1" thickBot="1">
      <c r="A87" s="220" t="s">
        <v>378</v>
      </c>
      <c r="B87" s="192" t="s">
        <v>380</v>
      </c>
      <c r="C87" s="268">
        <f>+C62+C86</f>
        <v>276357840</v>
      </c>
      <c r="D87" s="229">
        <f>+D62+D86</f>
        <v>376912058</v>
      </c>
      <c r="E87" s="268">
        <f>+E62+E86</f>
        <v>333749157</v>
      </c>
    </row>
    <row r="88" spans="1:5" s="1" customFormat="1" ht="12" customHeight="1">
      <c r="A88" s="160"/>
      <c r="B88" s="161"/>
      <c r="C88" s="162"/>
      <c r="D88" s="163"/>
      <c r="E88" s="164"/>
    </row>
    <row r="89" spans="1:5" s="1" customFormat="1" ht="12" customHeight="1">
      <c r="A89" s="824" t="s">
        <v>37</v>
      </c>
      <c r="B89" s="824"/>
      <c r="C89" s="824"/>
      <c r="D89" s="824"/>
      <c r="E89" s="824"/>
    </row>
    <row r="90" spans="1:5" s="1" customFormat="1" ht="12" customHeight="1" thickBot="1">
      <c r="A90" s="826" t="s">
        <v>93</v>
      </c>
      <c r="B90" s="826"/>
      <c r="C90" s="170"/>
      <c r="D90" s="65"/>
      <c r="E90" s="122" t="s">
        <v>426</v>
      </c>
    </row>
    <row r="91" spans="1:6" s="1" customFormat="1" ht="24" customHeight="1" thickBot="1">
      <c r="A91" s="21" t="s">
        <v>7</v>
      </c>
      <c r="B91" s="22" t="s">
        <v>38</v>
      </c>
      <c r="C91" s="22" t="str">
        <f>+C3</f>
        <v>2018. évi tény</v>
      </c>
      <c r="D91" s="22" t="str">
        <f>+D3</f>
        <v>2019. évi módosított</v>
      </c>
      <c r="E91" s="73" t="str">
        <f>+E3</f>
        <v>2019. évi teljesítés</v>
      </c>
      <c r="F91" s="72"/>
    </row>
    <row r="92" spans="1:6" s="1" customFormat="1" ht="12" customHeight="1" thickBot="1">
      <c r="A92" s="25" t="s">
        <v>394</v>
      </c>
      <c r="B92" s="26" t="s">
        <v>395</v>
      </c>
      <c r="C92" s="178" t="s">
        <v>396</v>
      </c>
      <c r="D92" s="26" t="s">
        <v>398</v>
      </c>
      <c r="E92" s="205" t="s">
        <v>397</v>
      </c>
      <c r="F92" s="72"/>
    </row>
    <row r="93" spans="1:6" s="1" customFormat="1" ht="15" customHeight="1" thickBot="1">
      <c r="A93" s="20" t="s">
        <v>9</v>
      </c>
      <c r="B93" s="24" t="s">
        <v>338</v>
      </c>
      <c r="C93" s="295">
        <f>C94+C95+C96+C97+C98+C111</f>
        <v>166683164</v>
      </c>
      <c r="D93" s="271">
        <f>D94+D95+D96+D97+D98+D111</f>
        <v>222619104</v>
      </c>
      <c r="E93" s="295">
        <f>E94+E95+E96+E97+E98+E111</f>
        <v>191146877</v>
      </c>
      <c r="F93" s="72"/>
    </row>
    <row r="94" spans="1:5" s="1" customFormat="1" ht="12.75" customHeight="1">
      <c r="A94" s="15" t="s">
        <v>61</v>
      </c>
      <c r="B94" s="8" t="s">
        <v>39</v>
      </c>
      <c r="C94" s="299">
        <v>89574026</v>
      </c>
      <c r="D94" s="113">
        <v>102547165</v>
      </c>
      <c r="E94" s="299">
        <v>97313409</v>
      </c>
    </row>
    <row r="95" spans="1:5" ht="16.5" customHeight="1">
      <c r="A95" s="12" t="s">
        <v>62</v>
      </c>
      <c r="B95" s="6" t="s">
        <v>122</v>
      </c>
      <c r="C95" s="299">
        <v>12749272</v>
      </c>
      <c r="D95" s="114">
        <v>16070229</v>
      </c>
      <c r="E95" s="299">
        <v>13393261</v>
      </c>
    </row>
    <row r="96" spans="1:5" ht="15">
      <c r="A96" s="12" t="s">
        <v>63</v>
      </c>
      <c r="B96" s="6" t="s">
        <v>87</v>
      </c>
      <c r="C96" s="299">
        <v>43152338</v>
      </c>
      <c r="D96" s="116">
        <v>73176847</v>
      </c>
      <c r="E96" s="299">
        <v>50512963</v>
      </c>
    </row>
    <row r="97" spans="1:5" s="32" customFormat="1" ht="12" customHeight="1">
      <c r="A97" s="12" t="s">
        <v>64</v>
      </c>
      <c r="B97" s="9" t="s">
        <v>123</v>
      </c>
      <c r="C97" s="299">
        <v>15803183</v>
      </c>
      <c r="D97" s="116">
        <v>23959653</v>
      </c>
      <c r="E97" s="299">
        <v>23609653</v>
      </c>
    </row>
    <row r="98" spans="1:5" ht="12" customHeight="1">
      <c r="A98" s="12" t="s">
        <v>72</v>
      </c>
      <c r="B98" s="17" t="s">
        <v>124</v>
      </c>
      <c r="C98" s="299">
        <v>5404345</v>
      </c>
      <c r="D98" s="396">
        <v>6865210</v>
      </c>
      <c r="E98" s="299">
        <v>6317591</v>
      </c>
    </row>
    <row r="99" spans="1:5" ht="12" customHeight="1">
      <c r="A99" s="12" t="s">
        <v>65</v>
      </c>
      <c r="B99" s="6" t="s">
        <v>343</v>
      </c>
      <c r="C99" s="299"/>
      <c r="D99" s="116"/>
      <c r="E99" s="299"/>
    </row>
    <row r="100" spans="1:5" ht="12" customHeight="1">
      <c r="A100" s="12" t="s">
        <v>66</v>
      </c>
      <c r="B100" s="69" t="s">
        <v>342</v>
      </c>
      <c r="C100" s="299"/>
      <c r="D100" s="116"/>
      <c r="E100" s="299"/>
    </row>
    <row r="101" spans="1:5" ht="12" customHeight="1">
      <c r="A101" s="12" t="s">
        <v>73</v>
      </c>
      <c r="B101" s="69" t="s">
        <v>341</v>
      </c>
      <c r="C101" s="299"/>
      <c r="D101" s="116"/>
      <c r="E101" s="299"/>
    </row>
    <row r="102" spans="1:5" ht="12" customHeight="1">
      <c r="A102" s="12" t="s">
        <v>74</v>
      </c>
      <c r="B102" s="67" t="s">
        <v>262</v>
      </c>
      <c r="C102" s="299"/>
      <c r="D102" s="116"/>
      <c r="E102" s="299"/>
    </row>
    <row r="103" spans="1:5" ht="12" customHeight="1">
      <c r="A103" s="12" t="s">
        <v>75</v>
      </c>
      <c r="B103" s="68" t="s">
        <v>263</v>
      </c>
      <c r="C103" s="299"/>
      <c r="D103" s="116"/>
      <c r="E103" s="299"/>
    </row>
    <row r="104" spans="1:5" ht="12" customHeight="1">
      <c r="A104" s="12" t="s">
        <v>76</v>
      </c>
      <c r="B104" s="68" t="s">
        <v>264</v>
      </c>
      <c r="C104" s="299"/>
      <c r="D104" s="116"/>
      <c r="E104" s="299"/>
    </row>
    <row r="105" spans="1:5" ht="12" customHeight="1">
      <c r="A105" s="12" t="s">
        <v>78</v>
      </c>
      <c r="B105" s="67" t="s">
        <v>265</v>
      </c>
      <c r="C105" s="299">
        <v>4364990</v>
      </c>
      <c r="D105" s="396">
        <v>5780470</v>
      </c>
      <c r="E105" s="299">
        <v>5265641</v>
      </c>
    </row>
    <row r="106" spans="1:5" ht="12" customHeight="1">
      <c r="A106" s="12" t="s">
        <v>125</v>
      </c>
      <c r="B106" s="67" t="s">
        <v>266</v>
      </c>
      <c r="C106" s="299"/>
      <c r="D106" s="116"/>
      <c r="E106" s="299"/>
    </row>
    <row r="107" spans="1:5" ht="12" customHeight="1">
      <c r="A107" s="12" t="s">
        <v>260</v>
      </c>
      <c r="B107" s="68" t="s">
        <v>267</v>
      </c>
      <c r="C107" s="299"/>
      <c r="D107" s="116"/>
      <c r="E107" s="299"/>
    </row>
    <row r="108" spans="1:5" ht="12" customHeight="1">
      <c r="A108" s="11" t="s">
        <v>261</v>
      </c>
      <c r="B108" s="69" t="s">
        <v>268</v>
      </c>
      <c r="C108" s="299"/>
      <c r="D108" s="116"/>
      <c r="E108" s="299"/>
    </row>
    <row r="109" spans="1:5" ht="12" customHeight="1">
      <c r="A109" s="12" t="s">
        <v>339</v>
      </c>
      <c r="B109" s="69" t="s">
        <v>269</v>
      </c>
      <c r="C109" s="299"/>
      <c r="D109" s="116"/>
      <c r="E109" s="299"/>
    </row>
    <row r="110" spans="1:5" ht="12" customHeight="1">
      <c r="A110" s="14" t="s">
        <v>340</v>
      </c>
      <c r="B110" s="69" t="s">
        <v>270</v>
      </c>
      <c r="C110" s="299">
        <v>1039355</v>
      </c>
      <c r="D110" s="116">
        <v>1084740</v>
      </c>
      <c r="E110" s="299">
        <v>1051950</v>
      </c>
    </row>
    <row r="111" spans="1:5" ht="12" customHeight="1">
      <c r="A111" s="12" t="s">
        <v>344</v>
      </c>
      <c r="B111" s="9" t="s">
        <v>40</v>
      </c>
      <c r="C111" s="299"/>
      <c r="D111" s="114"/>
      <c r="E111" s="299"/>
    </row>
    <row r="112" spans="1:5" ht="12" customHeight="1">
      <c r="A112" s="12" t="s">
        <v>345</v>
      </c>
      <c r="B112" s="6" t="s">
        <v>347</v>
      </c>
      <c r="C112" s="299"/>
      <c r="D112" s="114"/>
      <c r="E112" s="299"/>
    </row>
    <row r="113" spans="1:5" ht="12" customHeight="1" thickBot="1">
      <c r="A113" s="16" t="s">
        <v>346</v>
      </c>
      <c r="B113" s="225" t="s">
        <v>348</v>
      </c>
      <c r="C113" s="300"/>
      <c r="D113" s="120"/>
      <c r="E113" s="300"/>
    </row>
    <row r="114" spans="1:5" ht="12" customHeight="1" thickBot="1">
      <c r="A114" s="222" t="s">
        <v>10</v>
      </c>
      <c r="B114" s="223" t="s">
        <v>271</v>
      </c>
      <c r="C114" s="239">
        <f>+C115+C117+C119</f>
        <v>26631443</v>
      </c>
      <c r="D114" s="271">
        <f>+D115+D117+D119</f>
        <v>152176713</v>
      </c>
      <c r="E114" s="239">
        <f>+E115+E117+E119</f>
        <v>121989997</v>
      </c>
    </row>
    <row r="115" spans="1:5" ht="12" customHeight="1">
      <c r="A115" s="13" t="s">
        <v>67</v>
      </c>
      <c r="B115" s="6" t="s">
        <v>141</v>
      </c>
      <c r="C115" s="299">
        <v>7472432</v>
      </c>
      <c r="D115" s="115">
        <v>16445078</v>
      </c>
      <c r="E115" s="299">
        <v>9195695</v>
      </c>
    </row>
    <row r="116" spans="1:5" ht="15">
      <c r="A116" s="13" t="s">
        <v>68</v>
      </c>
      <c r="B116" s="10" t="s">
        <v>275</v>
      </c>
      <c r="C116" s="299"/>
      <c r="D116" s="115">
        <v>7486650</v>
      </c>
      <c r="E116" s="299">
        <v>7485650</v>
      </c>
    </row>
    <row r="117" spans="1:5" ht="12" customHeight="1">
      <c r="A117" s="13" t="s">
        <v>69</v>
      </c>
      <c r="B117" s="10" t="s">
        <v>126</v>
      </c>
      <c r="C117" s="299">
        <v>18959011</v>
      </c>
      <c r="D117" s="114">
        <v>135431635</v>
      </c>
      <c r="E117" s="299">
        <v>112694302</v>
      </c>
    </row>
    <row r="118" spans="1:5" ht="12" customHeight="1">
      <c r="A118" s="13" t="s">
        <v>70</v>
      </c>
      <c r="B118" s="10" t="s">
        <v>276</v>
      </c>
      <c r="C118" s="299"/>
      <c r="D118" s="105">
        <v>95047243</v>
      </c>
      <c r="E118" s="299">
        <v>95057980</v>
      </c>
    </row>
    <row r="119" spans="1:5" ht="12" customHeight="1">
      <c r="A119" s="13" t="s">
        <v>71</v>
      </c>
      <c r="B119" s="109" t="s">
        <v>143</v>
      </c>
      <c r="C119" s="299">
        <v>200000</v>
      </c>
      <c r="D119" s="105">
        <v>300000</v>
      </c>
      <c r="E119" s="299">
        <v>100000</v>
      </c>
    </row>
    <row r="120" spans="1:5" ht="12" customHeight="1">
      <c r="A120" s="13" t="s">
        <v>77</v>
      </c>
      <c r="B120" s="108" t="s">
        <v>331</v>
      </c>
      <c r="C120" s="299"/>
      <c r="D120" s="105"/>
      <c r="E120" s="299"/>
    </row>
    <row r="121" spans="1:5" ht="12" customHeight="1">
      <c r="A121" s="13" t="s">
        <v>79</v>
      </c>
      <c r="B121" s="181" t="s">
        <v>281</v>
      </c>
      <c r="C121" s="299"/>
      <c r="D121" s="105"/>
      <c r="E121" s="299"/>
    </row>
    <row r="122" spans="1:5" ht="12" customHeight="1">
      <c r="A122" s="13" t="s">
        <v>127</v>
      </c>
      <c r="B122" s="68" t="s">
        <v>264</v>
      </c>
      <c r="C122" s="299"/>
      <c r="D122" s="105"/>
      <c r="E122" s="299"/>
    </row>
    <row r="123" spans="1:5" ht="12" customHeight="1">
      <c r="A123" s="13" t="s">
        <v>128</v>
      </c>
      <c r="B123" s="68" t="s">
        <v>280</v>
      </c>
      <c r="C123" s="299"/>
      <c r="D123" s="105"/>
      <c r="E123" s="299"/>
    </row>
    <row r="124" spans="1:5" ht="12" customHeight="1">
      <c r="A124" s="13" t="s">
        <v>129</v>
      </c>
      <c r="B124" s="68" t="s">
        <v>279</v>
      </c>
      <c r="C124" s="299"/>
      <c r="D124" s="105"/>
      <c r="E124" s="299"/>
    </row>
    <row r="125" spans="1:5" ht="12" customHeight="1">
      <c r="A125" s="13" t="s">
        <v>272</v>
      </c>
      <c r="B125" s="68" t="s">
        <v>267</v>
      </c>
      <c r="C125" s="299"/>
      <c r="D125" s="105"/>
      <c r="E125" s="299"/>
    </row>
    <row r="126" spans="1:5" ht="12" customHeight="1">
      <c r="A126" s="13" t="s">
        <v>273</v>
      </c>
      <c r="B126" s="68" t="s">
        <v>278</v>
      </c>
      <c r="C126" s="299">
        <v>200000</v>
      </c>
      <c r="D126" s="105">
        <v>300000</v>
      </c>
      <c r="E126" s="299">
        <v>100000</v>
      </c>
    </row>
    <row r="127" spans="1:5" ht="12" customHeight="1" thickBot="1">
      <c r="A127" s="11" t="s">
        <v>274</v>
      </c>
      <c r="B127" s="68" t="s">
        <v>277</v>
      </c>
      <c r="C127" s="299"/>
      <c r="D127" s="106"/>
      <c r="E127" s="299"/>
    </row>
    <row r="128" spans="1:5" ht="12" customHeight="1" thickBot="1">
      <c r="A128" s="18" t="s">
        <v>11</v>
      </c>
      <c r="B128" s="56" t="s">
        <v>349</v>
      </c>
      <c r="C128" s="239">
        <f>+C93+C114</f>
        <v>193314607</v>
      </c>
      <c r="D128" s="268">
        <f>+D93+D114</f>
        <v>374795817</v>
      </c>
      <c r="E128" s="239">
        <f>+E93+E114</f>
        <v>313136874</v>
      </c>
    </row>
    <row r="129" spans="1:5" ht="12" customHeight="1" thickBot="1">
      <c r="A129" s="18" t="s">
        <v>12</v>
      </c>
      <c r="B129" s="56" t="s">
        <v>350</v>
      </c>
      <c r="C129" s="239">
        <f>+C130+C131+C132</f>
        <v>0</v>
      </c>
      <c r="D129" s="268">
        <f>+D130+D131+D132</f>
        <v>0</v>
      </c>
      <c r="E129" s="239">
        <f>+E130+E131+E132</f>
        <v>0</v>
      </c>
    </row>
    <row r="130" spans="1:5" ht="12" customHeight="1">
      <c r="A130" s="13" t="s">
        <v>177</v>
      </c>
      <c r="B130" s="10" t="s">
        <v>357</v>
      </c>
      <c r="C130" s="299"/>
      <c r="D130" s="233"/>
      <c r="E130" s="299"/>
    </row>
    <row r="131" spans="1:5" ht="12" customHeight="1">
      <c r="A131" s="13" t="s">
        <v>178</v>
      </c>
      <c r="B131" s="10" t="s">
        <v>358</v>
      </c>
      <c r="C131" s="299"/>
      <c r="D131" s="274"/>
      <c r="E131" s="299"/>
    </row>
    <row r="132" spans="1:5" ht="12" customHeight="1" thickBot="1">
      <c r="A132" s="11" t="s">
        <v>179</v>
      </c>
      <c r="B132" s="10" t="s">
        <v>359</v>
      </c>
      <c r="C132" s="299"/>
      <c r="D132" s="274"/>
      <c r="E132" s="299"/>
    </row>
    <row r="133" spans="1:5" ht="12" customHeight="1" thickBot="1">
      <c r="A133" s="18" t="s">
        <v>13</v>
      </c>
      <c r="B133" s="56" t="s">
        <v>351</v>
      </c>
      <c r="C133" s="239">
        <f>SUM(C134:C139)</f>
        <v>0</v>
      </c>
      <c r="D133" s="268">
        <f>SUM(D134:D139)</f>
        <v>0</v>
      </c>
      <c r="E133" s="239">
        <f>SUM(E134:E139)</f>
        <v>0</v>
      </c>
    </row>
    <row r="134" spans="1:5" ht="12" customHeight="1">
      <c r="A134" s="13" t="s">
        <v>54</v>
      </c>
      <c r="B134" s="7" t="s">
        <v>360</v>
      </c>
      <c r="C134" s="299"/>
      <c r="D134" s="274"/>
      <c r="E134" s="299"/>
    </row>
    <row r="135" spans="1:5" ht="12" customHeight="1">
      <c r="A135" s="13" t="s">
        <v>55</v>
      </c>
      <c r="B135" s="7" t="s">
        <v>352</v>
      </c>
      <c r="C135" s="299"/>
      <c r="D135" s="274"/>
      <c r="E135" s="299"/>
    </row>
    <row r="136" spans="1:5" ht="12" customHeight="1">
      <c r="A136" s="13" t="s">
        <v>56</v>
      </c>
      <c r="B136" s="7" t="s">
        <v>353</v>
      </c>
      <c r="C136" s="299"/>
      <c r="D136" s="274"/>
      <c r="E136" s="299"/>
    </row>
    <row r="137" spans="1:5" ht="12" customHeight="1">
      <c r="A137" s="13" t="s">
        <v>114</v>
      </c>
      <c r="B137" s="7" t="s">
        <v>354</v>
      </c>
      <c r="C137" s="299"/>
      <c r="D137" s="274"/>
      <c r="E137" s="299"/>
    </row>
    <row r="138" spans="1:5" ht="12" customHeight="1">
      <c r="A138" s="13" t="s">
        <v>115</v>
      </c>
      <c r="B138" s="7" t="s">
        <v>355</v>
      </c>
      <c r="C138" s="299"/>
      <c r="D138" s="274"/>
      <c r="E138" s="299"/>
    </row>
    <row r="139" spans="1:5" ht="12" customHeight="1" thickBot="1">
      <c r="A139" s="11" t="s">
        <v>116</v>
      </c>
      <c r="B139" s="7" t="s">
        <v>356</v>
      </c>
      <c r="C139" s="299"/>
      <c r="D139" s="274"/>
      <c r="E139" s="299"/>
    </row>
    <row r="140" spans="1:5" ht="12" customHeight="1" thickBot="1">
      <c r="A140" s="18" t="s">
        <v>14</v>
      </c>
      <c r="B140" s="56" t="s">
        <v>364</v>
      </c>
      <c r="C140" s="296">
        <f>+C141+C142+C143+C144</f>
        <v>1851386</v>
      </c>
      <c r="D140" s="269">
        <f>+D141+D142+D143+D144</f>
        <v>2116241</v>
      </c>
      <c r="E140" s="296">
        <f>+E141+E142+E143+E144</f>
        <v>2116241</v>
      </c>
    </row>
    <row r="141" spans="1:5" ht="12" customHeight="1">
      <c r="A141" s="13" t="s">
        <v>57</v>
      </c>
      <c r="B141" s="7" t="s">
        <v>282</v>
      </c>
      <c r="C141" s="299"/>
      <c r="D141" s="233"/>
      <c r="E141" s="299"/>
    </row>
    <row r="142" spans="1:5" ht="12" customHeight="1">
      <c r="A142" s="13" t="s">
        <v>58</v>
      </c>
      <c r="B142" s="7" t="s">
        <v>283</v>
      </c>
      <c r="C142" s="299">
        <v>1851386</v>
      </c>
      <c r="D142" s="105">
        <v>2116241</v>
      </c>
      <c r="E142" s="299">
        <v>2116241</v>
      </c>
    </row>
    <row r="143" spans="1:5" ht="12" customHeight="1">
      <c r="A143" s="13" t="s">
        <v>197</v>
      </c>
      <c r="B143" s="7" t="s">
        <v>365</v>
      </c>
      <c r="C143" s="299"/>
      <c r="D143" s="233"/>
      <c r="E143" s="299"/>
    </row>
    <row r="144" spans="1:5" ht="12" customHeight="1" thickBot="1">
      <c r="A144" s="11" t="s">
        <v>198</v>
      </c>
      <c r="B144" s="5" t="s">
        <v>413</v>
      </c>
      <c r="C144" s="299"/>
      <c r="D144" s="233"/>
      <c r="E144" s="299"/>
    </row>
    <row r="145" spans="1:5" ht="12" customHeight="1" thickBot="1">
      <c r="A145" s="18" t="s">
        <v>15</v>
      </c>
      <c r="B145" s="56" t="s">
        <v>366</v>
      </c>
      <c r="C145" s="297">
        <f>SUM(C146:C150)</f>
        <v>0</v>
      </c>
      <c r="D145" s="272">
        <f>SUM(D146:D150)</f>
        <v>0</v>
      </c>
      <c r="E145" s="297">
        <f>SUM(E146:E150)</f>
        <v>0</v>
      </c>
    </row>
    <row r="146" spans="1:5" ht="12" customHeight="1">
      <c r="A146" s="13" t="s">
        <v>59</v>
      </c>
      <c r="B146" s="7" t="s">
        <v>361</v>
      </c>
      <c r="C146" s="299"/>
      <c r="D146" s="274"/>
      <c r="E146" s="299"/>
    </row>
    <row r="147" spans="1:5" ht="12" customHeight="1">
      <c r="A147" s="13" t="s">
        <v>60</v>
      </c>
      <c r="B147" s="7" t="s">
        <v>368</v>
      </c>
      <c r="C147" s="299"/>
      <c r="D147" s="274"/>
      <c r="E147" s="299"/>
    </row>
    <row r="148" spans="1:5" ht="12" customHeight="1">
      <c r="A148" s="13" t="s">
        <v>209</v>
      </c>
      <c r="B148" s="7" t="s">
        <v>363</v>
      </c>
      <c r="C148" s="299"/>
      <c r="D148" s="274"/>
      <c r="E148" s="299"/>
    </row>
    <row r="149" spans="1:5" ht="12" customHeight="1">
      <c r="A149" s="13" t="s">
        <v>210</v>
      </c>
      <c r="B149" s="7" t="s">
        <v>369</v>
      </c>
      <c r="C149" s="299"/>
      <c r="D149" s="274"/>
      <c r="E149" s="299"/>
    </row>
    <row r="150" spans="1:5" ht="12" customHeight="1" thickBot="1">
      <c r="A150" s="13" t="s">
        <v>367</v>
      </c>
      <c r="B150" s="7" t="s">
        <v>370</v>
      </c>
      <c r="C150" s="300"/>
      <c r="D150" s="275"/>
      <c r="E150" s="300"/>
    </row>
    <row r="151" spans="1:5" ht="12" customHeight="1" thickBot="1">
      <c r="A151" s="18" t="s">
        <v>16</v>
      </c>
      <c r="B151" s="56" t="s">
        <v>371</v>
      </c>
      <c r="C151" s="301"/>
      <c r="D151" s="276"/>
      <c r="E151" s="301"/>
    </row>
    <row r="152" spans="1:5" ht="12" customHeight="1" thickBot="1">
      <c r="A152" s="18" t="s">
        <v>17</v>
      </c>
      <c r="B152" s="56" t="s">
        <v>372</v>
      </c>
      <c r="C152" s="302"/>
      <c r="D152" s="277"/>
      <c r="E152" s="302"/>
    </row>
    <row r="153" spans="1:6" ht="15" customHeight="1" thickBot="1">
      <c r="A153" s="18" t="s">
        <v>18</v>
      </c>
      <c r="B153" s="56" t="s">
        <v>374</v>
      </c>
      <c r="C153" s="298">
        <f>+C129+C133+C140+C145+C151+C152</f>
        <v>1851386</v>
      </c>
      <c r="D153" s="273">
        <f>+D129+D133+D140+D145+D151+D152</f>
        <v>2116241</v>
      </c>
      <c r="E153" s="298">
        <f>+E129+E133+E140+E145+E151+E152</f>
        <v>2116241</v>
      </c>
      <c r="F153" s="57"/>
    </row>
    <row r="154" spans="1:5" s="1" customFormat="1" ht="12.75" customHeight="1" thickBot="1">
      <c r="A154" s="110" t="s">
        <v>19</v>
      </c>
      <c r="B154" s="166" t="s">
        <v>373</v>
      </c>
      <c r="C154" s="298">
        <f>+C128+C153</f>
        <v>195165993</v>
      </c>
      <c r="D154" s="273">
        <f>+D128+D153</f>
        <v>376912058</v>
      </c>
      <c r="E154" s="298">
        <f>+E128+E153</f>
        <v>315253115</v>
      </c>
    </row>
    <row r="155" ht="15">
      <c r="C155" s="169"/>
    </row>
    <row r="156" spans="1:3" ht="15">
      <c r="A156" s="314"/>
      <c r="C156" s="169"/>
    </row>
    <row r="157" ht="15">
      <c r="C157" s="315"/>
    </row>
    <row r="158" spans="3:5" ht="16.5" customHeight="1">
      <c r="C158" s="315"/>
      <c r="D158" s="315"/>
      <c r="E158" s="315"/>
    </row>
    <row r="159" spans="1:5" ht="15">
      <c r="A159" s="316"/>
      <c r="C159" s="315"/>
      <c r="D159" s="315"/>
      <c r="E159" s="315"/>
    </row>
    <row r="160" spans="1:5" ht="15">
      <c r="A160" s="316"/>
      <c r="C160" s="315"/>
      <c r="D160" s="315"/>
      <c r="E160" s="315"/>
    </row>
    <row r="161" spans="1:5" ht="15">
      <c r="A161" s="316"/>
      <c r="C161" s="315"/>
      <c r="D161" s="315"/>
      <c r="E161" s="315"/>
    </row>
    <row r="162" spans="1:5" ht="15">
      <c r="A162" s="316"/>
      <c r="C162" s="315"/>
      <c r="D162" s="315"/>
      <c r="E162" s="315"/>
    </row>
    <row r="163" spans="1:5" ht="15">
      <c r="A163" s="316"/>
      <c r="C163" s="315"/>
      <c r="D163" s="315"/>
      <c r="E163" s="315"/>
    </row>
    <row r="164" spans="1:5" ht="15">
      <c r="A164" s="316"/>
      <c r="C164" s="315"/>
      <c r="D164" s="315"/>
      <c r="E164" s="315"/>
    </row>
    <row r="165" spans="3:5" ht="15">
      <c r="C165" s="315"/>
      <c r="D165" s="315"/>
      <c r="E165" s="315"/>
    </row>
    <row r="166" spans="1:3" ht="15">
      <c r="A166" s="316"/>
      <c r="C166" s="315"/>
    </row>
    <row r="167" spans="1:3" ht="15">
      <c r="A167" s="316"/>
      <c r="C167" s="169"/>
    </row>
    <row r="168" ht="15">
      <c r="A168" s="316"/>
    </row>
    <row r="169" spans="1:3" ht="15">
      <c r="A169" s="316"/>
      <c r="C169" s="317"/>
    </row>
    <row r="170" spans="1:5" ht="15">
      <c r="A170" s="316"/>
      <c r="C170" s="317"/>
      <c r="D170" s="315"/>
      <c r="E170" s="315"/>
    </row>
    <row r="171" spans="1:3" ht="15">
      <c r="A171" s="316"/>
      <c r="C171" s="317"/>
    </row>
    <row r="172" spans="3:5" ht="15">
      <c r="C172" s="317"/>
      <c r="D172" s="315"/>
      <c r="E172" s="315"/>
    </row>
    <row r="173" spans="1:5" ht="15">
      <c r="A173" s="316"/>
      <c r="C173" s="317"/>
      <c r="D173" s="315"/>
      <c r="E173" s="315"/>
    </row>
    <row r="174" spans="1:3" ht="15">
      <c r="A174" s="316"/>
      <c r="C174" s="317"/>
    </row>
    <row r="175" ht="15">
      <c r="A175" s="316"/>
    </row>
    <row r="176" ht="15">
      <c r="A176" s="316"/>
    </row>
    <row r="177" spans="1:5" ht="15">
      <c r="A177" s="316"/>
      <c r="C177" s="317"/>
      <c r="D177" s="315"/>
      <c r="E177" s="315"/>
    </row>
    <row r="178" spans="1:5" ht="15">
      <c r="A178" s="316"/>
      <c r="C178" s="317"/>
      <c r="D178" s="315"/>
      <c r="E178" s="315"/>
    </row>
    <row r="179" spans="3:5" ht="15">
      <c r="C179" s="317"/>
      <c r="D179" s="315"/>
      <c r="E179" s="315"/>
    </row>
    <row r="180" spans="1:5" ht="15">
      <c r="A180" s="316"/>
      <c r="C180" s="317"/>
      <c r="D180" s="315"/>
      <c r="E180" s="315"/>
    </row>
    <row r="181" spans="1:5" ht="15">
      <c r="A181" s="318"/>
      <c r="C181" s="317"/>
      <c r="D181" s="315"/>
      <c r="E181" s="315"/>
    </row>
    <row r="182" spans="1:3" ht="15">
      <c r="A182" s="318"/>
      <c r="C182" s="317"/>
    </row>
    <row r="183" spans="1:5" ht="15">
      <c r="A183" s="318"/>
      <c r="C183" s="317"/>
      <c r="D183" s="315"/>
      <c r="E183" s="315"/>
    </row>
    <row r="184" spans="1:5" ht="15">
      <c r="A184" s="316"/>
      <c r="C184" s="317"/>
      <c r="D184" s="315"/>
      <c r="E184" s="315"/>
    </row>
    <row r="185" spans="1:3" ht="15">
      <c r="A185" s="316"/>
      <c r="C185" s="317"/>
    </row>
    <row r="186" spans="1:5" ht="15">
      <c r="A186" s="316"/>
      <c r="C186" s="317"/>
      <c r="D186" s="315"/>
      <c r="E186" s="315"/>
    </row>
    <row r="187" spans="3:5" ht="15">
      <c r="C187" s="317"/>
      <c r="D187" s="315"/>
      <c r="E187" s="315"/>
    </row>
    <row r="188" spans="1:5" ht="15">
      <c r="A188" s="316"/>
      <c r="C188" s="317"/>
      <c r="D188" s="315"/>
      <c r="E188" s="315"/>
    </row>
    <row r="189" spans="1:5" ht="15">
      <c r="A189" s="316"/>
      <c r="C189" s="317"/>
      <c r="D189" s="315"/>
      <c r="E189" s="315"/>
    </row>
    <row r="190" spans="1:5" ht="15">
      <c r="A190" s="316"/>
      <c r="C190" s="317"/>
      <c r="D190" s="315"/>
      <c r="E190" s="315"/>
    </row>
    <row r="191" spans="1:5" ht="15">
      <c r="A191" s="316"/>
      <c r="C191" s="317"/>
      <c r="D191" s="315"/>
      <c r="E191" s="315"/>
    </row>
    <row r="192" spans="1:5" ht="15">
      <c r="A192" s="316"/>
      <c r="C192" s="317"/>
      <c r="D192" s="315"/>
      <c r="E192" s="315"/>
    </row>
    <row r="193" spans="1:5" ht="15">
      <c r="A193" s="316"/>
      <c r="C193" s="317"/>
      <c r="D193" s="315"/>
      <c r="E193" s="315"/>
    </row>
    <row r="194" spans="1:5" ht="15">
      <c r="A194" s="316"/>
      <c r="C194" s="317"/>
      <c r="D194" s="315"/>
      <c r="E194" s="315"/>
    </row>
    <row r="195" spans="1:5" ht="15">
      <c r="A195" s="316"/>
      <c r="C195" s="317"/>
      <c r="D195" s="315"/>
      <c r="E195" s="315"/>
    </row>
    <row r="196" spans="1:3" ht="15">
      <c r="A196" s="316"/>
      <c r="C196" s="317"/>
    </row>
    <row r="197" spans="1:5" ht="15">
      <c r="A197" s="316"/>
      <c r="C197" s="317"/>
      <c r="D197" s="315"/>
      <c r="E197" s="315"/>
    </row>
    <row r="198" spans="1:5" ht="15">
      <c r="A198" s="316"/>
      <c r="C198" s="317"/>
      <c r="D198" s="315"/>
      <c r="E198" s="315"/>
    </row>
    <row r="199" spans="3:5" ht="15">
      <c r="C199" s="317"/>
      <c r="D199" s="315"/>
      <c r="E199" s="315"/>
    </row>
    <row r="200" spans="1:3" ht="15">
      <c r="A200" s="316"/>
      <c r="C200" s="317"/>
    </row>
    <row r="201" spans="1:5" ht="15">
      <c r="A201" s="316"/>
      <c r="C201" s="317"/>
      <c r="D201" s="315"/>
      <c r="E201" s="315"/>
    </row>
    <row r="202" spans="1:5" ht="15">
      <c r="A202" s="316"/>
      <c r="C202" s="317"/>
      <c r="D202" s="315"/>
      <c r="E202" s="315"/>
    </row>
    <row r="203" spans="1:5" ht="15">
      <c r="A203" s="316"/>
      <c r="C203" s="317"/>
      <c r="E203" s="315"/>
    </row>
    <row r="204" spans="1:3" ht="15">
      <c r="A204" s="316"/>
      <c r="C204" s="317"/>
    </row>
    <row r="205" spans="4:5" ht="15">
      <c r="D205" s="315"/>
      <c r="E205" s="315"/>
    </row>
    <row r="206" spans="1:3" ht="15">
      <c r="A206" s="316"/>
      <c r="C206" s="317"/>
    </row>
    <row r="207" ht="15">
      <c r="A207" s="316"/>
    </row>
    <row r="208" spans="1:5" ht="15">
      <c r="A208" s="316"/>
      <c r="D208" s="315"/>
      <c r="E208" s="315"/>
    </row>
    <row r="209" spans="1:3" ht="15">
      <c r="A209" s="316"/>
      <c r="C209" s="317"/>
    </row>
    <row r="210" spans="3:5" ht="15">
      <c r="C210" s="317"/>
      <c r="D210" s="315"/>
      <c r="E210" s="315"/>
    </row>
    <row r="211" spans="1:3" ht="15">
      <c r="A211" s="316"/>
      <c r="C211" s="317"/>
    </row>
    <row r="212" spans="1:5" ht="15">
      <c r="A212" s="316"/>
      <c r="C212" s="317"/>
      <c r="D212" s="315"/>
      <c r="E212" s="315"/>
    </row>
    <row r="213" spans="1:5" ht="15">
      <c r="A213" s="316"/>
      <c r="C213" s="317"/>
      <c r="D213" s="315"/>
      <c r="E213" s="315"/>
    </row>
    <row r="214" spans="1:3" ht="15">
      <c r="A214" s="316"/>
      <c r="C214" s="317"/>
    </row>
    <row r="215" spans="3:5" ht="15">
      <c r="C215" s="317"/>
      <c r="D215" s="315"/>
      <c r="E215" s="315"/>
    </row>
    <row r="216" spans="3:5" ht="15">
      <c r="C216" s="317"/>
      <c r="D216" s="315"/>
      <c r="E216" s="315"/>
    </row>
    <row r="217" spans="1:5" ht="15">
      <c r="A217" s="316"/>
      <c r="C217" s="317"/>
      <c r="D217" s="315"/>
      <c r="E217" s="315"/>
    </row>
    <row r="218" spans="1:5" ht="15">
      <c r="A218" s="316"/>
      <c r="C218" s="317"/>
      <c r="D218" s="315"/>
      <c r="E218" s="315"/>
    </row>
    <row r="219" spans="1:3" ht="15">
      <c r="A219" s="316"/>
      <c r="C219" s="317"/>
    </row>
    <row r="221" ht="15">
      <c r="A221" s="316"/>
    </row>
    <row r="222" ht="15">
      <c r="A222" s="316"/>
    </row>
    <row r="223" ht="15">
      <c r="A223" s="316"/>
    </row>
    <row r="224" ht="15">
      <c r="A224" s="316"/>
    </row>
    <row r="225" spans="3:5" ht="15">
      <c r="C225" s="317"/>
      <c r="D225" s="315"/>
      <c r="E225" s="315"/>
    </row>
    <row r="226" spans="1:5" ht="15">
      <c r="A226" s="316"/>
      <c r="C226" s="317"/>
      <c r="D226" s="315"/>
      <c r="E226" s="315"/>
    </row>
    <row r="227" spans="1:3" ht="15">
      <c r="A227" s="316"/>
      <c r="C227" s="317"/>
    </row>
    <row r="228" spans="3:5" ht="15">
      <c r="C228" s="317"/>
      <c r="D228" s="315"/>
      <c r="E228" s="315"/>
    </row>
    <row r="229" spans="1:5" ht="15">
      <c r="A229" s="316"/>
      <c r="C229" s="317"/>
      <c r="D229" s="315"/>
      <c r="E229" s="315"/>
    </row>
    <row r="230" spans="1:3" ht="15">
      <c r="A230" s="316"/>
      <c r="C230" s="317"/>
    </row>
    <row r="231" ht="15">
      <c r="A231" s="316"/>
    </row>
    <row r="239" spans="3:5" ht="15">
      <c r="C239" s="317"/>
      <c r="D239" s="315"/>
      <c r="E239" s="315"/>
    </row>
    <row r="240" spans="3:5" ht="15">
      <c r="C240" s="317"/>
      <c r="D240" s="315"/>
      <c r="E240" s="315"/>
    </row>
    <row r="241" ht="15">
      <c r="C241" s="317"/>
    </row>
    <row r="246" spans="3:5" ht="15">
      <c r="C246" s="317"/>
      <c r="D246" s="315"/>
      <c r="E246" s="315"/>
    </row>
    <row r="247" spans="1:5" ht="15">
      <c r="A247" s="316"/>
      <c r="C247" s="317"/>
      <c r="D247" s="315"/>
      <c r="E247" s="315"/>
    </row>
    <row r="248" spans="1:5" ht="15">
      <c r="A248" s="316"/>
      <c r="C248" s="317"/>
      <c r="D248" s="315"/>
      <c r="E248" s="315"/>
    </row>
    <row r="249" spans="1:5" ht="15">
      <c r="A249" s="316"/>
      <c r="C249" s="317"/>
      <c r="D249" s="315"/>
      <c r="E249" s="315"/>
    </row>
    <row r="250" spans="1:5" ht="15">
      <c r="A250" s="316"/>
      <c r="C250" s="317"/>
      <c r="D250" s="315"/>
      <c r="E250" s="315"/>
    </row>
    <row r="251" spans="1:5" ht="15">
      <c r="A251" s="316"/>
      <c r="C251" s="317"/>
      <c r="D251" s="315"/>
      <c r="E251" s="315"/>
    </row>
    <row r="252" spans="1:5" ht="15">
      <c r="A252" s="316"/>
      <c r="C252" s="317"/>
      <c r="D252" s="315"/>
      <c r="E252" s="315"/>
    </row>
    <row r="253" ht="15">
      <c r="A253" s="316"/>
    </row>
    <row r="254" ht="15">
      <c r="A254" s="316"/>
    </row>
    <row r="255" ht="15">
      <c r="A255" s="316"/>
    </row>
    <row r="256" ht="15">
      <c r="A256" s="316"/>
    </row>
    <row r="257" ht="15">
      <c r="A257" s="316"/>
    </row>
    <row r="258" spans="1:5" ht="15">
      <c r="A258" s="316"/>
      <c r="C258" s="317"/>
      <c r="D258" s="315"/>
      <c r="E258" s="315"/>
    </row>
    <row r="259" ht="15">
      <c r="A259" s="316"/>
    </row>
    <row r="260" spans="1:5" ht="15">
      <c r="A260" s="316"/>
      <c r="D260" s="315"/>
      <c r="E260" s="315"/>
    </row>
    <row r="261" ht="15">
      <c r="A261" s="316"/>
    </row>
    <row r="262" ht="15">
      <c r="A262" s="316"/>
    </row>
    <row r="263" spans="1:5" ht="15">
      <c r="A263" s="316"/>
      <c r="C263" s="317"/>
      <c r="D263" s="315"/>
      <c r="E263" s="315"/>
    </row>
    <row r="264" ht="15">
      <c r="A264" s="316"/>
    </row>
    <row r="265" ht="15">
      <c r="A265" s="316"/>
    </row>
    <row r="266" ht="15">
      <c r="A266" s="316"/>
    </row>
    <row r="267" spans="3:5" ht="15">
      <c r="C267" s="317"/>
      <c r="D267" s="315"/>
      <c r="E267" s="315"/>
    </row>
    <row r="268" spans="1:5" ht="15">
      <c r="A268" s="316"/>
      <c r="C268" s="317"/>
      <c r="D268" s="315"/>
      <c r="E268" s="315"/>
    </row>
    <row r="269" ht="15">
      <c r="A269" s="316"/>
    </row>
    <row r="270" spans="1:5" ht="15">
      <c r="A270" s="316"/>
      <c r="C270" s="317"/>
      <c r="D270" s="315"/>
      <c r="E270" s="315"/>
    </row>
    <row r="271" ht="15">
      <c r="A271" s="316"/>
    </row>
    <row r="272" spans="1:5" ht="15">
      <c r="A272" s="316"/>
      <c r="C272" s="317"/>
      <c r="D272" s="315"/>
      <c r="E272" s="315"/>
    </row>
    <row r="273" ht="15">
      <c r="A273" s="316"/>
    </row>
    <row r="274" ht="15">
      <c r="A274" s="316"/>
    </row>
    <row r="275" ht="15">
      <c r="A275" s="316"/>
    </row>
    <row r="276" spans="1:3" ht="15">
      <c r="A276" s="316"/>
      <c r="C276" s="317"/>
    </row>
    <row r="277" ht="15">
      <c r="A277" s="316"/>
    </row>
    <row r="278" spans="1:3" ht="15">
      <c r="A278" s="316"/>
      <c r="C278" s="317"/>
    </row>
    <row r="279" spans="1:5" ht="15">
      <c r="A279" s="316"/>
      <c r="C279" s="317"/>
      <c r="D279" s="315"/>
      <c r="E279" s="315"/>
    </row>
    <row r="280" spans="1:5" ht="15">
      <c r="A280" s="316"/>
      <c r="C280" s="317"/>
      <c r="D280" s="315"/>
      <c r="E280" s="315"/>
    </row>
    <row r="281" spans="3:5" ht="15">
      <c r="C281" s="317"/>
      <c r="D281" s="315"/>
      <c r="E281" s="315"/>
    </row>
    <row r="282" spans="3:5" ht="15">
      <c r="C282" s="317"/>
      <c r="D282" s="315"/>
      <c r="E282" s="315"/>
    </row>
    <row r="283" spans="1:5" ht="15">
      <c r="A283" s="316"/>
      <c r="C283" s="317"/>
      <c r="D283" s="315"/>
      <c r="E283" s="315"/>
    </row>
    <row r="284" spans="1:5" ht="15">
      <c r="A284" s="316"/>
      <c r="D284" s="315"/>
      <c r="E284" s="315"/>
    </row>
    <row r="285" ht="15">
      <c r="A285" s="316"/>
    </row>
    <row r="287" ht="15">
      <c r="A287" s="316"/>
    </row>
    <row r="288" ht="15">
      <c r="A288" s="316"/>
    </row>
    <row r="289" ht="15">
      <c r="A289" s="316"/>
    </row>
    <row r="290" ht="15">
      <c r="A290" s="316"/>
    </row>
    <row r="291" ht="15">
      <c r="A291" s="316"/>
    </row>
    <row r="292" ht="15">
      <c r="A292" s="316"/>
    </row>
    <row r="293" spans="3:5" ht="15">
      <c r="C293" s="317"/>
      <c r="D293" s="315"/>
      <c r="E293" s="315"/>
    </row>
    <row r="294" ht="15">
      <c r="A294" s="316"/>
    </row>
    <row r="295" spans="1:5" ht="15">
      <c r="A295" s="316"/>
      <c r="C295" s="317"/>
      <c r="D295" s="315"/>
      <c r="E295" s="315"/>
    </row>
    <row r="296" ht="15">
      <c r="A296" s="316"/>
    </row>
    <row r="297" ht="15">
      <c r="A297" s="316"/>
    </row>
    <row r="299" ht="15">
      <c r="A299" s="316"/>
    </row>
    <row r="300" ht="15">
      <c r="A300" s="316"/>
    </row>
    <row r="301" ht="15">
      <c r="A301" s="316"/>
    </row>
    <row r="302" ht="15">
      <c r="A302" s="316"/>
    </row>
    <row r="303" ht="15">
      <c r="A303" s="316"/>
    </row>
    <row r="306" spans="3:5" ht="15">
      <c r="C306" s="317"/>
      <c r="D306" s="315"/>
      <c r="E306" s="315"/>
    </row>
    <row r="307" spans="3:5" ht="15">
      <c r="C307" s="317"/>
      <c r="D307" s="315"/>
      <c r="E307" s="315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CE,Félkövér"&amp;12&amp;UTájékoztató kimutatások, mérlegek&amp;U
Csengerújfalu Község Önkormányzat
2019. ÉVI ZÁRSZÁMADÁSÁNAK
MÉRLEGE&amp;R&amp;12 1. tájékoztató tábla</oddHeader>
  </headerFooter>
  <rowBreaks count="2" manualBreakCount="2">
    <brk id="88" max="4" man="1"/>
    <brk id="15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view="pageLayout" workbookViewId="0" topLeftCell="A1">
      <selection activeCell="D26" sqref="D26"/>
    </sheetView>
  </sheetViews>
  <sheetFormatPr defaultColWidth="9.00390625" defaultRowHeight="12.75"/>
  <cols>
    <col min="2" max="2" width="21.75390625" style="0" customWidth="1"/>
    <col min="10" max="10" width="12.25390625" style="0" customWidth="1"/>
  </cols>
  <sheetData>
    <row r="1" spans="1:10" ht="12.75" customHeight="1">
      <c r="A1" s="893" t="s">
        <v>527</v>
      </c>
      <c r="B1" s="893"/>
      <c r="C1" s="893"/>
      <c r="D1" s="893"/>
      <c r="E1" s="893"/>
      <c r="F1" s="893"/>
      <c r="G1" s="893"/>
      <c r="H1" s="893"/>
      <c r="I1" s="893"/>
      <c r="J1" s="893"/>
    </row>
    <row r="2" spans="1:10" ht="12.75" customHeight="1">
      <c r="A2" s="893"/>
      <c r="B2" s="893"/>
      <c r="C2" s="893"/>
      <c r="D2" s="893"/>
      <c r="E2" s="893"/>
      <c r="F2" s="893"/>
      <c r="G2" s="893"/>
      <c r="H2" s="893"/>
      <c r="I2" s="893"/>
      <c r="J2" s="893"/>
    </row>
    <row r="4" spans="1:11" ht="13.5" thickBot="1">
      <c r="A4" s="481"/>
      <c r="B4" s="482" t="s">
        <v>428</v>
      </c>
      <c r="C4" s="482"/>
      <c r="D4" s="482"/>
      <c r="E4" s="482"/>
      <c r="F4" s="482"/>
      <c r="G4" s="482"/>
      <c r="H4" s="482"/>
      <c r="I4" s="482"/>
      <c r="J4" s="483" t="str">
        <f>'[2]1.tájékoztató'!E2</f>
        <v>Forintban!</v>
      </c>
      <c r="K4" s="894" t="s">
        <v>528</v>
      </c>
    </row>
    <row r="5" spans="1:11" ht="12.75">
      <c r="A5" s="895" t="s">
        <v>49</v>
      </c>
      <c r="B5" s="897" t="s">
        <v>529</v>
      </c>
      <c r="C5" s="897" t="s">
        <v>530</v>
      </c>
      <c r="D5" s="897" t="s">
        <v>531</v>
      </c>
      <c r="E5" s="897" t="s">
        <v>435</v>
      </c>
      <c r="F5" s="900" t="s">
        <v>532</v>
      </c>
      <c r="G5" s="901"/>
      <c r="H5" s="901"/>
      <c r="I5" s="902"/>
      <c r="J5" s="903" t="s">
        <v>533</v>
      </c>
      <c r="K5" s="894"/>
    </row>
    <row r="6" spans="1:11" ht="23.25" thickBot="1">
      <c r="A6" s="896"/>
      <c r="B6" s="898"/>
      <c r="C6" s="898"/>
      <c r="D6" s="899"/>
      <c r="E6" s="899"/>
      <c r="F6" s="484">
        <v>2018</v>
      </c>
      <c r="G6" s="485">
        <v>2019</v>
      </c>
      <c r="H6" s="485">
        <v>2020</v>
      </c>
      <c r="I6" s="486" t="s">
        <v>534</v>
      </c>
      <c r="J6" s="904"/>
      <c r="K6" s="894"/>
    </row>
    <row r="7" spans="1:11" ht="13.5" thickBot="1">
      <c r="A7" s="487" t="s">
        <v>394</v>
      </c>
      <c r="B7" s="488" t="s">
        <v>535</v>
      </c>
      <c r="C7" s="489" t="s">
        <v>396</v>
      </c>
      <c r="D7" s="489" t="s">
        <v>398</v>
      </c>
      <c r="E7" s="489" t="s">
        <v>397</v>
      </c>
      <c r="F7" s="489" t="s">
        <v>399</v>
      </c>
      <c r="G7" s="489" t="s">
        <v>400</v>
      </c>
      <c r="H7" s="489" t="s">
        <v>401</v>
      </c>
      <c r="I7" s="489" t="s">
        <v>429</v>
      </c>
      <c r="J7" s="490" t="s">
        <v>536</v>
      </c>
      <c r="K7" s="894"/>
    </row>
    <row r="8" spans="1:11" ht="21">
      <c r="A8" s="491" t="s">
        <v>9</v>
      </c>
      <c r="B8" s="492" t="s">
        <v>537</v>
      </c>
      <c r="C8" s="493"/>
      <c r="D8" s="494">
        <f aca="true" t="shared" si="0" ref="D8:I8">SUM(D9:D10)</f>
        <v>0</v>
      </c>
      <c r="E8" s="494">
        <f t="shared" si="0"/>
        <v>0</v>
      </c>
      <c r="F8" s="494">
        <f t="shared" si="0"/>
        <v>0</v>
      </c>
      <c r="G8" s="494">
        <f t="shared" si="0"/>
        <v>0</v>
      </c>
      <c r="H8" s="494">
        <f t="shared" si="0"/>
        <v>0</v>
      </c>
      <c r="I8" s="495">
        <f t="shared" si="0"/>
        <v>0</v>
      </c>
      <c r="J8" s="496">
        <f aca="true" t="shared" si="1" ref="J8:J20">SUM(F8:I8)</f>
        <v>0</v>
      </c>
      <c r="K8" s="894"/>
    </row>
    <row r="9" spans="1:11" ht="12.75">
      <c r="A9" s="497" t="s">
        <v>10</v>
      </c>
      <c r="B9" s="498" t="s">
        <v>538</v>
      </c>
      <c r="C9" s="499"/>
      <c r="D9" s="401"/>
      <c r="E9" s="401"/>
      <c r="F9" s="401"/>
      <c r="G9" s="401"/>
      <c r="H9" s="401"/>
      <c r="I9" s="500"/>
      <c r="J9" s="501">
        <f t="shared" si="1"/>
        <v>0</v>
      </c>
      <c r="K9" s="894"/>
    </row>
    <row r="10" spans="1:11" ht="12.75">
      <c r="A10" s="497" t="s">
        <v>11</v>
      </c>
      <c r="B10" s="498" t="s">
        <v>538</v>
      </c>
      <c r="C10" s="499"/>
      <c r="D10" s="401"/>
      <c r="E10" s="401"/>
      <c r="F10" s="401"/>
      <c r="G10" s="401"/>
      <c r="H10" s="401"/>
      <c r="I10" s="500"/>
      <c r="J10" s="501">
        <f t="shared" si="1"/>
        <v>0</v>
      </c>
      <c r="K10" s="894"/>
    </row>
    <row r="11" spans="1:11" ht="21">
      <c r="A11" s="497" t="s">
        <v>12</v>
      </c>
      <c r="B11" s="502" t="s">
        <v>539</v>
      </c>
      <c r="C11" s="503"/>
      <c r="D11" s="504">
        <f aca="true" t="shared" si="2" ref="D11:I11">SUM(D12:D13)</f>
        <v>0</v>
      </c>
      <c r="E11" s="504">
        <f t="shared" si="2"/>
        <v>0</v>
      </c>
      <c r="F11" s="504">
        <f t="shared" si="2"/>
        <v>0</v>
      </c>
      <c r="G11" s="504">
        <f t="shared" si="2"/>
        <v>0</v>
      </c>
      <c r="H11" s="504">
        <f t="shared" si="2"/>
        <v>0</v>
      </c>
      <c r="I11" s="505">
        <f t="shared" si="2"/>
        <v>0</v>
      </c>
      <c r="J11" s="506">
        <f t="shared" si="1"/>
        <v>0</v>
      </c>
      <c r="K11" s="894"/>
    </row>
    <row r="12" spans="1:11" ht="12.75">
      <c r="A12" s="497" t="s">
        <v>13</v>
      </c>
      <c r="B12" s="498" t="s">
        <v>538</v>
      </c>
      <c r="C12" s="499"/>
      <c r="D12" s="401"/>
      <c r="E12" s="401"/>
      <c r="F12" s="401"/>
      <c r="G12" s="401"/>
      <c r="H12" s="401"/>
      <c r="I12" s="500"/>
      <c r="J12" s="501">
        <f t="shared" si="1"/>
        <v>0</v>
      </c>
      <c r="K12" s="894"/>
    </row>
    <row r="13" spans="1:11" ht="12.75">
      <c r="A13" s="497" t="s">
        <v>14</v>
      </c>
      <c r="B13" s="498" t="s">
        <v>538</v>
      </c>
      <c r="C13" s="499"/>
      <c r="D13" s="401"/>
      <c r="E13" s="401"/>
      <c r="F13" s="401"/>
      <c r="G13" s="401"/>
      <c r="H13" s="401"/>
      <c r="I13" s="500"/>
      <c r="J13" s="501">
        <f t="shared" si="1"/>
        <v>0</v>
      </c>
      <c r="K13" s="894"/>
    </row>
    <row r="14" spans="1:11" ht="12.75">
      <c r="A14" s="497" t="s">
        <v>15</v>
      </c>
      <c r="B14" s="507" t="s">
        <v>540</v>
      </c>
      <c r="C14" s="503"/>
      <c r="D14" s="504">
        <f aca="true" t="shared" si="3" ref="D14:I14">SUM(D15:D15)</f>
        <v>0</v>
      </c>
      <c r="E14" s="504">
        <f t="shared" si="3"/>
        <v>0</v>
      </c>
      <c r="F14" s="504">
        <f t="shared" si="3"/>
        <v>0</v>
      </c>
      <c r="G14" s="504">
        <f t="shared" si="3"/>
        <v>0</v>
      </c>
      <c r="H14" s="504">
        <f t="shared" si="3"/>
        <v>0</v>
      </c>
      <c r="I14" s="505">
        <f t="shared" si="3"/>
        <v>0</v>
      </c>
      <c r="J14" s="506">
        <f t="shared" si="1"/>
        <v>0</v>
      </c>
      <c r="K14" s="894"/>
    </row>
    <row r="15" spans="1:11" ht="12.75">
      <c r="A15" s="497" t="s">
        <v>16</v>
      </c>
      <c r="B15" s="498" t="s">
        <v>538</v>
      </c>
      <c r="C15" s="499"/>
      <c r="D15" s="401"/>
      <c r="E15" s="401"/>
      <c r="F15" s="401"/>
      <c r="G15" s="401"/>
      <c r="H15" s="401"/>
      <c r="I15" s="500"/>
      <c r="J15" s="501">
        <f t="shared" si="1"/>
        <v>0</v>
      </c>
      <c r="K15" s="894"/>
    </row>
    <row r="16" spans="1:11" ht="12.75">
      <c r="A16" s="497" t="s">
        <v>17</v>
      </c>
      <c r="B16" s="507" t="s">
        <v>541</v>
      </c>
      <c r="C16" s="503"/>
      <c r="D16" s="504">
        <f aca="true" t="shared" si="4" ref="D16:I16">SUM(D17:D17)</f>
        <v>0</v>
      </c>
      <c r="E16" s="504">
        <f t="shared" si="4"/>
        <v>0</v>
      </c>
      <c r="F16" s="504">
        <f t="shared" si="4"/>
        <v>0</v>
      </c>
      <c r="G16" s="504">
        <f t="shared" si="4"/>
        <v>0</v>
      </c>
      <c r="H16" s="504">
        <f t="shared" si="4"/>
        <v>0</v>
      </c>
      <c r="I16" s="505">
        <f t="shared" si="4"/>
        <v>0</v>
      </c>
      <c r="J16" s="506">
        <f t="shared" si="1"/>
        <v>0</v>
      </c>
      <c r="K16" s="894"/>
    </row>
    <row r="17" spans="1:11" ht="12.75">
      <c r="A17" s="497" t="s">
        <v>18</v>
      </c>
      <c r="B17" s="498" t="s">
        <v>538</v>
      </c>
      <c r="C17" s="499"/>
      <c r="D17" s="401"/>
      <c r="E17" s="401"/>
      <c r="F17" s="401"/>
      <c r="G17" s="401"/>
      <c r="H17" s="401"/>
      <c r="I17" s="500"/>
      <c r="J17" s="501">
        <f t="shared" si="1"/>
        <v>0</v>
      </c>
      <c r="K17" s="894"/>
    </row>
    <row r="18" spans="1:11" ht="12.75">
      <c r="A18" s="508" t="s">
        <v>19</v>
      </c>
      <c r="B18" s="509" t="s">
        <v>542</v>
      </c>
      <c r="C18" s="510"/>
      <c r="D18" s="511">
        <f aca="true" t="shared" si="5" ref="D18:I18">SUM(D19:D20)</f>
        <v>0</v>
      </c>
      <c r="E18" s="511">
        <f t="shared" si="5"/>
        <v>0</v>
      </c>
      <c r="F18" s="511">
        <f t="shared" si="5"/>
        <v>0</v>
      </c>
      <c r="G18" s="511">
        <f t="shared" si="5"/>
        <v>0</v>
      </c>
      <c r="H18" s="511">
        <f t="shared" si="5"/>
        <v>0</v>
      </c>
      <c r="I18" s="512">
        <f t="shared" si="5"/>
        <v>0</v>
      </c>
      <c r="J18" s="506">
        <f t="shared" si="1"/>
        <v>0</v>
      </c>
      <c r="K18" s="894"/>
    </row>
    <row r="19" spans="1:11" ht="12.75">
      <c r="A19" s="508" t="s">
        <v>20</v>
      </c>
      <c r="B19" s="498" t="s">
        <v>538</v>
      </c>
      <c r="C19" s="499"/>
      <c r="D19" s="401"/>
      <c r="E19" s="401"/>
      <c r="F19" s="401"/>
      <c r="G19" s="401"/>
      <c r="H19" s="401"/>
      <c r="I19" s="500"/>
      <c r="J19" s="501">
        <f t="shared" si="1"/>
        <v>0</v>
      </c>
      <c r="K19" s="894"/>
    </row>
    <row r="20" spans="1:11" ht="13.5" thickBot="1">
      <c r="A20" s="508" t="s">
        <v>21</v>
      </c>
      <c r="B20" s="498" t="s">
        <v>538</v>
      </c>
      <c r="C20" s="513"/>
      <c r="D20" s="514"/>
      <c r="E20" s="514"/>
      <c r="F20" s="514"/>
      <c r="G20" s="514"/>
      <c r="H20" s="514"/>
      <c r="I20" s="515"/>
      <c r="J20" s="501">
        <f t="shared" si="1"/>
        <v>0</v>
      </c>
      <c r="K20" s="894"/>
    </row>
    <row r="21" spans="1:11" ht="13.5" thickBot="1">
      <c r="A21" s="516" t="s">
        <v>22</v>
      </c>
      <c r="B21" s="517" t="s">
        <v>543</v>
      </c>
      <c r="C21" s="518"/>
      <c r="D21" s="519">
        <f aca="true" t="shared" si="6" ref="D21:J21">D8+D11+D14+D16+D18</f>
        <v>0</v>
      </c>
      <c r="E21" s="519">
        <f t="shared" si="6"/>
        <v>0</v>
      </c>
      <c r="F21" s="519">
        <f t="shared" si="6"/>
        <v>0</v>
      </c>
      <c r="G21" s="519">
        <f t="shared" si="6"/>
        <v>0</v>
      </c>
      <c r="H21" s="519">
        <f t="shared" si="6"/>
        <v>0</v>
      </c>
      <c r="I21" s="520">
        <f t="shared" si="6"/>
        <v>0</v>
      </c>
      <c r="J21" s="521">
        <f t="shared" si="6"/>
        <v>0</v>
      </c>
      <c r="K21" s="894"/>
    </row>
  </sheetData>
  <sheetProtection/>
  <mergeCells count="9">
    <mergeCell ref="A1:J2"/>
    <mergeCell ref="K4:K21"/>
    <mergeCell ref="A5:A6"/>
    <mergeCell ref="B5:B6"/>
    <mergeCell ref="C5:C6"/>
    <mergeCell ref="D5:D6"/>
    <mergeCell ref="E5:E6"/>
    <mergeCell ref="F5:I5"/>
    <mergeCell ref="J5:J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workbookViewId="0" topLeftCell="A1">
      <selection activeCell="O18" sqref="O18"/>
    </sheetView>
  </sheetViews>
  <sheetFormatPr defaultColWidth="9.00390625" defaultRowHeight="12.75"/>
  <cols>
    <col min="2" max="2" width="20.75390625" style="0" customWidth="1"/>
  </cols>
  <sheetData>
    <row r="1" spans="1:8" ht="12.75">
      <c r="A1" s="893" t="s">
        <v>544</v>
      </c>
      <c r="B1" s="905"/>
      <c r="C1" s="905"/>
      <c r="D1" s="905"/>
      <c r="E1" s="905"/>
      <c r="F1" s="905"/>
      <c r="G1" s="905"/>
      <c r="H1" s="905"/>
    </row>
    <row r="2" spans="1:8" ht="12.75">
      <c r="A2" s="905"/>
      <c r="B2" s="905"/>
      <c r="C2" s="905"/>
      <c r="D2" s="905"/>
      <c r="E2" s="905"/>
      <c r="F2" s="905"/>
      <c r="G2" s="905"/>
      <c r="H2" s="905"/>
    </row>
    <row r="3" spans="1:9" ht="14.25" thickBot="1">
      <c r="A3" s="39"/>
      <c r="B3" s="522" t="s">
        <v>428</v>
      </c>
      <c r="C3" s="40"/>
      <c r="D3" s="40"/>
      <c r="E3" s="40"/>
      <c r="F3" s="40"/>
      <c r="G3" s="40"/>
      <c r="H3" s="34" t="str">
        <f>'[2]2. tájékoztató tábla'!J1</f>
        <v>Forintban!</v>
      </c>
      <c r="I3" s="906" t="s">
        <v>545</v>
      </c>
    </row>
    <row r="4" spans="1:9" ht="12.75">
      <c r="A4" s="907" t="s">
        <v>49</v>
      </c>
      <c r="B4" s="909" t="s">
        <v>546</v>
      </c>
      <c r="C4" s="907" t="s">
        <v>547</v>
      </c>
      <c r="D4" s="907" t="s">
        <v>548</v>
      </c>
      <c r="E4" s="911" t="s">
        <v>549</v>
      </c>
      <c r="F4" s="913" t="s">
        <v>550</v>
      </c>
      <c r="G4" s="914"/>
      <c r="H4" s="915" t="s">
        <v>551</v>
      </c>
      <c r="I4" s="906"/>
    </row>
    <row r="5" spans="1:9" ht="13.5" thickBot="1">
      <c r="A5" s="908"/>
      <c r="B5" s="910"/>
      <c r="C5" s="910"/>
      <c r="D5" s="908"/>
      <c r="E5" s="912"/>
      <c r="F5" s="523">
        <v>2018</v>
      </c>
      <c r="G5" s="524">
        <v>2019</v>
      </c>
      <c r="H5" s="916"/>
      <c r="I5" s="906"/>
    </row>
    <row r="6" spans="1:9" ht="13.5" thickBot="1">
      <c r="A6" s="525" t="s">
        <v>394</v>
      </c>
      <c r="B6" s="526" t="s">
        <v>395</v>
      </c>
      <c r="C6" s="526" t="s">
        <v>396</v>
      </c>
      <c r="D6" s="527" t="s">
        <v>398</v>
      </c>
      <c r="E6" s="525" t="s">
        <v>397</v>
      </c>
      <c r="F6" s="527" t="s">
        <v>399</v>
      </c>
      <c r="G6" s="527" t="s">
        <v>400</v>
      </c>
      <c r="H6" s="528" t="s">
        <v>401</v>
      </c>
      <c r="I6" s="906"/>
    </row>
    <row r="7" spans="1:9" ht="13.5" thickBot="1">
      <c r="A7" s="529" t="s">
        <v>9</v>
      </c>
      <c r="B7" s="530" t="s">
        <v>552</v>
      </c>
      <c r="C7" s="531"/>
      <c r="D7" s="532"/>
      <c r="E7" s="533">
        <f>SUM(E8:E13)</f>
        <v>0</v>
      </c>
      <c r="F7" s="534">
        <f>SUM(F8:F13)</f>
        <v>0</v>
      </c>
      <c r="G7" s="534">
        <f>SUM(G8:G13)</f>
        <v>0</v>
      </c>
      <c r="H7" s="535">
        <f>SUM(H8:H13)</f>
        <v>0</v>
      </c>
      <c r="I7" s="906"/>
    </row>
    <row r="8" spans="1:9" ht="12.75">
      <c r="A8" s="536" t="s">
        <v>10</v>
      </c>
      <c r="B8" s="537" t="s">
        <v>538</v>
      </c>
      <c r="C8" s="538"/>
      <c r="D8" s="539"/>
      <c r="E8" s="38"/>
      <c r="F8" s="401"/>
      <c r="G8" s="401"/>
      <c r="H8" s="540"/>
      <c r="I8" s="906"/>
    </row>
    <row r="9" spans="1:9" ht="12.75">
      <c r="A9" s="536" t="s">
        <v>11</v>
      </c>
      <c r="B9" s="537" t="s">
        <v>538</v>
      </c>
      <c r="C9" s="538"/>
      <c r="D9" s="539"/>
      <c r="E9" s="38"/>
      <c r="F9" s="401"/>
      <c r="G9" s="401"/>
      <c r="H9" s="540"/>
      <c r="I9" s="906"/>
    </row>
    <row r="10" spans="1:9" ht="12.75">
      <c r="A10" s="536" t="s">
        <v>12</v>
      </c>
      <c r="B10" s="537" t="s">
        <v>538</v>
      </c>
      <c r="C10" s="538"/>
      <c r="D10" s="539"/>
      <c r="E10" s="38"/>
      <c r="F10" s="401"/>
      <c r="G10" s="401"/>
      <c r="H10" s="540"/>
      <c r="I10" s="906"/>
    </row>
    <row r="11" spans="1:9" ht="12.75">
      <c r="A11" s="536" t="s">
        <v>13</v>
      </c>
      <c r="B11" s="537" t="s">
        <v>538</v>
      </c>
      <c r="C11" s="538"/>
      <c r="D11" s="539"/>
      <c r="E11" s="38"/>
      <c r="F11" s="401"/>
      <c r="G11" s="401"/>
      <c r="H11" s="540"/>
      <c r="I11" s="906"/>
    </row>
    <row r="12" spans="1:9" ht="12.75">
      <c r="A12" s="536" t="s">
        <v>14</v>
      </c>
      <c r="B12" s="537" t="s">
        <v>538</v>
      </c>
      <c r="C12" s="538"/>
      <c r="D12" s="539"/>
      <c r="E12" s="38"/>
      <c r="F12" s="401"/>
      <c r="G12" s="401"/>
      <c r="H12" s="540"/>
      <c r="I12" s="906"/>
    </row>
    <row r="13" spans="1:9" ht="13.5" thickBot="1">
      <c r="A13" s="536" t="s">
        <v>15</v>
      </c>
      <c r="B13" s="537" t="s">
        <v>538</v>
      </c>
      <c r="C13" s="538"/>
      <c r="D13" s="539"/>
      <c r="E13" s="38"/>
      <c r="F13" s="401"/>
      <c r="G13" s="401"/>
      <c r="H13" s="540"/>
      <c r="I13" s="906"/>
    </row>
    <row r="14" spans="1:9" ht="13.5" thickBot="1">
      <c r="A14" s="529" t="s">
        <v>16</v>
      </c>
      <c r="B14" s="530" t="s">
        <v>553</v>
      </c>
      <c r="C14" s="541"/>
      <c r="D14" s="542"/>
      <c r="E14" s="533">
        <f>SUM(E15:E19)</f>
        <v>0</v>
      </c>
      <c r="F14" s="534">
        <f>SUM(F15:F19)</f>
        <v>0</v>
      </c>
      <c r="G14" s="534">
        <f>SUM(G15:G19)</f>
        <v>0</v>
      </c>
      <c r="H14" s="535">
        <f>SUM(H15:H19)</f>
        <v>0</v>
      </c>
      <c r="I14" s="906"/>
    </row>
    <row r="15" spans="1:9" ht="12.75">
      <c r="A15" s="536" t="s">
        <v>17</v>
      </c>
      <c r="B15" s="537" t="s">
        <v>538</v>
      </c>
      <c r="C15" s="538"/>
      <c r="D15" s="539"/>
      <c r="E15" s="38"/>
      <c r="F15" s="401"/>
      <c r="G15" s="401"/>
      <c r="H15" s="540"/>
      <c r="I15" s="906"/>
    </row>
    <row r="16" spans="1:9" ht="12.75">
      <c r="A16" s="536" t="s">
        <v>18</v>
      </c>
      <c r="B16" s="537" t="s">
        <v>538</v>
      </c>
      <c r="C16" s="538"/>
      <c r="D16" s="539"/>
      <c r="E16" s="38"/>
      <c r="F16" s="401"/>
      <c r="G16" s="401"/>
      <c r="H16" s="540"/>
      <c r="I16" s="906"/>
    </row>
    <row r="17" spans="1:9" ht="12.75">
      <c r="A17" s="536" t="s">
        <v>19</v>
      </c>
      <c r="B17" s="537" t="s">
        <v>538</v>
      </c>
      <c r="C17" s="538"/>
      <c r="D17" s="539"/>
      <c r="E17" s="38"/>
      <c r="F17" s="401"/>
      <c r="G17" s="401"/>
      <c r="H17" s="540"/>
      <c r="I17" s="906"/>
    </row>
    <row r="18" spans="1:9" ht="12.75">
      <c r="A18" s="536" t="s">
        <v>20</v>
      </c>
      <c r="B18" s="537" t="s">
        <v>538</v>
      </c>
      <c r="C18" s="538"/>
      <c r="D18" s="539"/>
      <c r="E18" s="38"/>
      <c r="F18" s="401"/>
      <c r="G18" s="401"/>
      <c r="H18" s="540"/>
      <c r="I18" s="906"/>
    </row>
    <row r="19" spans="1:9" ht="13.5" thickBot="1">
      <c r="A19" s="536" t="s">
        <v>21</v>
      </c>
      <c r="B19" s="537" t="s">
        <v>538</v>
      </c>
      <c r="C19" s="538"/>
      <c r="D19" s="539"/>
      <c r="E19" s="38"/>
      <c r="F19" s="401"/>
      <c r="G19" s="401"/>
      <c r="H19" s="540"/>
      <c r="I19" s="906"/>
    </row>
    <row r="20" spans="1:9" ht="13.5" thickBot="1">
      <c r="A20" s="536" t="s">
        <v>22</v>
      </c>
      <c r="B20" s="530" t="s">
        <v>554</v>
      </c>
      <c r="C20" s="531"/>
      <c r="D20" s="532"/>
      <c r="E20" s="533">
        <f>E7+E14</f>
        <v>0</v>
      </c>
      <c r="F20" s="534">
        <f>F7+F14</f>
        <v>0</v>
      </c>
      <c r="G20" s="534">
        <f>G7+G14</f>
        <v>0</v>
      </c>
      <c r="H20" s="535">
        <f>H7+H14</f>
        <v>0</v>
      </c>
      <c r="I20" s="906"/>
    </row>
  </sheetData>
  <sheetProtection/>
  <mergeCells count="9">
    <mergeCell ref="A1:H2"/>
    <mergeCell ref="I3:I20"/>
    <mergeCell ref="A4:A5"/>
    <mergeCell ref="B4:B5"/>
    <mergeCell ref="C4:C5"/>
    <mergeCell ref="D4:D5"/>
    <mergeCell ref="E4:E5"/>
    <mergeCell ref="F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G12" sqref="G12"/>
    </sheetView>
  </sheetViews>
  <sheetFormatPr defaultColWidth="9.25390625" defaultRowHeight="12.75"/>
  <cols>
    <col min="1" max="1" width="5.375" style="543" customWidth="1"/>
    <col min="2" max="2" width="36.75390625" style="543" customWidth="1"/>
    <col min="3" max="8" width="13.75390625" style="543" customWidth="1"/>
    <col min="9" max="9" width="15.125" style="543" customWidth="1"/>
    <col min="10" max="10" width="5.00390625" style="543" customWidth="1"/>
    <col min="11" max="16384" width="9.25390625" style="543" customWidth="1"/>
  </cols>
  <sheetData>
    <row r="1" spans="1:10" ht="34.5" customHeight="1">
      <c r="A1" s="924" t="s">
        <v>806</v>
      </c>
      <c r="B1" s="925"/>
      <c r="C1" s="925"/>
      <c r="D1" s="925"/>
      <c r="E1" s="925"/>
      <c r="F1" s="925"/>
      <c r="G1" s="925"/>
      <c r="H1" s="925"/>
      <c r="I1" s="925"/>
      <c r="J1" s="926" t="s">
        <v>555</v>
      </c>
    </row>
    <row r="2" spans="8:10" ht="13.5" thickBot="1">
      <c r="H2" s="927" t="str">
        <f>'[2]3. tájékoztató tábla'!H1</f>
        <v>Forintban!</v>
      </c>
      <c r="I2" s="927"/>
      <c r="J2" s="926"/>
    </row>
    <row r="3" spans="1:10" ht="13.5" thickBot="1">
      <c r="A3" s="928" t="s">
        <v>7</v>
      </c>
      <c r="B3" s="930" t="s">
        <v>556</v>
      </c>
      <c r="C3" s="932" t="s">
        <v>557</v>
      </c>
      <c r="D3" s="934" t="s">
        <v>558</v>
      </c>
      <c r="E3" s="935"/>
      <c r="F3" s="935"/>
      <c r="G3" s="935"/>
      <c r="H3" s="935"/>
      <c r="I3" s="936" t="s">
        <v>559</v>
      </c>
      <c r="J3" s="926"/>
    </row>
    <row r="4" spans="1:10" s="42" customFormat="1" ht="42" customHeight="1" thickBot="1">
      <c r="A4" s="929"/>
      <c r="B4" s="931"/>
      <c r="C4" s="933"/>
      <c r="D4" s="544" t="s">
        <v>560</v>
      </c>
      <c r="E4" s="544" t="s">
        <v>561</v>
      </c>
      <c r="F4" s="544" t="s">
        <v>562</v>
      </c>
      <c r="G4" s="545" t="s">
        <v>563</v>
      </c>
      <c r="H4" s="545" t="s">
        <v>564</v>
      </c>
      <c r="I4" s="937"/>
      <c r="J4" s="926"/>
    </row>
    <row r="5" spans="1:10" s="42" customFormat="1" ht="12" customHeight="1" thickBot="1">
      <c r="A5" s="28" t="s">
        <v>394</v>
      </c>
      <c r="B5" s="546" t="s">
        <v>395</v>
      </c>
      <c r="C5" s="546" t="s">
        <v>396</v>
      </c>
      <c r="D5" s="546" t="s">
        <v>398</v>
      </c>
      <c r="E5" s="546" t="s">
        <v>397</v>
      </c>
      <c r="F5" s="546" t="s">
        <v>399</v>
      </c>
      <c r="G5" s="546" t="s">
        <v>400</v>
      </c>
      <c r="H5" s="546" t="s">
        <v>565</v>
      </c>
      <c r="I5" s="547" t="s">
        <v>566</v>
      </c>
      <c r="J5" s="926"/>
    </row>
    <row r="6" spans="1:10" s="42" customFormat="1" ht="18" customHeight="1">
      <c r="A6" s="938" t="s">
        <v>567</v>
      </c>
      <c r="B6" s="939"/>
      <c r="C6" s="939"/>
      <c r="D6" s="939"/>
      <c r="E6" s="939"/>
      <c r="F6" s="939"/>
      <c r="G6" s="939"/>
      <c r="H6" s="939"/>
      <c r="I6" s="940"/>
      <c r="J6" s="926"/>
    </row>
    <row r="7" spans="1:10" ht="15.75" customHeight="1">
      <c r="A7" s="548" t="s">
        <v>9</v>
      </c>
      <c r="B7" s="549" t="s">
        <v>568</v>
      </c>
      <c r="C7" s="550"/>
      <c r="D7" s="550"/>
      <c r="E7" s="550"/>
      <c r="F7" s="550"/>
      <c r="G7" s="551"/>
      <c r="H7" s="552">
        <f aca="true" t="shared" si="0" ref="H7:H13">SUM(D7:G7)</f>
        <v>0</v>
      </c>
      <c r="I7" s="553">
        <f aca="true" t="shared" si="1" ref="I7:I13">C7+H7</f>
        <v>0</v>
      </c>
      <c r="J7" s="926"/>
    </row>
    <row r="8" spans="1:10" ht="12.75">
      <c r="A8" s="548" t="s">
        <v>10</v>
      </c>
      <c r="B8" s="549" t="s">
        <v>569</v>
      </c>
      <c r="C8" s="550"/>
      <c r="D8" s="550"/>
      <c r="E8" s="550"/>
      <c r="F8" s="550"/>
      <c r="G8" s="551"/>
      <c r="H8" s="552">
        <f t="shared" si="0"/>
        <v>0</v>
      </c>
      <c r="I8" s="553">
        <f t="shared" si="1"/>
        <v>0</v>
      </c>
      <c r="J8" s="926"/>
    </row>
    <row r="9" spans="1:10" ht="12.75">
      <c r="A9" s="548" t="s">
        <v>11</v>
      </c>
      <c r="B9" s="549" t="s">
        <v>570</v>
      </c>
      <c r="C9" s="550"/>
      <c r="D9" s="550"/>
      <c r="E9" s="550"/>
      <c r="F9" s="550"/>
      <c r="G9" s="551"/>
      <c r="H9" s="552">
        <f t="shared" si="0"/>
        <v>0</v>
      </c>
      <c r="I9" s="553">
        <f t="shared" si="1"/>
        <v>0</v>
      </c>
      <c r="J9" s="926"/>
    </row>
    <row r="10" spans="1:10" ht="15.75" customHeight="1">
      <c r="A10" s="548" t="s">
        <v>12</v>
      </c>
      <c r="B10" s="549" t="s">
        <v>571</v>
      </c>
      <c r="C10" s="550"/>
      <c r="D10" s="550"/>
      <c r="E10" s="550"/>
      <c r="F10" s="550"/>
      <c r="G10" s="551"/>
      <c r="H10" s="552">
        <f t="shared" si="0"/>
        <v>0</v>
      </c>
      <c r="I10" s="553">
        <f t="shared" si="1"/>
        <v>0</v>
      </c>
      <c r="J10" s="926"/>
    </row>
    <row r="11" spans="1:10" ht="12.75">
      <c r="A11" s="548" t="s">
        <v>13</v>
      </c>
      <c r="B11" s="549" t="s">
        <v>572</v>
      </c>
      <c r="C11" s="550"/>
      <c r="D11" s="550"/>
      <c r="E11" s="550"/>
      <c r="F11" s="550"/>
      <c r="G11" s="551"/>
      <c r="H11" s="552">
        <f t="shared" si="0"/>
        <v>0</v>
      </c>
      <c r="I11" s="553">
        <f t="shared" si="1"/>
        <v>0</v>
      </c>
      <c r="J11" s="926"/>
    </row>
    <row r="12" spans="1:10" ht="15.75" customHeight="1">
      <c r="A12" s="554" t="s">
        <v>14</v>
      </c>
      <c r="B12" s="555" t="s">
        <v>573</v>
      </c>
      <c r="C12" s="556">
        <v>384706</v>
      </c>
      <c r="D12" s="556">
        <f>1684763+59080+5094915</f>
        <v>6838758</v>
      </c>
      <c r="E12" s="556">
        <v>2606949</v>
      </c>
      <c r="F12" s="556">
        <v>2638239</v>
      </c>
      <c r="G12" s="557">
        <v>31007</v>
      </c>
      <c r="H12" s="552"/>
      <c r="I12" s="553">
        <v>12499659</v>
      </c>
      <c r="J12" s="926"/>
    </row>
    <row r="13" spans="1:10" ht="15.75" customHeight="1" thickBot="1">
      <c r="A13" s="558" t="s">
        <v>15</v>
      </c>
      <c r="B13" s="559" t="s">
        <v>574</v>
      </c>
      <c r="C13" s="560"/>
      <c r="D13" s="560"/>
      <c r="E13" s="560"/>
      <c r="F13" s="560"/>
      <c r="G13" s="561"/>
      <c r="H13" s="552">
        <f t="shared" si="0"/>
        <v>0</v>
      </c>
      <c r="I13" s="553">
        <f t="shared" si="1"/>
        <v>0</v>
      </c>
      <c r="J13" s="926"/>
    </row>
    <row r="14" spans="1:10" s="565" customFormat="1" ht="18" customHeight="1" thickBot="1">
      <c r="A14" s="920" t="s">
        <v>575</v>
      </c>
      <c r="B14" s="921"/>
      <c r="C14" s="562">
        <f aca="true" t="shared" si="2" ref="C14:I14">SUM(C7:C13)</f>
        <v>384706</v>
      </c>
      <c r="D14" s="562">
        <f>SUM(D7:D13)</f>
        <v>6838758</v>
      </c>
      <c r="E14" s="562">
        <f t="shared" si="2"/>
        <v>2606949</v>
      </c>
      <c r="F14" s="562">
        <f t="shared" si="2"/>
        <v>2638239</v>
      </c>
      <c r="G14" s="563">
        <f t="shared" si="2"/>
        <v>31007</v>
      </c>
      <c r="H14" s="563">
        <f t="shared" si="2"/>
        <v>0</v>
      </c>
      <c r="I14" s="564">
        <f t="shared" si="2"/>
        <v>12499659</v>
      </c>
      <c r="J14" s="926"/>
    </row>
    <row r="15" spans="1:10" s="421" customFormat="1" ht="18" customHeight="1">
      <c r="A15" s="917" t="s">
        <v>576</v>
      </c>
      <c r="B15" s="918"/>
      <c r="C15" s="918"/>
      <c r="D15" s="918"/>
      <c r="E15" s="918"/>
      <c r="F15" s="918"/>
      <c r="G15" s="918"/>
      <c r="H15" s="918"/>
      <c r="I15" s="919"/>
      <c r="J15" s="926"/>
    </row>
    <row r="16" spans="1:10" s="421" customFormat="1" ht="12.75">
      <c r="A16" s="548" t="s">
        <v>9</v>
      </c>
      <c r="B16" s="549" t="s">
        <v>577</v>
      </c>
      <c r="C16" s="550"/>
      <c r="D16" s="550"/>
      <c r="E16" s="550"/>
      <c r="F16" s="550"/>
      <c r="G16" s="551"/>
      <c r="H16" s="552">
        <f>SUM(D16:G16)</f>
        <v>0</v>
      </c>
      <c r="I16" s="553">
        <f>C16+H16</f>
        <v>0</v>
      </c>
      <c r="J16" s="926"/>
    </row>
    <row r="17" spans="1:10" ht="13.5" thickBot="1">
      <c r="A17" s="558" t="s">
        <v>10</v>
      </c>
      <c r="B17" s="559" t="s">
        <v>574</v>
      </c>
      <c r="C17" s="560"/>
      <c r="D17" s="560"/>
      <c r="E17" s="560"/>
      <c r="F17" s="560"/>
      <c r="G17" s="561"/>
      <c r="H17" s="552">
        <f>SUM(D17:G17)</f>
        <v>0</v>
      </c>
      <c r="I17" s="566">
        <f>C17+H17</f>
        <v>0</v>
      </c>
      <c r="J17" s="926"/>
    </row>
    <row r="18" spans="1:10" ht="15.75" customHeight="1" thickBot="1">
      <c r="A18" s="920" t="s">
        <v>578</v>
      </c>
      <c r="B18" s="921"/>
      <c r="C18" s="562">
        <f aca="true" t="shared" si="3" ref="C18:I18">SUM(C16:C17)</f>
        <v>0</v>
      </c>
      <c r="D18" s="562">
        <f t="shared" si="3"/>
        <v>0</v>
      </c>
      <c r="E18" s="562">
        <f t="shared" si="3"/>
        <v>0</v>
      </c>
      <c r="F18" s="562">
        <f t="shared" si="3"/>
        <v>0</v>
      </c>
      <c r="G18" s="563">
        <f t="shared" si="3"/>
        <v>0</v>
      </c>
      <c r="H18" s="563">
        <f t="shared" si="3"/>
        <v>0</v>
      </c>
      <c r="I18" s="564">
        <f t="shared" si="3"/>
        <v>0</v>
      </c>
      <c r="J18" s="926"/>
    </row>
    <row r="19" spans="1:10" ht="18" customHeight="1" thickBot="1">
      <c r="A19" s="922" t="s">
        <v>579</v>
      </c>
      <c r="B19" s="923"/>
      <c r="C19" s="567">
        <f aca="true" t="shared" si="4" ref="C19:I19">C14+C18</f>
        <v>384706</v>
      </c>
      <c r="D19" s="567">
        <f t="shared" si="4"/>
        <v>6838758</v>
      </c>
      <c r="E19" s="567">
        <f t="shared" si="4"/>
        <v>2606949</v>
      </c>
      <c r="F19" s="567">
        <f t="shared" si="4"/>
        <v>2638239</v>
      </c>
      <c r="G19" s="567">
        <f t="shared" si="4"/>
        <v>31007</v>
      </c>
      <c r="H19" s="567">
        <f t="shared" si="4"/>
        <v>0</v>
      </c>
      <c r="I19" s="564">
        <f t="shared" si="4"/>
        <v>12499659</v>
      </c>
      <c r="J19" s="926"/>
    </row>
    <row r="21" ht="12.75">
      <c r="G21" s="798"/>
    </row>
    <row r="22" ht="12.75">
      <c r="E22" s="798"/>
    </row>
    <row r="23" ht="12.75">
      <c r="C23" s="798"/>
    </row>
  </sheetData>
  <sheetProtection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view="pageBreakPreview" zoomScale="80" zoomScaleSheetLayoutView="80" workbookViewId="0" topLeftCell="A1">
      <selection activeCell="I6" sqref="I6"/>
    </sheetView>
  </sheetViews>
  <sheetFormatPr defaultColWidth="9.25390625" defaultRowHeight="12.75"/>
  <cols>
    <col min="1" max="1" width="5.75390625" style="52" customWidth="1"/>
    <col min="2" max="2" width="54.75390625" style="2" customWidth="1"/>
    <col min="3" max="4" width="17.75390625" style="2" customWidth="1"/>
    <col min="5" max="16384" width="9.25390625" style="2" customWidth="1"/>
  </cols>
  <sheetData>
    <row r="1" spans="1:4" ht="12.75">
      <c r="A1" s="943" t="s">
        <v>822</v>
      </c>
      <c r="B1" s="943"/>
      <c r="C1" s="943"/>
      <c r="D1" s="943"/>
    </row>
    <row r="2" spans="2:4" ht="37.5" customHeight="1">
      <c r="B2" s="942" t="s">
        <v>1</v>
      </c>
      <c r="C2" s="942"/>
      <c r="D2" s="942"/>
    </row>
    <row r="3" spans="1:4" s="40" customFormat="1" ht="15" thickBot="1">
      <c r="A3" s="39"/>
      <c r="B3" s="165"/>
      <c r="D3" s="34" t="s">
        <v>426</v>
      </c>
    </row>
    <row r="4" spans="1:4" s="42" customFormat="1" ht="48" customHeight="1" thickBot="1">
      <c r="A4" s="41" t="s">
        <v>7</v>
      </c>
      <c r="B4" s="77" t="s">
        <v>8</v>
      </c>
      <c r="C4" s="77" t="s">
        <v>431</v>
      </c>
      <c r="D4" s="78" t="s">
        <v>432</v>
      </c>
    </row>
    <row r="5" spans="1:4" s="42" customFormat="1" ht="13.5" customHeight="1" thickBot="1">
      <c r="A5" s="28" t="s">
        <v>394</v>
      </c>
      <c r="B5" s="80" t="s">
        <v>395</v>
      </c>
      <c r="C5" s="80" t="s">
        <v>396</v>
      </c>
      <c r="D5" s="81" t="s">
        <v>398</v>
      </c>
    </row>
    <row r="6" spans="1:4" ht="18" customHeight="1">
      <c r="A6" s="61" t="s">
        <v>9</v>
      </c>
      <c r="B6" s="82" t="s">
        <v>106</v>
      </c>
      <c r="C6" s="59"/>
      <c r="D6" s="43"/>
    </row>
    <row r="7" spans="1:4" ht="18" customHeight="1">
      <c r="A7" s="44" t="s">
        <v>10</v>
      </c>
      <c r="B7" s="83" t="s">
        <v>107</v>
      </c>
      <c r="C7" s="60"/>
      <c r="D7" s="46"/>
    </row>
    <row r="8" spans="1:4" ht="18" customHeight="1">
      <c r="A8" s="44" t="s">
        <v>11</v>
      </c>
      <c r="B8" s="83" t="s">
        <v>80</v>
      </c>
      <c r="C8" s="60"/>
      <c r="D8" s="46"/>
    </row>
    <row r="9" spans="1:4" ht="18" customHeight="1">
      <c r="A9" s="44" t="s">
        <v>12</v>
      </c>
      <c r="B9" s="83" t="s">
        <v>81</v>
      </c>
      <c r="C9" s="60"/>
      <c r="D9" s="46"/>
    </row>
    <row r="10" spans="1:4" ht="18" customHeight="1">
      <c r="A10" s="44" t="s">
        <v>13</v>
      </c>
      <c r="B10" s="83" t="s">
        <v>99</v>
      </c>
      <c r="C10" s="60"/>
      <c r="D10" s="46"/>
    </row>
    <row r="11" spans="1:4" ht="18" customHeight="1">
      <c r="A11" s="44" t="s">
        <v>14</v>
      </c>
      <c r="B11" s="83" t="s">
        <v>100</v>
      </c>
      <c r="C11" s="60"/>
      <c r="D11" s="46"/>
    </row>
    <row r="12" spans="1:4" ht="18" customHeight="1">
      <c r="A12" s="44" t="s">
        <v>15</v>
      </c>
      <c r="B12" s="84" t="s">
        <v>101</v>
      </c>
      <c r="C12" s="60"/>
      <c r="D12" s="46"/>
    </row>
    <row r="13" spans="1:4" ht="18" customHeight="1">
      <c r="A13" s="44" t="s">
        <v>17</v>
      </c>
      <c r="B13" s="84" t="s">
        <v>102</v>
      </c>
      <c r="C13" s="60"/>
      <c r="D13" s="46"/>
    </row>
    <row r="14" spans="1:4" ht="18" customHeight="1">
      <c r="A14" s="44" t="s">
        <v>18</v>
      </c>
      <c r="B14" s="84" t="s">
        <v>103</v>
      </c>
      <c r="C14" s="60"/>
      <c r="D14" s="46"/>
    </row>
    <row r="15" spans="1:4" ht="18" customHeight="1">
      <c r="A15" s="44" t="s">
        <v>19</v>
      </c>
      <c r="B15" s="84" t="s">
        <v>104</v>
      </c>
      <c r="C15" s="60"/>
      <c r="D15" s="46"/>
    </row>
    <row r="16" spans="1:4" ht="22.5" customHeight="1">
      <c r="A16" s="44" t="s">
        <v>20</v>
      </c>
      <c r="B16" s="84" t="s">
        <v>105</v>
      </c>
      <c r="C16" s="60">
        <v>20000</v>
      </c>
      <c r="D16" s="46">
        <v>20000</v>
      </c>
    </row>
    <row r="17" spans="1:4" ht="18" customHeight="1">
      <c r="A17" s="44" t="s">
        <v>21</v>
      </c>
      <c r="B17" s="83" t="s">
        <v>82</v>
      </c>
      <c r="C17" s="60"/>
      <c r="D17" s="46"/>
    </row>
    <row r="18" spans="1:4" ht="18" customHeight="1">
      <c r="A18" s="44" t="s">
        <v>22</v>
      </c>
      <c r="B18" s="83" t="s">
        <v>3</v>
      </c>
      <c r="C18" s="60"/>
      <c r="D18" s="46"/>
    </row>
    <row r="19" spans="1:4" ht="18" customHeight="1">
      <c r="A19" s="44" t="s">
        <v>23</v>
      </c>
      <c r="B19" s="83" t="s">
        <v>2</v>
      </c>
      <c r="C19" s="60"/>
      <c r="D19" s="46"/>
    </row>
    <row r="20" spans="1:4" ht="18" customHeight="1">
      <c r="A20" s="44" t="s">
        <v>24</v>
      </c>
      <c r="B20" s="83" t="s">
        <v>83</v>
      </c>
      <c r="C20" s="60"/>
      <c r="D20" s="46"/>
    </row>
    <row r="21" spans="1:4" ht="18" customHeight="1">
      <c r="A21" s="44" t="s">
        <v>25</v>
      </c>
      <c r="B21" s="83" t="s">
        <v>84</v>
      </c>
      <c r="C21" s="60"/>
      <c r="D21" s="46"/>
    </row>
    <row r="22" spans="1:4" ht="18" customHeight="1">
      <c r="A22" s="44" t="s">
        <v>26</v>
      </c>
      <c r="B22" s="55"/>
      <c r="C22" s="45"/>
      <c r="D22" s="46"/>
    </row>
    <row r="23" spans="1:4" ht="18" customHeight="1">
      <c r="A23" s="44" t="s">
        <v>27</v>
      </c>
      <c r="B23" s="47"/>
      <c r="C23" s="45"/>
      <c r="D23" s="46"/>
    </row>
    <row r="24" spans="1:4" ht="18" customHeight="1">
      <c r="A24" s="44" t="s">
        <v>28</v>
      </c>
      <c r="B24" s="47"/>
      <c r="C24" s="45"/>
      <c r="D24" s="46"/>
    </row>
    <row r="25" spans="1:4" ht="18" customHeight="1">
      <c r="A25" s="44" t="s">
        <v>29</v>
      </c>
      <c r="B25" s="47"/>
      <c r="C25" s="45"/>
      <c r="D25" s="46"/>
    </row>
    <row r="26" spans="1:4" ht="18" customHeight="1">
      <c r="A26" s="44" t="s">
        <v>30</v>
      </c>
      <c r="B26" s="47"/>
      <c r="C26" s="45"/>
      <c r="D26" s="46"/>
    </row>
    <row r="27" spans="1:4" ht="18" customHeight="1">
      <c r="A27" s="44" t="s">
        <v>31</v>
      </c>
      <c r="B27" s="47"/>
      <c r="C27" s="45"/>
      <c r="D27" s="46"/>
    </row>
    <row r="28" spans="1:4" ht="18" customHeight="1">
      <c r="A28" s="44" t="s">
        <v>32</v>
      </c>
      <c r="B28" s="47"/>
      <c r="C28" s="45"/>
      <c r="D28" s="46"/>
    </row>
    <row r="29" spans="1:4" ht="18" customHeight="1">
      <c r="A29" s="44" t="s">
        <v>33</v>
      </c>
      <c r="B29" s="47"/>
      <c r="C29" s="45"/>
      <c r="D29" s="46"/>
    </row>
    <row r="30" spans="1:4" ht="18" customHeight="1" thickBot="1">
      <c r="A30" s="62" t="s">
        <v>34</v>
      </c>
      <c r="B30" s="48"/>
      <c r="C30" s="49"/>
      <c r="D30" s="50"/>
    </row>
    <row r="31" spans="1:4" ht="18" customHeight="1" thickBot="1">
      <c r="A31" s="29" t="s">
        <v>35</v>
      </c>
      <c r="B31" s="86" t="s">
        <v>41</v>
      </c>
      <c r="C31" s="87"/>
      <c r="D31" s="88"/>
    </row>
    <row r="32" spans="1:4" ht="8.25" customHeight="1">
      <c r="A32" s="51"/>
      <c r="B32" s="941"/>
      <c r="C32" s="941"/>
      <c r="D32" s="941"/>
    </row>
  </sheetData>
  <sheetProtection/>
  <mergeCells count="3">
    <mergeCell ref="B32:D32"/>
    <mergeCell ref="B2:D2"/>
    <mergeCell ref="A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5&amp;"Times New Roman CE,Félkövér dőlt".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1">
      <selection activeCell="H10" sqref="H10"/>
    </sheetView>
  </sheetViews>
  <sheetFormatPr defaultColWidth="9.25390625" defaultRowHeight="12.75"/>
  <cols>
    <col min="1" max="1" width="6.75390625" style="543" customWidth="1"/>
    <col min="2" max="2" width="39.75390625" style="543" customWidth="1"/>
    <col min="3" max="3" width="33.00390625" style="543" customWidth="1"/>
    <col min="4" max="4" width="22.75390625" style="543" customWidth="1"/>
    <col min="5" max="16384" width="9.25390625" style="543" customWidth="1"/>
  </cols>
  <sheetData>
    <row r="1" spans="1:4" ht="13.5" customHeight="1">
      <c r="A1" s="948" t="s">
        <v>821</v>
      </c>
      <c r="B1" s="948"/>
      <c r="C1" s="948"/>
      <c r="D1" s="948"/>
    </row>
    <row r="2" spans="1:4" ht="49.5" customHeight="1">
      <c r="A2" s="944" t="s">
        <v>807</v>
      </c>
      <c r="B2" s="945"/>
      <c r="C2" s="945"/>
      <c r="D2" s="945"/>
    </row>
    <row r="3" spans="3:4" ht="13.5" thickBot="1">
      <c r="C3" s="591"/>
      <c r="D3" s="591"/>
    </row>
    <row r="4" spans="1:4" ht="42.75" customHeight="1" thickBot="1">
      <c r="A4" s="592" t="s">
        <v>49</v>
      </c>
      <c r="B4" s="593" t="s">
        <v>85</v>
      </c>
      <c r="C4" s="593" t="s">
        <v>86</v>
      </c>
      <c r="D4" s="594" t="s">
        <v>587</v>
      </c>
    </row>
    <row r="5" spans="1:4" ht="15.75" customHeight="1" thickBot="1">
      <c r="A5" s="595" t="s">
        <v>9</v>
      </c>
      <c r="B5" s="709" t="s">
        <v>759</v>
      </c>
      <c r="C5" s="709" t="s">
        <v>760</v>
      </c>
      <c r="D5" s="596">
        <v>180000</v>
      </c>
    </row>
    <row r="6" spans="1:4" ht="15.75" customHeight="1">
      <c r="A6" s="595" t="s">
        <v>11</v>
      </c>
      <c r="B6" s="598" t="s">
        <v>764</v>
      </c>
      <c r="C6" s="598" t="s">
        <v>763</v>
      </c>
      <c r="D6" s="597">
        <v>1000000</v>
      </c>
    </row>
    <row r="7" spans="1:4" ht="15.75" customHeight="1" thickBot="1">
      <c r="A7" s="710" t="s">
        <v>12</v>
      </c>
      <c r="B7" s="711" t="s">
        <v>762</v>
      </c>
      <c r="C7" s="598" t="s">
        <v>790</v>
      </c>
      <c r="D7" s="597">
        <v>2000000</v>
      </c>
    </row>
    <row r="8" spans="1:4" ht="15.75" customHeight="1">
      <c r="A8" s="595" t="s">
        <v>13</v>
      </c>
      <c r="B8" t="s">
        <v>768</v>
      </c>
      <c r="C8" s="598" t="s">
        <v>761</v>
      </c>
      <c r="D8" s="597">
        <v>885641</v>
      </c>
    </row>
    <row r="9" spans="1:4" ht="15.75" customHeight="1" thickBot="1">
      <c r="A9" s="710" t="s">
        <v>14</v>
      </c>
      <c r="B9" s="712" t="s">
        <v>769</v>
      </c>
      <c r="C9" s="598" t="s">
        <v>765</v>
      </c>
      <c r="D9" s="597">
        <v>1200000</v>
      </c>
    </row>
    <row r="10" spans="1:4" ht="15.75" customHeight="1">
      <c r="A10" s="595" t="s">
        <v>15</v>
      </c>
      <c r="B10" s="712" t="s">
        <v>770</v>
      </c>
      <c r="C10" s="598" t="s">
        <v>766</v>
      </c>
      <c r="D10" s="597">
        <v>807910</v>
      </c>
    </row>
    <row r="11" spans="1:4" ht="15.75" customHeight="1" thickBot="1">
      <c r="A11" s="710" t="s">
        <v>16</v>
      </c>
      <c r="B11" t="s">
        <v>771</v>
      </c>
      <c r="C11" s="598" t="s">
        <v>767</v>
      </c>
      <c r="D11" s="597">
        <v>183240</v>
      </c>
    </row>
    <row r="12" spans="1:4" ht="15.75" customHeight="1">
      <c r="A12" s="595" t="s">
        <v>17</v>
      </c>
      <c r="B12" s="708" t="s">
        <v>791</v>
      </c>
      <c r="C12" s="598" t="s">
        <v>767</v>
      </c>
      <c r="D12" s="597">
        <v>60800</v>
      </c>
    </row>
    <row r="13" spans="1:4" ht="15.75" customHeight="1" thickBot="1">
      <c r="A13" s="710" t="s">
        <v>18</v>
      </c>
      <c r="B13" s="598"/>
      <c r="C13" s="598"/>
      <c r="D13" s="597"/>
    </row>
    <row r="14" spans="1:4" ht="15.75" customHeight="1">
      <c r="A14" s="595" t="s">
        <v>19</v>
      </c>
      <c r="B14" s="598"/>
      <c r="C14" s="598"/>
      <c r="D14" s="597"/>
    </row>
    <row r="15" spans="1:4" ht="15.75" customHeight="1" thickBot="1">
      <c r="A15" s="710" t="s">
        <v>20</v>
      </c>
      <c r="B15" s="598"/>
      <c r="C15" s="598"/>
      <c r="D15" s="597"/>
    </row>
    <row r="16" spans="1:4" ht="15.75" customHeight="1">
      <c r="A16" s="595" t="s">
        <v>21</v>
      </c>
      <c r="B16" s="598"/>
      <c r="C16" s="598"/>
      <c r="D16" s="597"/>
    </row>
    <row r="17" spans="1:4" ht="15.75" customHeight="1" thickBot="1">
      <c r="A17" s="710" t="s">
        <v>22</v>
      </c>
      <c r="B17" s="599"/>
      <c r="C17" s="599"/>
      <c r="D17" s="600"/>
    </row>
    <row r="18" spans="1:4" ht="15.75" customHeight="1">
      <c r="A18" s="595" t="s">
        <v>23</v>
      </c>
      <c r="B18" s="599"/>
      <c r="C18" s="599"/>
      <c r="D18" s="600"/>
    </row>
    <row r="19" spans="1:4" ht="15.75" customHeight="1" thickBot="1">
      <c r="A19" s="710" t="s">
        <v>24</v>
      </c>
      <c r="B19" s="599"/>
      <c r="C19" s="599"/>
      <c r="D19" s="600"/>
    </row>
    <row r="20" spans="1:4" ht="15.75" customHeight="1">
      <c r="A20" s="595" t="s">
        <v>25</v>
      </c>
      <c r="B20" s="599"/>
      <c r="C20" s="599"/>
      <c r="D20" s="600"/>
    </row>
    <row r="21" spans="1:4" ht="15.75" customHeight="1" thickBot="1">
      <c r="A21" s="710" t="s">
        <v>26</v>
      </c>
      <c r="B21" s="599"/>
      <c r="C21" s="599"/>
      <c r="D21" s="600"/>
    </row>
    <row r="22" spans="1:4" ht="15.75" customHeight="1">
      <c r="A22" s="595" t="s">
        <v>27</v>
      </c>
      <c r="B22" s="599"/>
      <c r="C22" s="599"/>
      <c r="D22" s="600"/>
    </row>
    <row r="23" spans="1:4" ht="15.75" customHeight="1" thickBot="1">
      <c r="A23" s="710" t="s">
        <v>28</v>
      </c>
      <c r="B23" s="599"/>
      <c r="C23" s="599"/>
      <c r="D23" s="600"/>
    </row>
    <row r="24" spans="1:4" ht="15.75" customHeight="1">
      <c r="A24" s="595" t="s">
        <v>29</v>
      </c>
      <c r="B24" s="599"/>
      <c r="C24" s="599"/>
      <c r="D24" s="600"/>
    </row>
    <row r="25" spans="1:4" ht="15.75" customHeight="1" thickBot="1">
      <c r="A25" s="710" t="s">
        <v>30</v>
      </c>
      <c r="B25" s="599"/>
      <c r="C25" s="599"/>
      <c r="D25" s="600"/>
    </row>
    <row r="26" spans="1:4" ht="15.75" customHeight="1">
      <c r="A26" s="595" t="s">
        <v>31</v>
      </c>
      <c r="B26" s="599"/>
      <c r="C26" s="599"/>
      <c r="D26" s="600"/>
    </row>
    <row r="27" spans="1:4" ht="15.75" customHeight="1" thickBot="1">
      <c r="A27" s="710" t="s">
        <v>32</v>
      </c>
      <c r="B27" s="599"/>
      <c r="C27" s="599"/>
      <c r="D27" s="600"/>
    </row>
    <row r="28" spans="1:4" ht="15.75" customHeight="1">
      <c r="A28" s="595" t="s">
        <v>33</v>
      </c>
      <c r="B28" s="599"/>
      <c r="C28" s="599"/>
      <c r="D28" s="600"/>
    </row>
    <row r="29" spans="1:4" ht="15.75" customHeight="1" thickBot="1">
      <c r="A29" s="710" t="s">
        <v>34</v>
      </c>
      <c r="B29" s="599"/>
      <c r="C29" s="599"/>
      <c r="D29" s="600"/>
    </row>
    <row r="30" spans="1:4" ht="15.75" customHeight="1">
      <c r="A30" s="595" t="s">
        <v>35</v>
      </c>
      <c r="B30" s="599"/>
      <c r="C30" s="599"/>
      <c r="D30" s="600"/>
    </row>
    <row r="31" spans="1:4" ht="15.75" customHeight="1" thickBot="1">
      <c r="A31" s="710" t="s">
        <v>36</v>
      </c>
      <c r="B31" s="599"/>
      <c r="C31" s="599"/>
      <c r="D31" s="600"/>
    </row>
    <row r="32" spans="1:4" ht="15.75" customHeight="1">
      <c r="A32" s="595" t="s">
        <v>588</v>
      </c>
      <c r="B32" s="599"/>
      <c r="C32" s="599"/>
      <c r="D32" s="600"/>
    </row>
    <row r="33" spans="1:4" ht="15.75" customHeight="1" thickBot="1">
      <c r="A33" s="710" t="s">
        <v>589</v>
      </c>
      <c r="B33" s="599"/>
      <c r="C33" s="599"/>
      <c r="D33" s="600"/>
    </row>
    <row r="34" spans="1:4" ht="15.75" customHeight="1">
      <c r="A34" s="595" t="s">
        <v>590</v>
      </c>
      <c r="B34" s="599"/>
      <c r="C34" s="599"/>
      <c r="D34" s="600"/>
    </row>
    <row r="35" spans="1:4" ht="15.75" customHeight="1" thickBot="1">
      <c r="A35" s="710" t="s">
        <v>591</v>
      </c>
      <c r="B35" s="599"/>
      <c r="C35" s="599"/>
      <c r="D35" s="600"/>
    </row>
    <row r="36" spans="1:4" ht="15.75" customHeight="1">
      <c r="A36" s="595" t="s">
        <v>592</v>
      </c>
      <c r="B36" s="599"/>
      <c r="C36" s="599"/>
      <c r="D36" s="600"/>
    </row>
    <row r="37" spans="1:4" ht="15.75" customHeight="1" thickBot="1">
      <c r="A37" s="710" t="s">
        <v>650</v>
      </c>
      <c r="B37" s="601"/>
      <c r="C37" s="601"/>
      <c r="D37" s="602"/>
    </row>
    <row r="38" spans="1:4" ht="15.75" customHeight="1" thickBot="1">
      <c r="A38" s="946" t="s">
        <v>41</v>
      </c>
      <c r="B38" s="947"/>
      <c r="C38" s="603"/>
      <c r="D38" s="604">
        <f>SUM(D5:D37)</f>
        <v>6317591</v>
      </c>
    </row>
  </sheetData>
  <sheetProtection/>
  <mergeCells count="3">
    <mergeCell ref="A2:D2"/>
    <mergeCell ref="A38:B38"/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="110" zoomScaleSheetLayoutView="110" zoomScalePageLayoutView="0" workbookViewId="0" topLeftCell="A46">
      <selection activeCell="D69" sqref="D69"/>
    </sheetView>
  </sheetViews>
  <sheetFormatPr defaultColWidth="9.00390625" defaultRowHeight="12.75"/>
  <cols>
    <col min="1" max="1" width="70.125" style="0" customWidth="1"/>
    <col min="2" max="2" width="17.125" style="0" customWidth="1"/>
    <col min="3" max="3" width="17.375" style="0" customWidth="1"/>
    <col min="4" max="4" width="19.375" style="0" customWidth="1"/>
    <col min="5" max="5" width="20.375" style="0" customWidth="1"/>
    <col min="6" max="6" width="16.25390625" style="0" customWidth="1"/>
  </cols>
  <sheetData>
    <row r="1" spans="1:5" ht="20.25" customHeight="1">
      <c r="A1" s="949" t="s">
        <v>820</v>
      </c>
      <c r="B1" s="949"/>
      <c r="C1" s="949"/>
      <c r="D1" s="949"/>
      <c r="E1" s="949"/>
    </row>
    <row r="2" spans="1:5" ht="18.75" customHeight="1">
      <c r="A2" s="950" t="s">
        <v>808</v>
      </c>
      <c r="B2" s="951"/>
      <c r="C2" s="951"/>
      <c r="D2" s="951"/>
      <c r="E2" s="951"/>
    </row>
    <row r="3" spans="1:5" ht="15.75" thickBot="1">
      <c r="A3" s="630"/>
      <c r="B3" s="631"/>
      <c r="C3" s="952" t="s">
        <v>433</v>
      </c>
      <c r="D3" s="952"/>
      <c r="E3" s="952"/>
    </row>
    <row r="4" spans="1:5" ht="12.75">
      <c r="A4" s="953" t="s">
        <v>601</v>
      </c>
      <c r="B4" s="956" t="s">
        <v>581</v>
      </c>
      <c r="C4" s="959" t="s">
        <v>602</v>
      </c>
      <c r="D4" s="959" t="s">
        <v>603</v>
      </c>
      <c r="E4" s="961" t="s">
        <v>604</v>
      </c>
    </row>
    <row r="5" spans="1:5" ht="12.75">
      <c r="A5" s="954"/>
      <c r="B5" s="957"/>
      <c r="C5" s="960"/>
      <c r="D5" s="960"/>
      <c r="E5" s="962"/>
    </row>
    <row r="6" spans="1:5" ht="12.75">
      <c r="A6" s="955"/>
      <c r="B6" s="958"/>
      <c r="C6" s="963" t="s">
        <v>605</v>
      </c>
      <c r="D6" s="963"/>
      <c r="E6" s="964"/>
    </row>
    <row r="7" spans="1:5" ht="13.5" thickBot="1">
      <c r="A7" s="633" t="s">
        <v>606</v>
      </c>
      <c r="B7" s="634" t="s">
        <v>395</v>
      </c>
      <c r="C7" s="634" t="s">
        <v>396</v>
      </c>
      <c r="D7" s="634" t="s">
        <v>398</v>
      </c>
      <c r="E7" s="635" t="s">
        <v>397</v>
      </c>
    </row>
    <row r="8" spans="1:5" ht="12.75">
      <c r="A8" s="636" t="s">
        <v>607</v>
      </c>
      <c r="B8" s="637" t="s">
        <v>608</v>
      </c>
      <c r="C8" s="638">
        <v>71735788</v>
      </c>
      <c r="D8" s="786">
        <v>267716</v>
      </c>
      <c r="E8" s="638">
        <v>71735788</v>
      </c>
    </row>
    <row r="9" spans="1:5" ht="12.75">
      <c r="A9" s="639" t="s">
        <v>609</v>
      </c>
      <c r="B9" s="640" t="s">
        <v>610</v>
      </c>
      <c r="C9" s="641">
        <f>C10+C15+C20+C25+C30</f>
        <v>1155599583</v>
      </c>
      <c r="D9" s="787">
        <f>D10+D15+D20+D25+D30</f>
        <v>847668764</v>
      </c>
      <c r="E9" s="641">
        <f>E10+E15+E20+E25+E30</f>
        <v>1155599583</v>
      </c>
    </row>
    <row r="10" spans="1:5" ht="12.75">
      <c r="A10" s="639" t="s">
        <v>611</v>
      </c>
      <c r="B10" s="640" t="s">
        <v>612</v>
      </c>
      <c r="C10" s="641">
        <f>SUM(C11:C14)</f>
        <v>1053420132</v>
      </c>
      <c r="D10" s="787">
        <f>SUM(D11:D14)</f>
        <v>829583356</v>
      </c>
      <c r="E10" s="641">
        <f>SUM(E11:E14)</f>
        <v>1053420132</v>
      </c>
    </row>
    <row r="11" spans="1:5" ht="12.75">
      <c r="A11" s="642" t="s">
        <v>613</v>
      </c>
      <c r="B11" s="640" t="s">
        <v>614</v>
      </c>
      <c r="C11" s="644">
        <v>242933346</v>
      </c>
      <c r="D11" s="788">
        <v>180855626</v>
      </c>
      <c r="E11" s="644">
        <v>242933346</v>
      </c>
    </row>
    <row r="12" spans="1:5" ht="21">
      <c r="A12" s="642" t="s">
        <v>615</v>
      </c>
      <c r="B12" s="640" t="s">
        <v>616</v>
      </c>
      <c r="C12" s="782"/>
      <c r="D12" s="789"/>
      <c r="E12" s="782"/>
    </row>
    <row r="13" spans="1:5" ht="12.75">
      <c r="A13" s="642" t="s">
        <v>617</v>
      </c>
      <c r="B13" s="640" t="s">
        <v>618</v>
      </c>
      <c r="C13" s="644">
        <v>708928335</v>
      </c>
      <c r="D13" s="788">
        <v>582467119</v>
      </c>
      <c r="E13" s="644">
        <v>708928335</v>
      </c>
    </row>
    <row r="14" spans="1:5" ht="12.75">
      <c r="A14" s="642" t="s">
        <v>619</v>
      </c>
      <c r="B14" s="640" t="s">
        <v>620</v>
      </c>
      <c r="C14" s="644">
        <v>101558451</v>
      </c>
      <c r="D14" s="788">
        <v>66260611</v>
      </c>
      <c r="E14" s="644">
        <v>101558451</v>
      </c>
    </row>
    <row r="15" spans="1:5" ht="12.75">
      <c r="A15" s="639" t="s">
        <v>621</v>
      </c>
      <c r="B15" s="640" t="s">
        <v>622</v>
      </c>
      <c r="C15" s="641">
        <f>SUM(C16:C19)</f>
        <v>102179451</v>
      </c>
      <c r="D15" s="787">
        <f>SUM(D16:D19)</f>
        <v>18085408</v>
      </c>
      <c r="E15" s="641">
        <f>SUM(E16:E19)</f>
        <v>102179451</v>
      </c>
    </row>
    <row r="16" spans="1:5" ht="12.75">
      <c r="A16" s="642" t="s">
        <v>623</v>
      </c>
      <c r="B16" s="640" t="s">
        <v>624</v>
      </c>
      <c r="C16" s="644">
        <v>1408279</v>
      </c>
      <c r="D16" s="788"/>
      <c r="E16" s="644">
        <v>1408279</v>
      </c>
    </row>
    <row r="17" spans="1:5" ht="21">
      <c r="A17" s="642" t="s">
        <v>625</v>
      </c>
      <c r="B17" s="640" t="s">
        <v>18</v>
      </c>
      <c r="C17" s="644"/>
      <c r="D17" s="788"/>
      <c r="E17" s="644"/>
    </row>
    <row r="18" spans="1:5" ht="12.75">
      <c r="A18" s="642" t="s">
        <v>626</v>
      </c>
      <c r="B18" s="640" t="s">
        <v>19</v>
      </c>
      <c r="C18" s="644">
        <v>14071138</v>
      </c>
      <c r="D18" s="788">
        <v>5847510</v>
      </c>
      <c r="E18" s="644">
        <v>14071138</v>
      </c>
    </row>
    <row r="19" spans="1:5" ht="12.75">
      <c r="A19" s="642" t="s">
        <v>627</v>
      </c>
      <c r="B19" s="640" t="s">
        <v>20</v>
      </c>
      <c r="C19" s="644">
        <v>86700034</v>
      </c>
      <c r="D19" s="788">
        <v>12237898</v>
      </c>
      <c r="E19" s="644">
        <v>86700034</v>
      </c>
    </row>
    <row r="20" spans="1:5" ht="12.75">
      <c r="A20" s="639" t="s">
        <v>628</v>
      </c>
      <c r="B20" s="640" t="s">
        <v>21</v>
      </c>
      <c r="C20" s="783"/>
      <c r="D20" s="790"/>
      <c r="E20" s="783"/>
    </row>
    <row r="21" spans="1:5" ht="12.75">
      <c r="A21" s="642" t="s">
        <v>629</v>
      </c>
      <c r="B21" s="640" t="s">
        <v>22</v>
      </c>
      <c r="C21" s="644"/>
      <c r="D21" s="788"/>
      <c r="E21" s="644"/>
    </row>
    <row r="22" spans="1:5" ht="12.75">
      <c r="A22" s="642" t="s">
        <v>630</v>
      </c>
      <c r="B22" s="640" t="s">
        <v>23</v>
      </c>
      <c r="C22" s="644"/>
      <c r="D22" s="788"/>
      <c r="E22" s="644"/>
    </row>
    <row r="23" spans="1:5" ht="12.75">
      <c r="A23" s="642" t="s">
        <v>631</v>
      </c>
      <c r="B23" s="640" t="s">
        <v>24</v>
      </c>
      <c r="C23" s="644"/>
      <c r="D23" s="788"/>
      <c r="E23" s="644"/>
    </row>
    <row r="24" spans="1:5" ht="12.75">
      <c r="A24" s="642" t="s">
        <v>632</v>
      </c>
      <c r="B24" s="640" t="s">
        <v>25</v>
      </c>
      <c r="C24" s="644"/>
      <c r="D24" s="788"/>
      <c r="E24" s="644"/>
    </row>
    <row r="25" spans="1:5" ht="12.75">
      <c r="A25" s="639" t="s">
        <v>633</v>
      </c>
      <c r="B25" s="640" t="s">
        <v>26</v>
      </c>
      <c r="C25" s="645">
        <f>SUM(C26:C29)</f>
        <v>0</v>
      </c>
      <c r="D25" s="791">
        <f>SUM(D26:D29)</f>
        <v>0</v>
      </c>
      <c r="E25" s="645">
        <f>SUM(E26:E29)</f>
        <v>0</v>
      </c>
    </row>
    <row r="26" spans="1:5" ht="12.75">
      <c r="A26" s="642" t="s">
        <v>634</v>
      </c>
      <c r="B26" s="640" t="s">
        <v>27</v>
      </c>
      <c r="C26" s="644"/>
      <c r="D26" s="788"/>
      <c r="E26" s="644"/>
    </row>
    <row r="27" spans="1:5" ht="12.75">
      <c r="A27" s="642" t="s">
        <v>635</v>
      </c>
      <c r="B27" s="640" t="s">
        <v>28</v>
      </c>
      <c r="C27" s="644"/>
      <c r="D27" s="788"/>
      <c r="E27" s="644"/>
    </row>
    <row r="28" spans="1:5" ht="12.75">
      <c r="A28" s="642" t="s">
        <v>636</v>
      </c>
      <c r="B28" s="640" t="s">
        <v>29</v>
      </c>
      <c r="C28" s="644"/>
      <c r="D28" s="788"/>
      <c r="E28" s="644"/>
    </row>
    <row r="29" spans="1:5" ht="12.75">
      <c r="A29" s="642" t="s">
        <v>637</v>
      </c>
      <c r="B29" s="640" t="s">
        <v>30</v>
      </c>
      <c r="C29" s="644"/>
      <c r="D29" s="788"/>
      <c r="E29" s="644"/>
    </row>
    <row r="30" spans="1:5" ht="12.75">
      <c r="A30" s="639" t="s">
        <v>638</v>
      </c>
      <c r="B30" s="640" t="s">
        <v>31</v>
      </c>
      <c r="C30" s="646"/>
      <c r="D30" s="792"/>
      <c r="E30" s="646"/>
    </row>
    <row r="31" spans="1:5" ht="12.75">
      <c r="A31" s="642" t="s">
        <v>639</v>
      </c>
      <c r="B31" s="640" t="s">
        <v>32</v>
      </c>
      <c r="C31" s="644"/>
      <c r="D31" s="788"/>
      <c r="E31" s="644"/>
    </row>
    <row r="32" spans="1:5" ht="21">
      <c r="A32" s="642" t="s">
        <v>640</v>
      </c>
      <c r="B32" s="640" t="s">
        <v>33</v>
      </c>
      <c r="C32" s="644"/>
      <c r="D32" s="788"/>
      <c r="E32" s="644"/>
    </row>
    <row r="33" spans="1:5" ht="12.75">
      <c r="A33" s="642" t="s">
        <v>641</v>
      </c>
      <c r="B33" s="640" t="s">
        <v>34</v>
      </c>
      <c r="C33" s="644"/>
      <c r="D33" s="788"/>
      <c r="E33" s="644"/>
    </row>
    <row r="34" spans="1:5" ht="12.75">
      <c r="A34" s="642" t="s">
        <v>642</v>
      </c>
      <c r="B34" s="640" t="s">
        <v>35</v>
      </c>
      <c r="C34" s="644"/>
      <c r="D34" s="788"/>
      <c r="E34" s="644"/>
    </row>
    <row r="35" spans="1:5" ht="12.75">
      <c r="A35" s="639" t="s">
        <v>643</v>
      </c>
      <c r="B35" s="640" t="s">
        <v>36</v>
      </c>
      <c r="C35" s="645">
        <f>C36+C41+C46+C51</f>
        <v>263630</v>
      </c>
      <c r="D35" s="791">
        <f>D36+D41+D46+D51</f>
        <v>263630</v>
      </c>
      <c r="E35" s="645">
        <f>E36+E41+E46+E51</f>
        <v>263630</v>
      </c>
    </row>
    <row r="36" spans="1:5" ht="12.75">
      <c r="A36" s="639" t="s">
        <v>644</v>
      </c>
      <c r="B36" s="640" t="s">
        <v>588</v>
      </c>
      <c r="C36" s="645">
        <v>263630</v>
      </c>
      <c r="D36" s="791">
        <v>263630</v>
      </c>
      <c r="E36" s="645">
        <v>263630</v>
      </c>
    </row>
    <row r="37" spans="1:5" ht="12.75">
      <c r="A37" s="642" t="s">
        <v>645</v>
      </c>
      <c r="B37" s="640" t="s">
        <v>589</v>
      </c>
      <c r="C37" s="644"/>
      <c r="D37" s="788"/>
      <c r="E37" s="644"/>
    </row>
    <row r="38" spans="1:5" ht="12.75">
      <c r="A38" s="642" t="s">
        <v>646</v>
      </c>
      <c r="B38" s="640" t="s">
        <v>590</v>
      </c>
      <c r="C38" s="644"/>
      <c r="D38" s="788"/>
      <c r="E38" s="644"/>
    </row>
    <row r="39" spans="1:5" ht="12.75">
      <c r="A39" s="642" t="s">
        <v>647</v>
      </c>
      <c r="B39" s="640" t="s">
        <v>591</v>
      </c>
      <c r="C39" s="646">
        <v>263630</v>
      </c>
      <c r="D39" s="793">
        <v>263630</v>
      </c>
      <c r="E39" s="646">
        <v>263630</v>
      </c>
    </row>
    <row r="40" spans="1:5" ht="12.75">
      <c r="A40" s="642" t="s">
        <v>648</v>
      </c>
      <c r="B40" s="640" t="s">
        <v>592</v>
      </c>
      <c r="C40" s="644"/>
      <c r="D40" s="788"/>
      <c r="E40" s="644"/>
    </row>
    <row r="41" spans="1:5" ht="12.75">
      <c r="A41" s="639" t="s">
        <v>649</v>
      </c>
      <c r="B41" s="640" t="s">
        <v>650</v>
      </c>
      <c r="C41" s="646"/>
      <c r="D41" s="792"/>
      <c r="E41" s="646"/>
    </row>
    <row r="42" spans="1:5" ht="12.75">
      <c r="A42" s="642" t="s">
        <v>651</v>
      </c>
      <c r="B42" s="640" t="s">
        <v>652</v>
      </c>
      <c r="C42" s="644"/>
      <c r="D42" s="788"/>
      <c r="E42" s="644"/>
    </row>
    <row r="43" spans="1:5" ht="21">
      <c r="A43" s="642" t="s">
        <v>653</v>
      </c>
      <c r="B43" s="640" t="s">
        <v>654</v>
      </c>
      <c r="C43" s="644"/>
      <c r="D43" s="788"/>
      <c r="E43" s="644"/>
    </row>
    <row r="44" spans="1:5" ht="12.75">
      <c r="A44" s="642" t="s">
        <v>655</v>
      </c>
      <c r="B44" s="640" t="s">
        <v>656</v>
      </c>
      <c r="C44" s="644"/>
      <c r="D44" s="788"/>
      <c r="E44" s="644"/>
    </row>
    <row r="45" spans="1:5" ht="12.75">
      <c r="A45" s="642" t="s">
        <v>657</v>
      </c>
      <c r="B45" s="640" t="s">
        <v>658</v>
      </c>
      <c r="C45" s="644"/>
      <c r="D45" s="788"/>
      <c r="E45" s="644"/>
    </row>
    <row r="46" spans="1:5" ht="12.75">
      <c r="A46" s="639" t="s">
        <v>659</v>
      </c>
      <c r="B46" s="640" t="s">
        <v>660</v>
      </c>
      <c r="C46" s="646"/>
      <c r="D46" s="792"/>
      <c r="E46" s="646"/>
    </row>
    <row r="47" spans="1:5" ht="12.75">
      <c r="A47" s="642" t="s">
        <v>661</v>
      </c>
      <c r="B47" s="640" t="s">
        <v>662</v>
      </c>
      <c r="C47" s="644"/>
      <c r="D47" s="788"/>
      <c r="E47" s="644"/>
    </row>
    <row r="48" spans="1:5" ht="21">
      <c r="A48" s="642" t="s">
        <v>663</v>
      </c>
      <c r="B48" s="640" t="s">
        <v>664</v>
      </c>
      <c r="C48" s="644"/>
      <c r="D48" s="788"/>
      <c r="E48" s="644"/>
    </row>
    <row r="49" spans="1:5" ht="12.75">
      <c r="A49" s="642" t="s">
        <v>665</v>
      </c>
      <c r="B49" s="640" t="s">
        <v>666</v>
      </c>
      <c r="C49" s="644"/>
      <c r="D49" s="788"/>
      <c r="E49" s="644"/>
    </row>
    <row r="50" spans="1:5" ht="12.75">
      <c r="A50" s="642" t="s">
        <v>667</v>
      </c>
      <c r="B50" s="640" t="s">
        <v>668</v>
      </c>
      <c r="C50" s="644"/>
      <c r="D50" s="788"/>
      <c r="E50" s="644"/>
    </row>
    <row r="51" spans="1:5" ht="12.75">
      <c r="A51" s="639" t="s">
        <v>669</v>
      </c>
      <c r="B51" s="640" t="s">
        <v>670</v>
      </c>
      <c r="C51" s="644"/>
      <c r="D51" s="788"/>
      <c r="E51" s="644"/>
    </row>
    <row r="52" spans="1:5" ht="21">
      <c r="A52" s="639" t="s">
        <v>671</v>
      </c>
      <c r="B52" s="640" t="s">
        <v>672</v>
      </c>
      <c r="C52" s="645">
        <f>C8+C9+C35</f>
        <v>1227599001</v>
      </c>
      <c r="D52" s="791">
        <f>D8+D9+D35</f>
        <v>848200110</v>
      </c>
      <c r="E52" s="645">
        <f>E8+E9+E35</f>
        <v>1227599001</v>
      </c>
    </row>
    <row r="53" spans="1:5" ht="12.75">
      <c r="A53" s="639" t="s">
        <v>673</v>
      </c>
      <c r="B53" s="640" t="s">
        <v>674</v>
      </c>
      <c r="C53" s="643">
        <v>520903</v>
      </c>
      <c r="D53" s="794">
        <v>520903</v>
      </c>
      <c r="E53" s="643">
        <v>520903</v>
      </c>
    </row>
    <row r="54" spans="1:5" ht="12.75">
      <c r="A54" s="639" t="s">
        <v>675</v>
      </c>
      <c r="B54" s="640" t="s">
        <v>676</v>
      </c>
      <c r="C54" s="643"/>
      <c r="D54" s="794"/>
      <c r="E54" s="643"/>
    </row>
    <row r="55" spans="1:5" ht="12.75">
      <c r="A55" s="639" t="s">
        <v>677</v>
      </c>
      <c r="B55" s="640" t="s">
        <v>678</v>
      </c>
      <c r="C55" s="785">
        <f>C53+C54</f>
        <v>520903</v>
      </c>
      <c r="D55" s="795">
        <v>520903</v>
      </c>
      <c r="E55" s="785">
        <f>E53+E54</f>
        <v>520903</v>
      </c>
    </row>
    <row r="56" spans="1:5" ht="12.75">
      <c r="A56" s="639" t="s">
        <v>679</v>
      </c>
      <c r="B56" s="640" t="s">
        <v>680</v>
      </c>
      <c r="C56" s="784"/>
      <c r="D56" s="796"/>
      <c r="E56" s="784"/>
    </row>
    <row r="57" spans="1:256" ht="12.75">
      <c r="A57" s="639" t="s">
        <v>681</v>
      </c>
      <c r="B57" s="640" t="s">
        <v>682</v>
      </c>
      <c r="C57" s="643">
        <v>336560</v>
      </c>
      <c r="D57" s="794">
        <v>336560</v>
      </c>
      <c r="E57" s="643">
        <v>336560</v>
      </c>
      <c r="F57" s="800"/>
      <c r="IV57" s="800">
        <f>SUM(C57:IU57)</f>
        <v>1009680</v>
      </c>
    </row>
    <row r="58" spans="1:5" ht="12.75">
      <c r="A58" s="639" t="s">
        <v>683</v>
      </c>
      <c r="B58" s="640" t="s">
        <v>684</v>
      </c>
      <c r="C58" s="643">
        <v>29670749</v>
      </c>
      <c r="D58" s="794">
        <v>29670749</v>
      </c>
      <c r="E58" s="643">
        <v>29670749</v>
      </c>
    </row>
    <row r="59" spans="1:5" ht="12.75">
      <c r="A59" s="639" t="s">
        <v>685</v>
      </c>
      <c r="B59" s="640" t="s">
        <v>686</v>
      </c>
      <c r="C59" s="643"/>
      <c r="D59" s="794"/>
      <c r="E59" s="643"/>
    </row>
    <row r="60" spans="1:5" ht="12.75">
      <c r="A60" s="639" t="s">
        <v>687</v>
      </c>
      <c r="B60" s="640" t="s">
        <v>688</v>
      </c>
      <c r="C60" s="785">
        <f>SUM(C56:C59)</f>
        <v>30007309</v>
      </c>
      <c r="D60" s="795">
        <f>SUM(D56:D59)</f>
        <v>30007309</v>
      </c>
      <c r="E60" s="785">
        <f>SUM(E56:E59)</f>
        <v>30007309</v>
      </c>
    </row>
    <row r="61" spans="1:5" ht="12.75">
      <c r="A61" s="639" t="s">
        <v>689</v>
      </c>
      <c r="B61" s="640" t="s">
        <v>690</v>
      </c>
      <c r="C61" s="643">
        <v>7896220</v>
      </c>
      <c r="D61" s="794">
        <v>7896220</v>
      </c>
      <c r="E61" s="643">
        <v>7896220</v>
      </c>
    </row>
    <row r="62" spans="1:5" ht="12.75">
      <c r="A62" s="639" t="s">
        <v>691</v>
      </c>
      <c r="B62" s="640" t="s">
        <v>692</v>
      </c>
      <c r="C62" s="643">
        <v>1146215</v>
      </c>
      <c r="D62" s="794">
        <v>1146215</v>
      </c>
      <c r="E62" s="643">
        <v>1146215</v>
      </c>
    </row>
    <row r="63" spans="1:5" ht="12.75">
      <c r="A63" s="639" t="s">
        <v>693</v>
      </c>
      <c r="B63" s="640" t="s">
        <v>694</v>
      </c>
      <c r="C63" s="643">
        <v>2685000</v>
      </c>
      <c r="D63" s="794">
        <v>2685000</v>
      </c>
      <c r="E63" s="643">
        <v>2685000</v>
      </c>
    </row>
    <row r="64" spans="1:5" ht="12.75">
      <c r="A64" s="639" t="s">
        <v>695</v>
      </c>
      <c r="B64" s="640" t="s">
        <v>696</v>
      </c>
      <c r="C64" s="785">
        <f>SUM(C61,C62,C63)</f>
        <v>11727435</v>
      </c>
      <c r="D64" s="795">
        <f>SUM(D61:D63)</f>
        <v>11727435</v>
      </c>
      <c r="E64" s="785">
        <f>SUM(E61,E62,E63)</f>
        <v>11727435</v>
      </c>
    </row>
    <row r="65" spans="1:5" ht="12.75">
      <c r="A65" s="639" t="s">
        <v>697</v>
      </c>
      <c r="B65" s="640" t="s">
        <v>698</v>
      </c>
      <c r="C65" s="784"/>
      <c r="D65" s="796"/>
      <c r="E65" s="784"/>
    </row>
    <row r="66" spans="1:5" ht="21">
      <c r="A66" s="639" t="s">
        <v>699</v>
      </c>
      <c r="B66" s="640" t="s">
        <v>700</v>
      </c>
      <c r="C66" s="784"/>
      <c r="D66" s="796"/>
      <c r="E66" s="784"/>
    </row>
    <row r="67" spans="1:5" ht="12.75">
      <c r="A67" s="639" t="s">
        <v>701</v>
      </c>
      <c r="B67" s="640" t="s">
        <v>702</v>
      </c>
      <c r="C67" s="785">
        <v>-47761</v>
      </c>
      <c r="D67" s="795">
        <v>518150</v>
      </c>
      <c r="E67" s="785">
        <v>-47761</v>
      </c>
    </row>
    <row r="68" spans="1:5" ht="12.75">
      <c r="A68" s="639" t="s">
        <v>703</v>
      </c>
      <c r="B68" s="640" t="s">
        <v>704</v>
      </c>
      <c r="C68" s="644"/>
      <c r="D68" s="788"/>
      <c r="E68" s="644"/>
    </row>
    <row r="69" spans="1:5" ht="13.5" thickBot="1">
      <c r="A69" s="647" t="s">
        <v>705</v>
      </c>
      <c r="B69" s="648" t="s">
        <v>706</v>
      </c>
      <c r="C69" s="649">
        <f>C52+C55+C60+C64+C67+C68</f>
        <v>1269806887</v>
      </c>
      <c r="D69" s="797">
        <f>D52+D55+D60+D64+D67+D68</f>
        <v>890973907</v>
      </c>
      <c r="E69" s="649">
        <f>E52+E55+E60+E64+E67+E68</f>
        <v>1269806887</v>
      </c>
    </row>
  </sheetData>
  <sheetProtection/>
  <mergeCells count="9">
    <mergeCell ref="A1:E1"/>
    <mergeCell ref="A2:E2"/>
    <mergeCell ref="C3:E3"/>
    <mergeCell ref="A4:A6"/>
    <mergeCell ref="B4:B6"/>
    <mergeCell ref="C4:C5"/>
    <mergeCell ref="D4:D5"/>
    <mergeCell ref="E4:E5"/>
    <mergeCell ref="C6:E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6.25390625" style="0" customWidth="1"/>
    <col min="2" max="2" width="6.375" style="0" customWidth="1"/>
    <col min="3" max="3" width="20.125" style="0" customWidth="1"/>
  </cols>
  <sheetData>
    <row r="1" spans="1:3" ht="22.5" customHeight="1">
      <c r="A1" s="949" t="s">
        <v>819</v>
      </c>
      <c r="B1" s="949"/>
      <c r="C1" s="949"/>
    </row>
    <row r="2" spans="1:3" ht="36.75" customHeight="1">
      <c r="A2" s="965" t="s">
        <v>707</v>
      </c>
      <c r="B2" s="965"/>
      <c r="C2" s="965"/>
    </row>
    <row r="3" spans="1:3" ht="15">
      <c r="A3" s="966" t="s">
        <v>809</v>
      </c>
      <c r="B3" s="966"/>
      <c r="C3" s="966"/>
    </row>
    <row r="4" spans="1:3" ht="12.75">
      <c r="A4" s="650"/>
      <c r="B4" s="651"/>
      <c r="C4" s="652"/>
    </row>
    <row r="5" spans="1:3" ht="13.5" thickBot="1">
      <c r="A5" s="650"/>
      <c r="B5" s="967" t="s">
        <v>433</v>
      </c>
      <c r="C5" s="967"/>
    </row>
    <row r="6" spans="1:3" ht="12.75">
      <c r="A6" s="968" t="s">
        <v>708</v>
      </c>
      <c r="B6" s="970" t="s">
        <v>581</v>
      </c>
      <c r="C6" s="972" t="s">
        <v>709</v>
      </c>
    </row>
    <row r="7" spans="1:3" ht="12.75">
      <c r="A7" s="969"/>
      <c r="B7" s="971"/>
      <c r="C7" s="973"/>
    </row>
    <row r="8" spans="1:3" ht="13.5" thickBot="1">
      <c r="A8" s="653" t="s">
        <v>394</v>
      </c>
      <c r="B8" s="654" t="s">
        <v>395</v>
      </c>
      <c r="C8" s="655" t="s">
        <v>396</v>
      </c>
    </row>
    <row r="9" spans="1:3" ht="12.75">
      <c r="A9" s="639" t="s">
        <v>710</v>
      </c>
      <c r="B9" s="656" t="s">
        <v>608</v>
      </c>
      <c r="C9" s="657">
        <v>753164511</v>
      </c>
    </row>
    <row r="10" spans="1:3" ht="12.75">
      <c r="A10" s="639" t="s">
        <v>711</v>
      </c>
      <c r="B10" s="640" t="s">
        <v>610</v>
      </c>
      <c r="C10" s="657"/>
    </row>
    <row r="11" spans="1:3" ht="12.75">
      <c r="A11" s="639" t="s">
        <v>712</v>
      </c>
      <c r="B11" s="640" t="s">
        <v>612</v>
      </c>
      <c r="C11" s="657">
        <v>9327046</v>
      </c>
    </row>
    <row r="12" spans="1:3" ht="12.75">
      <c r="A12" s="639" t="s">
        <v>713</v>
      </c>
      <c r="B12" s="640" t="s">
        <v>614</v>
      </c>
      <c r="C12" s="658">
        <v>20174570</v>
      </c>
    </row>
    <row r="13" spans="1:3" ht="12.75">
      <c r="A13" s="639" t="s">
        <v>714</v>
      </c>
      <c r="B13" s="640" t="s">
        <v>616</v>
      </c>
      <c r="C13" s="658"/>
    </row>
    <row r="14" spans="1:3" ht="12.75">
      <c r="A14" s="639" t="s">
        <v>715</v>
      </c>
      <c r="B14" s="640" t="s">
        <v>618</v>
      </c>
      <c r="C14" s="658">
        <v>-52061639</v>
      </c>
    </row>
    <row r="15" spans="1:3" ht="12.75">
      <c r="A15" s="639" t="s">
        <v>716</v>
      </c>
      <c r="B15" s="640" t="s">
        <v>620</v>
      </c>
      <c r="C15" s="659">
        <f>+C9+C10+C11+C12+C13+C14</f>
        <v>730604488</v>
      </c>
    </row>
    <row r="16" spans="1:3" ht="12.75">
      <c r="A16" s="639" t="s">
        <v>717</v>
      </c>
      <c r="B16" s="640" t="s">
        <v>622</v>
      </c>
      <c r="C16" s="781">
        <v>12499659</v>
      </c>
    </row>
    <row r="17" spans="1:3" ht="12.75">
      <c r="A17" s="639" t="s">
        <v>718</v>
      </c>
      <c r="B17" s="640" t="s">
        <v>624</v>
      </c>
      <c r="C17" s="658">
        <v>3140241</v>
      </c>
    </row>
    <row r="18" spans="1:3" ht="12.75">
      <c r="A18" s="639" t="s">
        <v>719</v>
      </c>
      <c r="B18" s="640" t="s">
        <v>18</v>
      </c>
      <c r="C18" s="658">
        <v>1634874</v>
      </c>
    </row>
    <row r="19" spans="1:3" ht="12.75">
      <c r="A19" s="639" t="s">
        <v>720</v>
      </c>
      <c r="B19" s="640" t="s">
        <v>19</v>
      </c>
      <c r="C19" s="659">
        <f>+C16+C17+C18</f>
        <v>17274774</v>
      </c>
    </row>
    <row r="20" spans="1:3" ht="12.75">
      <c r="A20" s="639" t="s">
        <v>721</v>
      </c>
      <c r="B20" s="640" t="s">
        <v>20</v>
      </c>
      <c r="C20" s="658"/>
    </row>
    <row r="21" spans="1:3" ht="12.75">
      <c r="A21" s="639" t="s">
        <v>722</v>
      </c>
      <c r="B21" s="640" t="s">
        <v>21</v>
      </c>
      <c r="C21" s="658">
        <v>143094645</v>
      </c>
    </row>
    <row r="22" spans="1:3" ht="13.5" thickBot="1">
      <c r="A22" s="660" t="s">
        <v>723</v>
      </c>
      <c r="B22" s="648" t="s">
        <v>22</v>
      </c>
      <c r="C22" s="661">
        <f>+C15+C19+C20+C21</f>
        <v>890973907</v>
      </c>
    </row>
  </sheetData>
  <sheetProtection/>
  <mergeCells count="7">
    <mergeCell ref="A1:C1"/>
    <mergeCell ref="A2:C2"/>
    <mergeCell ref="A3:C3"/>
    <mergeCell ref="B5:C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1">
      <selection activeCell="C13" sqref="C13"/>
    </sheetView>
  </sheetViews>
  <sheetFormatPr defaultColWidth="12.00390625" defaultRowHeight="12.75"/>
  <cols>
    <col min="1" max="1" width="58.75390625" style="662" customWidth="1"/>
    <col min="2" max="2" width="6.75390625" style="662" customWidth="1"/>
    <col min="3" max="3" width="17.125" style="662" customWidth="1"/>
    <col min="4" max="4" width="19.125" style="662" customWidth="1"/>
    <col min="5" max="16384" width="12.00390625" style="662" customWidth="1"/>
  </cols>
  <sheetData>
    <row r="1" spans="1:4" ht="15">
      <c r="A1" s="980" t="s">
        <v>818</v>
      </c>
      <c r="B1" s="980"/>
      <c r="C1" s="980"/>
      <c r="D1" s="980"/>
    </row>
    <row r="2" spans="1:4" ht="48" customHeight="1">
      <c r="A2" s="974" t="s">
        <v>810</v>
      </c>
      <c r="B2" s="975"/>
      <c r="C2" s="975"/>
      <c r="D2" s="975"/>
    </row>
    <row r="3" spans="1:4" ht="15.75" thickBot="1">
      <c r="A3" s="976"/>
      <c r="B3" s="976"/>
      <c r="C3" s="976"/>
      <c r="D3" s="976"/>
    </row>
    <row r="4" spans="1:4" ht="43.5" customHeight="1" thickBot="1">
      <c r="A4" s="663" t="s">
        <v>47</v>
      </c>
      <c r="B4" s="632" t="s">
        <v>581</v>
      </c>
      <c r="C4" s="664" t="s">
        <v>724</v>
      </c>
      <c r="D4" s="665" t="s">
        <v>725</v>
      </c>
    </row>
    <row r="5" spans="1:4" ht="15.75" thickBot="1">
      <c r="A5" s="666" t="s">
        <v>394</v>
      </c>
      <c r="B5" s="667" t="s">
        <v>395</v>
      </c>
      <c r="C5" s="667" t="s">
        <v>396</v>
      </c>
      <c r="D5" s="668" t="s">
        <v>398</v>
      </c>
    </row>
    <row r="6" spans="1:4" ht="15.75" customHeight="1">
      <c r="A6" s="669" t="s">
        <v>726</v>
      </c>
      <c r="B6" s="670" t="s">
        <v>9</v>
      </c>
      <c r="C6" s="671">
        <v>74</v>
      </c>
      <c r="D6" s="672">
        <v>45370308</v>
      </c>
    </row>
    <row r="7" spans="1:4" ht="15.75" customHeight="1">
      <c r="A7" s="669" t="s">
        <v>727</v>
      </c>
      <c r="B7" s="673" t="s">
        <v>10</v>
      </c>
      <c r="C7" s="674"/>
      <c r="D7" s="675"/>
    </row>
    <row r="8" spans="1:4" ht="15.75" customHeight="1">
      <c r="A8" s="669" t="s">
        <v>728</v>
      </c>
      <c r="B8" s="673" t="s">
        <v>11</v>
      </c>
      <c r="C8" s="674">
        <v>948</v>
      </c>
      <c r="D8" s="675">
        <v>5518065</v>
      </c>
    </row>
    <row r="9" spans="1:4" ht="15.75" customHeight="1" thickBot="1">
      <c r="A9" s="676" t="s">
        <v>729</v>
      </c>
      <c r="B9" s="677" t="s">
        <v>12</v>
      </c>
      <c r="C9" s="678">
        <v>114</v>
      </c>
      <c r="D9" s="679">
        <v>520903</v>
      </c>
    </row>
    <row r="10" spans="1:4" ht="15.75" customHeight="1" thickBot="1">
      <c r="A10" s="680" t="s">
        <v>730</v>
      </c>
      <c r="B10" s="681" t="s">
        <v>13</v>
      </c>
      <c r="C10" s="682"/>
      <c r="D10" s="683">
        <f>+D11+D12+D13+D14</f>
        <v>0</v>
      </c>
    </row>
    <row r="11" spans="1:4" ht="15.75" customHeight="1">
      <c r="A11" s="684" t="s">
        <v>731</v>
      </c>
      <c r="B11" s="670" t="s">
        <v>14</v>
      </c>
      <c r="C11" s="671"/>
      <c r="D11" s="672"/>
    </row>
    <row r="12" spans="1:4" ht="15.75" customHeight="1">
      <c r="A12" s="669" t="s">
        <v>732</v>
      </c>
      <c r="B12" s="673" t="s">
        <v>15</v>
      </c>
      <c r="C12" s="674"/>
      <c r="D12" s="675"/>
    </row>
    <row r="13" spans="1:4" ht="15.75" customHeight="1">
      <c r="A13" s="669" t="s">
        <v>733</v>
      </c>
      <c r="B13" s="673" t="s">
        <v>16</v>
      </c>
      <c r="C13" s="674"/>
      <c r="D13" s="675"/>
    </row>
    <row r="14" spans="1:4" ht="15.75" customHeight="1" thickBot="1">
      <c r="A14" s="676" t="s">
        <v>734</v>
      </c>
      <c r="B14" s="677" t="s">
        <v>17</v>
      </c>
      <c r="C14" s="678"/>
      <c r="D14" s="679"/>
    </row>
    <row r="15" spans="1:4" ht="15.75" customHeight="1" thickBot="1">
      <c r="A15" s="680" t="s">
        <v>735</v>
      </c>
      <c r="B15" s="681" t="s">
        <v>18</v>
      </c>
      <c r="C15" s="682"/>
      <c r="D15" s="683">
        <f>+D16+D17+D18</f>
        <v>0</v>
      </c>
    </row>
    <row r="16" spans="1:4" ht="15.75" customHeight="1">
      <c r="A16" s="684" t="s">
        <v>736</v>
      </c>
      <c r="B16" s="670" t="s">
        <v>19</v>
      </c>
      <c r="C16" s="671"/>
      <c r="D16" s="672"/>
    </row>
    <row r="17" spans="1:4" ht="15.75" customHeight="1">
      <c r="A17" s="669" t="s">
        <v>737</v>
      </c>
      <c r="B17" s="673" t="s">
        <v>20</v>
      </c>
      <c r="C17" s="674"/>
      <c r="D17" s="675"/>
    </row>
    <row r="18" spans="1:4" ht="15.75" customHeight="1" thickBot="1">
      <c r="A18" s="676" t="s">
        <v>738</v>
      </c>
      <c r="B18" s="677" t="s">
        <v>21</v>
      </c>
      <c r="C18" s="678"/>
      <c r="D18" s="679"/>
    </row>
    <row r="19" spans="1:4" ht="15.75" customHeight="1" thickBot="1">
      <c r="A19" s="680" t="s">
        <v>739</v>
      </c>
      <c r="B19" s="681" t="s">
        <v>22</v>
      </c>
      <c r="C19" s="682"/>
      <c r="D19" s="683">
        <f>+D20+D21+D22</f>
        <v>0</v>
      </c>
    </row>
    <row r="20" spans="1:4" ht="15.75" customHeight="1">
      <c r="A20" s="684" t="s">
        <v>740</v>
      </c>
      <c r="B20" s="670" t="s">
        <v>23</v>
      </c>
      <c r="C20" s="671"/>
      <c r="D20" s="672"/>
    </row>
    <row r="21" spans="1:4" ht="15.75" customHeight="1">
      <c r="A21" s="669" t="s">
        <v>741</v>
      </c>
      <c r="B21" s="673" t="s">
        <v>24</v>
      </c>
      <c r="C21" s="674"/>
      <c r="D21" s="675"/>
    </row>
    <row r="22" spans="1:4" ht="15.75" customHeight="1">
      <c r="A22" s="669" t="s">
        <v>742</v>
      </c>
      <c r="B22" s="673" t="s">
        <v>25</v>
      </c>
      <c r="C22" s="674"/>
      <c r="D22" s="675"/>
    </row>
    <row r="23" spans="1:4" ht="15.75" customHeight="1">
      <c r="A23" s="669" t="s">
        <v>743</v>
      </c>
      <c r="B23" s="673" t="s">
        <v>26</v>
      </c>
      <c r="C23" s="674"/>
      <c r="D23" s="675"/>
    </row>
    <row r="24" spans="1:4" ht="15.75" customHeight="1">
      <c r="A24" s="669"/>
      <c r="B24" s="673" t="s">
        <v>27</v>
      </c>
      <c r="C24" s="674"/>
      <c r="D24" s="675"/>
    </row>
    <row r="25" spans="1:4" ht="15.75" customHeight="1">
      <c r="A25" s="669"/>
      <c r="B25" s="673" t="s">
        <v>28</v>
      </c>
      <c r="C25" s="674"/>
      <c r="D25" s="675"/>
    </row>
    <row r="26" spans="1:4" ht="15.75" customHeight="1">
      <c r="A26" s="669"/>
      <c r="B26" s="673" t="s">
        <v>29</v>
      </c>
      <c r="C26" s="674"/>
      <c r="D26" s="675"/>
    </row>
    <row r="27" spans="1:4" ht="15.75" customHeight="1">
      <c r="A27" s="669"/>
      <c r="B27" s="673" t="s">
        <v>30</v>
      </c>
      <c r="C27" s="674"/>
      <c r="D27" s="675"/>
    </row>
    <row r="28" spans="1:4" ht="15.75" customHeight="1">
      <c r="A28" s="669"/>
      <c r="B28" s="673" t="s">
        <v>31</v>
      </c>
      <c r="C28" s="674"/>
      <c r="D28" s="675"/>
    </row>
    <row r="29" spans="1:4" ht="15.75" customHeight="1">
      <c r="A29" s="669"/>
      <c r="B29" s="673" t="s">
        <v>32</v>
      </c>
      <c r="C29" s="674"/>
      <c r="D29" s="675"/>
    </row>
    <row r="30" spans="1:4" ht="15.75" customHeight="1">
      <c r="A30" s="669"/>
      <c r="B30" s="673" t="s">
        <v>33</v>
      </c>
      <c r="C30" s="674"/>
      <c r="D30" s="675"/>
    </row>
    <row r="31" spans="1:4" ht="15.75" customHeight="1">
      <c r="A31" s="669"/>
      <c r="B31" s="673" t="s">
        <v>34</v>
      </c>
      <c r="C31" s="674"/>
      <c r="D31" s="675"/>
    </row>
    <row r="32" spans="1:4" ht="15.75" customHeight="1">
      <c r="A32" s="669"/>
      <c r="B32" s="673" t="s">
        <v>35</v>
      </c>
      <c r="C32" s="674"/>
      <c r="D32" s="675"/>
    </row>
    <row r="33" spans="1:4" ht="15.75" customHeight="1">
      <c r="A33" s="669"/>
      <c r="B33" s="673" t="s">
        <v>36</v>
      </c>
      <c r="C33" s="674"/>
      <c r="D33" s="675"/>
    </row>
    <row r="34" spans="1:4" ht="15.75" customHeight="1">
      <c r="A34" s="669"/>
      <c r="B34" s="673" t="s">
        <v>588</v>
      </c>
      <c r="C34" s="674"/>
      <c r="D34" s="675"/>
    </row>
    <row r="35" spans="1:4" ht="15.75" customHeight="1">
      <c r="A35" s="669"/>
      <c r="B35" s="673" t="s">
        <v>589</v>
      </c>
      <c r="C35" s="674"/>
      <c r="D35" s="675"/>
    </row>
    <row r="36" spans="1:4" ht="15.75" customHeight="1">
      <c r="A36" s="669"/>
      <c r="B36" s="673" t="s">
        <v>590</v>
      </c>
      <c r="C36" s="674"/>
      <c r="D36" s="675"/>
    </row>
    <row r="37" spans="1:4" ht="15.75" customHeight="1">
      <c r="A37" s="669"/>
      <c r="B37" s="673" t="s">
        <v>591</v>
      </c>
      <c r="C37" s="674"/>
      <c r="D37" s="675"/>
    </row>
    <row r="38" spans="1:4" ht="15.75" customHeight="1" thickBot="1">
      <c r="A38" s="676"/>
      <c r="B38" s="677" t="s">
        <v>592</v>
      </c>
      <c r="C38" s="678"/>
      <c r="D38" s="679"/>
    </row>
    <row r="39" spans="1:6" ht="15.75" customHeight="1" thickBot="1">
      <c r="A39" s="977" t="s">
        <v>744</v>
      </c>
      <c r="B39" s="978"/>
      <c r="C39" s="685"/>
      <c r="D39" s="683">
        <f>+D6+D7+D8+D9+D10+D15+D19+D23+D24+D25+D26+D27+D28+D29+D30+D31+D32+D33+D34+D35+D36+D37+D38</f>
        <v>51409276</v>
      </c>
      <c r="F39" s="686"/>
    </row>
    <row r="40" ht="15">
      <c r="A40" s="687" t="s">
        <v>745</v>
      </c>
    </row>
    <row r="41" spans="1:4" ht="15">
      <c r="A41" s="688"/>
      <c r="B41" s="689"/>
      <c r="C41" s="979"/>
      <c r="D41" s="979"/>
    </row>
    <row r="42" spans="1:4" ht="15">
      <c r="A42" s="688"/>
      <c r="B42" s="689"/>
      <c r="C42" s="690"/>
      <c r="D42" s="690"/>
    </row>
    <row r="43" spans="1:4" ht="15">
      <c r="A43" s="689"/>
      <c r="B43" s="689"/>
      <c r="C43" s="979"/>
      <c r="D43" s="979"/>
    </row>
    <row r="44" spans="1:2" ht="15">
      <c r="A44" s="691"/>
      <c r="B44" s="691"/>
    </row>
    <row r="45" spans="1:3" ht="15">
      <c r="A45" s="691"/>
      <c r="B45" s="691"/>
      <c r="C45" s="691"/>
    </row>
  </sheetData>
  <sheetProtection/>
  <mergeCells count="6">
    <mergeCell ref="A2:D2"/>
    <mergeCell ref="A3:D3"/>
    <mergeCell ref="A39:B39"/>
    <mergeCell ref="C41:D41"/>
    <mergeCell ref="C43:D43"/>
    <mergeCell ref="A1:D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workbookViewId="0" topLeftCell="A1">
      <selection activeCell="G12" sqref="G12"/>
    </sheetView>
  </sheetViews>
  <sheetFormatPr defaultColWidth="9.00390625" defaultRowHeight="12.75"/>
  <cols>
    <col min="1" max="1" width="56.375" style="0" customWidth="1"/>
    <col min="2" max="2" width="3.25390625" style="0" customWidth="1"/>
    <col min="3" max="3" width="13.25390625" style="0" customWidth="1"/>
    <col min="4" max="4" width="17.75390625" style="0" customWidth="1"/>
  </cols>
  <sheetData>
    <row r="1" spans="1:4" ht="15">
      <c r="A1" s="949" t="s">
        <v>817</v>
      </c>
      <c r="B1" s="949"/>
      <c r="C1" s="949"/>
      <c r="D1" s="949"/>
    </row>
    <row r="2" spans="1:4" ht="43.5" customHeight="1">
      <c r="A2" s="981" t="s">
        <v>811</v>
      </c>
      <c r="B2" s="982"/>
      <c r="C2" s="982"/>
      <c r="D2" s="982"/>
    </row>
    <row r="3" spans="1:4" ht="15.75" thickBot="1">
      <c r="A3" s="976"/>
      <c r="B3" s="983"/>
      <c r="C3" s="983"/>
      <c r="D3" s="983"/>
    </row>
    <row r="4" spans="1:4" ht="78" thickBot="1">
      <c r="A4" s="692" t="s">
        <v>47</v>
      </c>
      <c r="B4" s="632" t="s">
        <v>581</v>
      </c>
      <c r="C4" s="693" t="s">
        <v>746</v>
      </c>
      <c r="D4" s="694" t="s">
        <v>725</v>
      </c>
    </row>
    <row r="5" spans="1:4" ht="13.5" thickBot="1">
      <c r="A5" s="695" t="s">
        <v>394</v>
      </c>
      <c r="B5" s="696" t="s">
        <v>395</v>
      </c>
      <c r="C5" s="696" t="s">
        <v>396</v>
      </c>
      <c r="D5" s="697" t="s">
        <v>398</v>
      </c>
    </row>
    <row r="6" spans="1:4" ht="12.75">
      <c r="A6" s="698" t="s">
        <v>747</v>
      </c>
      <c r="B6" s="670" t="s">
        <v>9</v>
      </c>
      <c r="C6" s="671"/>
      <c r="D6" s="672"/>
    </row>
    <row r="7" spans="1:4" ht="12.75">
      <c r="A7" s="698" t="s">
        <v>748</v>
      </c>
      <c r="B7" s="673" t="s">
        <v>10</v>
      </c>
      <c r="C7" s="674"/>
      <c r="D7" s="675"/>
    </row>
    <row r="8" spans="1:4" ht="13.5" thickBot="1">
      <c r="A8" s="699" t="s">
        <v>749</v>
      </c>
      <c r="B8" s="677" t="s">
        <v>11</v>
      </c>
      <c r="C8" s="678"/>
      <c r="D8" s="679"/>
    </row>
    <row r="9" spans="1:4" ht="13.5" thickBot="1">
      <c r="A9" s="680" t="s">
        <v>750</v>
      </c>
      <c r="B9" s="681" t="s">
        <v>12</v>
      </c>
      <c r="C9" s="682"/>
      <c r="D9" s="683">
        <f>+D6+D7+D8</f>
        <v>0</v>
      </c>
    </row>
    <row r="10" spans="1:4" ht="12.75">
      <c r="A10" s="700" t="s">
        <v>751</v>
      </c>
      <c r="B10" s="670" t="s">
        <v>13</v>
      </c>
      <c r="C10" s="671"/>
      <c r="D10" s="672"/>
    </row>
    <row r="11" spans="1:4" ht="12.75">
      <c r="A11" s="698" t="s">
        <v>752</v>
      </c>
      <c r="B11" s="673" t="s">
        <v>14</v>
      </c>
      <c r="C11" s="674"/>
      <c r="D11" s="675"/>
    </row>
    <row r="12" spans="1:4" ht="12.75">
      <c r="A12" s="698" t="s">
        <v>753</v>
      </c>
      <c r="B12" s="673" t="s">
        <v>15</v>
      </c>
      <c r="C12" s="674"/>
      <c r="D12" s="675"/>
    </row>
    <row r="13" spans="1:4" ht="12.75">
      <c r="A13" s="698" t="s">
        <v>754</v>
      </c>
      <c r="B13" s="673" t="s">
        <v>16</v>
      </c>
      <c r="C13" s="674">
        <v>3</v>
      </c>
      <c r="D13" s="675">
        <v>5886202</v>
      </c>
    </row>
    <row r="14" spans="1:4" ht="13.5" thickBot="1">
      <c r="A14" s="699" t="s">
        <v>755</v>
      </c>
      <c r="B14" s="677" t="s">
        <v>17</v>
      </c>
      <c r="C14" s="678"/>
      <c r="D14" s="679"/>
    </row>
    <row r="15" spans="1:4" ht="13.5" thickBot="1">
      <c r="A15" s="680" t="s">
        <v>756</v>
      </c>
      <c r="B15" s="681" t="s">
        <v>18</v>
      </c>
      <c r="C15" s="701"/>
      <c r="D15" s="683">
        <f>+D10+D11+D12+D13+D14</f>
        <v>5886202</v>
      </c>
    </row>
    <row r="16" spans="1:4" ht="12.75">
      <c r="A16" s="700"/>
      <c r="B16" s="670" t="s">
        <v>19</v>
      </c>
      <c r="C16" s="671"/>
      <c r="D16" s="672"/>
    </row>
    <row r="17" spans="1:4" ht="12.75">
      <c r="A17" s="698"/>
      <c r="B17" s="673" t="s">
        <v>20</v>
      </c>
      <c r="C17" s="674"/>
      <c r="D17" s="675"/>
    </row>
    <row r="18" spans="1:4" ht="12.75">
      <c r="A18" s="698"/>
      <c r="B18" s="673" t="s">
        <v>21</v>
      </c>
      <c r="C18" s="674"/>
      <c r="D18" s="675"/>
    </row>
    <row r="19" spans="1:4" ht="12.75">
      <c r="A19" s="698"/>
      <c r="B19" s="673" t="s">
        <v>22</v>
      </c>
      <c r="C19" s="674"/>
      <c r="D19" s="675"/>
    </row>
    <row r="20" spans="1:4" ht="12.75">
      <c r="A20" s="698"/>
      <c r="B20" s="673" t="s">
        <v>23</v>
      </c>
      <c r="C20" s="674"/>
      <c r="D20" s="675"/>
    </row>
    <row r="21" spans="1:4" ht="12.75">
      <c r="A21" s="698"/>
      <c r="B21" s="673" t="s">
        <v>24</v>
      </c>
      <c r="C21" s="674"/>
      <c r="D21" s="675"/>
    </row>
    <row r="22" spans="1:4" ht="12.75">
      <c r="A22" s="698"/>
      <c r="B22" s="673" t="s">
        <v>25</v>
      </c>
      <c r="C22" s="674"/>
      <c r="D22" s="675"/>
    </row>
    <row r="23" spans="1:4" ht="12.75">
      <c r="A23" s="698"/>
      <c r="B23" s="673" t="s">
        <v>26</v>
      </c>
      <c r="C23" s="674"/>
      <c r="D23" s="675"/>
    </row>
    <row r="24" spans="1:4" ht="12.75">
      <c r="A24" s="698"/>
      <c r="B24" s="673" t="s">
        <v>27</v>
      </c>
      <c r="C24" s="674"/>
      <c r="D24" s="675"/>
    </row>
    <row r="25" spans="1:4" ht="12.75">
      <c r="A25" s="698"/>
      <c r="B25" s="673" t="s">
        <v>28</v>
      </c>
      <c r="C25" s="674"/>
      <c r="D25" s="675"/>
    </row>
    <row r="26" spans="1:4" ht="12.75">
      <c r="A26" s="698"/>
      <c r="B26" s="673" t="s">
        <v>29</v>
      </c>
      <c r="C26" s="674"/>
      <c r="D26" s="675"/>
    </row>
    <row r="27" spans="1:4" ht="12.75">
      <c r="A27" s="698"/>
      <c r="B27" s="673" t="s">
        <v>30</v>
      </c>
      <c r="C27" s="674"/>
      <c r="D27" s="675"/>
    </row>
    <row r="28" spans="1:4" ht="12.75">
      <c r="A28" s="698"/>
      <c r="B28" s="673" t="s">
        <v>31</v>
      </c>
      <c r="C28" s="674"/>
      <c r="D28" s="675"/>
    </row>
    <row r="29" spans="1:4" ht="12.75">
      <c r="A29" s="698"/>
      <c r="B29" s="673" t="s">
        <v>32</v>
      </c>
      <c r="C29" s="674"/>
      <c r="D29" s="675"/>
    </row>
    <row r="30" spans="1:4" ht="12.75">
      <c r="A30" s="698"/>
      <c r="B30" s="673" t="s">
        <v>33</v>
      </c>
      <c r="C30" s="674"/>
      <c r="D30" s="675"/>
    </row>
    <row r="31" spans="1:4" ht="12.75">
      <c r="A31" s="698"/>
      <c r="B31" s="673" t="s">
        <v>34</v>
      </c>
      <c r="C31" s="674"/>
      <c r="D31" s="675"/>
    </row>
    <row r="32" spans="1:4" ht="12.75">
      <c r="A32" s="698"/>
      <c r="B32" s="673" t="s">
        <v>35</v>
      </c>
      <c r="C32" s="674"/>
      <c r="D32" s="675"/>
    </row>
    <row r="33" spans="1:4" ht="12.75">
      <c r="A33" s="698"/>
      <c r="B33" s="673" t="s">
        <v>36</v>
      </c>
      <c r="C33" s="674"/>
      <c r="D33" s="675"/>
    </row>
    <row r="34" spans="1:4" ht="12.75">
      <c r="A34" s="698"/>
      <c r="B34" s="673" t="s">
        <v>588</v>
      </c>
      <c r="C34" s="674"/>
      <c r="D34" s="675"/>
    </row>
    <row r="35" spans="1:4" ht="12.75">
      <c r="A35" s="698"/>
      <c r="B35" s="673" t="s">
        <v>589</v>
      </c>
      <c r="C35" s="674"/>
      <c r="D35" s="675"/>
    </row>
    <row r="36" spans="1:4" ht="12.75">
      <c r="A36" s="698"/>
      <c r="B36" s="673" t="s">
        <v>590</v>
      </c>
      <c r="C36" s="674"/>
      <c r="D36" s="675"/>
    </row>
    <row r="37" spans="1:4" ht="12.75">
      <c r="A37" s="698"/>
      <c r="B37" s="673" t="s">
        <v>591</v>
      </c>
      <c r="C37" s="674"/>
      <c r="D37" s="675"/>
    </row>
    <row r="38" spans="1:4" ht="13.5" thickBot="1">
      <c r="A38" s="702"/>
      <c r="B38" s="703" t="s">
        <v>592</v>
      </c>
      <c r="C38" s="704"/>
      <c r="D38" s="705"/>
    </row>
    <row r="39" spans="1:4" ht="13.5" thickBot="1">
      <c r="A39" s="984" t="s">
        <v>757</v>
      </c>
      <c r="B39" s="985"/>
      <c r="C39" s="685"/>
      <c r="D39" s="683">
        <f>+D9+D15+SUM(D16:D38)</f>
        <v>5886202</v>
      </c>
    </row>
  </sheetData>
  <sheetProtection/>
  <mergeCells count="4">
    <mergeCell ref="A2:D2"/>
    <mergeCell ref="A3:D3"/>
    <mergeCell ref="A39:B39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90" zoomScaleNormal="115" zoomScaleSheetLayoutView="90" workbookViewId="0" topLeftCell="A7">
      <selection activeCell="I32" sqref="I32"/>
    </sheetView>
  </sheetViews>
  <sheetFormatPr defaultColWidth="9.25390625" defaultRowHeight="12.75"/>
  <cols>
    <col min="1" max="1" width="6.75390625" style="36" customWidth="1"/>
    <col min="2" max="2" width="55.125" style="74" customWidth="1"/>
    <col min="3" max="3" width="17.25390625" style="74" customWidth="1"/>
    <col min="4" max="4" width="16.25390625" style="36" customWidth="1"/>
    <col min="5" max="5" width="18.125" style="36" customWidth="1"/>
    <col min="6" max="6" width="55.125" style="36" customWidth="1"/>
    <col min="7" max="8" width="18.375" style="36" customWidth="1"/>
    <col min="9" max="9" width="17.75390625" style="36" customWidth="1"/>
    <col min="10" max="10" width="4.75390625" style="36" customWidth="1"/>
    <col min="11" max="16384" width="9.25390625" style="36" customWidth="1"/>
  </cols>
  <sheetData>
    <row r="1" spans="2:10" ht="39.75" customHeight="1">
      <c r="B1" s="124" t="s">
        <v>97</v>
      </c>
      <c r="C1" s="124"/>
      <c r="D1" s="125"/>
      <c r="E1" s="125"/>
      <c r="F1" s="125"/>
      <c r="G1" s="125"/>
      <c r="H1" s="125"/>
      <c r="I1" s="125"/>
      <c r="J1" s="832" t="s">
        <v>802</v>
      </c>
    </row>
    <row r="2" spans="9:10" ht="13.5" thickBot="1">
      <c r="I2" s="126" t="s">
        <v>426</v>
      </c>
      <c r="J2" s="832"/>
    </row>
    <row r="3" spans="1:10" ht="18" customHeight="1" thickBot="1">
      <c r="A3" s="830" t="s">
        <v>49</v>
      </c>
      <c r="B3" s="127" t="s">
        <v>44</v>
      </c>
      <c r="C3" s="250"/>
      <c r="D3" s="128"/>
      <c r="E3" s="250"/>
      <c r="F3" s="127" t="s">
        <v>45</v>
      </c>
      <c r="G3" s="251"/>
      <c r="H3" s="251"/>
      <c r="I3" s="129"/>
      <c r="J3" s="832"/>
    </row>
    <row r="4" spans="1:10" s="130" customFormat="1" ht="42.75" customHeight="1" thickBot="1">
      <c r="A4" s="831"/>
      <c r="B4" s="75" t="s">
        <v>47</v>
      </c>
      <c r="C4" s="31" t="s">
        <v>772</v>
      </c>
      <c r="D4" s="237" t="s">
        <v>773</v>
      </c>
      <c r="E4" s="289" t="s">
        <v>774</v>
      </c>
      <c r="F4" s="75" t="s">
        <v>47</v>
      </c>
      <c r="G4" s="31" t="s">
        <v>772</v>
      </c>
      <c r="H4" s="237" t="s">
        <v>773</v>
      </c>
      <c r="I4" s="289" t="s">
        <v>774</v>
      </c>
      <c r="J4" s="832"/>
    </row>
    <row r="5" spans="1:10" s="135" customFormat="1" ht="12" customHeight="1" thickBot="1">
      <c r="A5" s="131" t="s">
        <v>394</v>
      </c>
      <c r="B5" s="132" t="s">
        <v>395</v>
      </c>
      <c r="C5" s="133" t="s">
        <v>396</v>
      </c>
      <c r="D5" s="133" t="s">
        <v>398</v>
      </c>
      <c r="E5" s="304" t="s">
        <v>397</v>
      </c>
      <c r="F5" s="132" t="s">
        <v>399</v>
      </c>
      <c r="G5" s="134" t="s">
        <v>400</v>
      </c>
      <c r="H5" s="134" t="s">
        <v>401</v>
      </c>
      <c r="I5" s="134" t="s">
        <v>429</v>
      </c>
      <c r="J5" s="832"/>
    </row>
    <row r="6" spans="1:10" ht="12.75" customHeight="1">
      <c r="A6" s="136" t="s">
        <v>9</v>
      </c>
      <c r="B6" s="137" t="s">
        <v>285</v>
      </c>
      <c r="C6" s="801">
        <v>82334276</v>
      </c>
      <c r="D6" s="803">
        <v>77957117</v>
      </c>
      <c r="E6" s="305">
        <v>68917420</v>
      </c>
      <c r="F6" s="137" t="s">
        <v>48</v>
      </c>
      <c r="G6" s="739">
        <v>68097791</v>
      </c>
      <c r="H6" s="333">
        <v>102547165</v>
      </c>
      <c r="I6" s="281">
        <v>97313409</v>
      </c>
      <c r="J6" s="832"/>
    </row>
    <row r="7" spans="1:10" ht="12.75" customHeight="1">
      <c r="A7" s="138" t="s">
        <v>10</v>
      </c>
      <c r="B7" s="139" t="s">
        <v>286</v>
      </c>
      <c r="C7" s="743">
        <v>64018497</v>
      </c>
      <c r="D7" s="326">
        <v>102975723</v>
      </c>
      <c r="E7" s="306">
        <v>83663182</v>
      </c>
      <c r="F7" s="139" t="s">
        <v>122</v>
      </c>
      <c r="G7" s="740">
        <v>10981087</v>
      </c>
      <c r="H7" s="334">
        <v>16070229</v>
      </c>
      <c r="I7" s="282">
        <v>13393261</v>
      </c>
      <c r="J7" s="832"/>
    </row>
    <row r="8" spans="1:10" ht="12.75" customHeight="1">
      <c r="A8" s="138" t="s">
        <v>11</v>
      </c>
      <c r="B8" s="139" t="s">
        <v>304</v>
      </c>
      <c r="C8" s="743">
        <v>15472270</v>
      </c>
      <c r="D8" s="326">
        <v>15472270</v>
      </c>
      <c r="E8" s="306">
        <v>3492818</v>
      </c>
      <c r="F8" s="139" t="s">
        <v>146</v>
      </c>
      <c r="G8" s="740">
        <v>65691371</v>
      </c>
      <c r="H8" s="334">
        <v>73176847</v>
      </c>
      <c r="I8" s="282">
        <v>50512963</v>
      </c>
      <c r="J8" s="832"/>
    </row>
    <row r="9" spans="1:10" ht="12.75" customHeight="1">
      <c r="A9" s="138" t="s">
        <v>12</v>
      </c>
      <c r="B9" s="139" t="s">
        <v>113</v>
      </c>
      <c r="C9" s="743">
        <v>3010000</v>
      </c>
      <c r="D9" s="326">
        <v>3010000</v>
      </c>
      <c r="E9" s="306">
        <v>3256690</v>
      </c>
      <c r="F9" s="139" t="s">
        <v>123</v>
      </c>
      <c r="G9" s="740">
        <v>20700000</v>
      </c>
      <c r="H9" s="334">
        <v>23959653</v>
      </c>
      <c r="I9" s="282">
        <v>23609653</v>
      </c>
      <c r="J9" s="832"/>
    </row>
    <row r="10" spans="1:10" ht="12.75" customHeight="1">
      <c r="A10" s="138" t="s">
        <v>13</v>
      </c>
      <c r="B10" s="140" t="s">
        <v>324</v>
      </c>
      <c r="C10" s="743">
        <v>10168508</v>
      </c>
      <c r="D10" s="326">
        <v>12880658</v>
      </c>
      <c r="E10" s="306">
        <v>18970324</v>
      </c>
      <c r="F10" s="139" t="s">
        <v>124</v>
      </c>
      <c r="G10" s="740">
        <v>18832693</v>
      </c>
      <c r="H10" s="334">
        <v>6865210</v>
      </c>
      <c r="I10" s="282">
        <v>6317591</v>
      </c>
      <c r="J10" s="832"/>
    </row>
    <row r="11" spans="1:10" ht="12.75" customHeight="1">
      <c r="A11" s="138" t="s">
        <v>14</v>
      </c>
      <c r="B11" s="139" t="s">
        <v>287</v>
      </c>
      <c r="C11" s="328"/>
      <c r="D11" s="326"/>
      <c r="E11" s="307"/>
      <c r="F11" s="139" t="s">
        <v>40</v>
      </c>
      <c r="G11" s="334"/>
      <c r="H11" s="334"/>
      <c r="I11" s="282"/>
      <c r="J11" s="832"/>
    </row>
    <row r="12" spans="1:10" ht="12.75" customHeight="1">
      <c r="A12" s="138" t="s">
        <v>15</v>
      </c>
      <c r="B12" s="139" t="s">
        <v>382</v>
      </c>
      <c r="C12" s="328"/>
      <c r="D12" s="326"/>
      <c r="E12" s="306"/>
      <c r="F12" s="35"/>
      <c r="G12" s="334"/>
      <c r="H12" s="334"/>
      <c r="I12" s="282"/>
      <c r="J12" s="832"/>
    </row>
    <row r="13" spans="1:10" ht="12.75" customHeight="1">
      <c r="A13" s="138" t="s">
        <v>16</v>
      </c>
      <c r="B13" s="35"/>
      <c r="C13" s="328"/>
      <c r="D13" s="326"/>
      <c r="E13" s="306"/>
      <c r="F13" s="35"/>
      <c r="G13" s="334"/>
      <c r="H13" s="334"/>
      <c r="I13" s="282"/>
      <c r="J13" s="832"/>
    </row>
    <row r="14" spans="1:10" ht="12.75" customHeight="1">
      <c r="A14" s="138" t="s">
        <v>17</v>
      </c>
      <c r="B14" s="197"/>
      <c r="C14" s="328"/>
      <c r="D14" s="326"/>
      <c r="E14" s="307"/>
      <c r="F14" s="35"/>
      <c r="G14" s="334"/>
      <c r="H14" s="334"/>
      <c r="I14" s="282"/>
      <c r="J14" s="832"/>
    </row>
    <row r="15" spans="1:10" ht="12.75" customHeight="1">
      <c r="A15" s="138" t="s">
        <v>18</v>
      </c>
      <c r="B15" s="35"/>
      <c r="C15" s="328"/>
      <c r="D15" s="326"/>
      <c r="E15" s="306"/>
      <c r="F15" s="35"/>
      <c r="G15" s="334"/>
      <c r="H15" s="334"/>
      <c r="I15" s="282"/>
      <c r="J15" s="832"/>
    </row>
    <row r="16" spans="1:10" ht="12.75" customHeight="1">
      <c r="A16" s="138" t="s">
        <v>19</v>
      </c>
      <c r="B16" s="35"/>
      <c r="C16" s="328"/>
      <c r="D16" s="326"/>
      <c r="E16" s="306"/>
      <c r="F16" s="35"/>
      <c r="G16" s="334"/>
      <c r="H16" s="334"/>
      <c r="I16" s="282"/>
      <c r="J16" s="832"/>
    </row>
    <row r="17" spans="1:10" ht="12.75" customHeight="1" thickBot="1">
      <c r="A17" s="138" t="s">
        <v>20</v>
      </c>
      <c r="B17" s="37"/>
      <c r="C17" s="802"/>
      <c r="D17" s="804"/>
      <c r="E17" s="308"/>
      <c r="F17" s="35"/>
      <c r="G17" s="335"/>
      <c r="H17" s="335"/>
      <c r="I17" s="283"/>
      <c r="J17" s="832"/>
    </row>
    <row r="18" spans="1:10" ht="15.75" customHeight="1" thickBot="1">
      <c r="A18" s="141" t="s">
        <v>21</v>
      </c>
      <c r="B18" s="58" t="s">
        <v>383</v>
      </c>
      <c r="C18" s="123">
        <f>SUM(C6:C17)-C8</f>
        <v>159531281</v>
      </c>
      <c r="D18" s="123">
        <f>SUM(D6:D17)-D8</f>
        <v>196823498</v>
      </c>
      <c r="E18" s="123">
        <f>SUM(E6:E17)-E8</f>
        <v>174807616</v>
      </c>
      <c r="F18" s="58" t="s">
        <v>293</v>
      </c>
      <c r="G18" s="284">
        <f>SUM(G6:G17)</f>
        <v>184302942</v>
      </c>
      <c r="H18" s="284">
        <f>SUM(H6:H17)</f>
        <v>222619104</v>
      </c>
      <c r="I18" s="284">
        <f>SUM(I6:I17)</f>
        <v>191146877</v>
      </c>
      <c r="J18" s="832"/>
    </row>
    <row r="19" spans="1:10" ht="12.75" customHeight="1">
      <c r="A19" s="142" t="s">
        <v>22</v>
      </c>
      <c r="B19" s="143" t="s">
        <v>290</v>
      </c>
      <c r="C19" s="737">
        <f>SUM(C20:C23)</f>
        <v>26887902</v>
      </c>
      <c r="D19" s="737">
        <f>SUM(D20:D23)</f>
        <v>27911847</v>
      </c>
      <c r="E19" s="737">
        <f>SUM(E20:E23)</f>
        <v>27911847</v>
      </c>
      <c r="F19" s="144" t="s">
        <v>130</v>
      </c>
      <c r="G19" s="336"/>
      <c r="H19" s="336"/>
      <c r="I19" s="285"/>
      <c r="J19" s="832"/>
    </row>
    <row r="20" spans="1:10" ht="12.75" customHeight="1">
      <c r="A20" s="145" t="s">
        <v>23</v>
      </c>
      <c r="B20" s="144" t="s">
        <v>139</v>
      </c>
      <c r="C20" s="738">
        <v>26887902</v>
      </c>
      <c r="D20" s="60">
        <v>27911847</v>
      </c>
      <c r="E20" s="309">
        <v>27911847</v>
      </c>
      <c r="F20" s="144" t="s">
        <v>292</v>
      </c>
      <c r="G20" s="46"/>
      <c r="H20" s="46"/>
      <c r="I20" s="282"/>
      <c r="J20" s="832"/>
    </row>
    <row r="21" spans="1:10" ht="12.75" customHeight="1">
      <c r="A21" s="145" t="s">
        <v>24</v>
      </c>
      <c r="B21" s="144" t="s">
        <v>140</v>
      </c>
      <c r="C21" s="738"/>
      <c r="D21" s="60"/>
      <c r="E21" s="309"/>
      <c r="F21" s="144" t="s">
        <v>95</v>
      </c>
      <c r="G21" s="46"/>
      <c r="H21" s="46"/>
      <c r="I21" s="282"/>
      <c r="J21" s="832"/>
    </row>
    <row r="22" spans="1:10" ht="12.75" customHeight="1">
      <c r="A22" s="145" t="s">
        <v>25</v>
      </c>
      <c r="B22" s="144" t="s">
        <v>144</v>
      </c>
      <c r="C22" s="738"/>
      <c r="D22" s="60"/>
      <c r="E22" s="309"/>
      <c r="F22" s="144" t="s">
        <v>96</v>
      </c>
      <c r="G22" s="46"/>
      <c r="H22" s="46"/>
      <c r="I22" s="282"/>
      <c r="J22" s="832"/>
    </row>
    <row r="23" spans="1:10" ht="12.75" customHeight="1">
      <c r="A23" s="145" t="s">
        <v>26</v>
      </c>
      <c r="B23" s="144" t="s">
        <v>145</v>
      </c>
      <c r="C23" s="738"/>
      <c r="D23" s="330"/>
      <c r="E23" s="310"/>
      <c r="F23" s="143" t="s">
        <v>147</v>
      </c>
      <c r="G23" s="46"/>
      <c r="H23" s="46"/>
      <c r="I23" s="282"/>
      <c r="J23" s="832"/>
    </row>
    <row r="24" spans="1:10" ht="12.75" customHeight="1">
      <c r="A24" s="145" t="s">
        <v>27</v>
      </c>
      <c r="B24" s="144" t="s">
        <v>291</v>
      </c>
      <c r="C24" s="331"/>
      <c r="D24" s="397"/>
      <c r="E24" s="278"/>
      <c r="F24" s="144" t="s">
        <v>131</v>
      </c>
      <c r="G24" s="46"/>
      <c r="H24" s="46"/>
      <c r="I24" s="282"/>
      <c r="J24" s="832"/>
    </row>
    <row r="25" spans="1:10" ht="12.75" customHeight="1">
      <c r="A25" s="142" t="s">
        <v>28</v>
      </c>
      <c r="B25" s="143" t="s">
        <v>288</v>
      </c>
      <c r="C25" s="332"/>
      <c r="D25" s="330"/>
      <c r="E25" s="310"/>
      <c r="F25" s="137" t="s">
        <v>365</v>
      </c>
      <c r="G25" s="336"/>
      <c r="H25" s="336"/>
      <c r="I25" s="285"/>
      <c r="J25" s="832"/>
    </row>
    <row r="26" spans="1:10" ht="12.75" customHeight="1">
      <c r="A26" s="145" t="s">
        <v>29</v>
      </c>
      <c r="B26" s="144" t="s">
        <v>289</v>
      </c>
      <c r="C26" s="45"/>
      <c r="D26" s="60"/>
      <c r="E26" s="309"/>
      <c r="F26" s="139" t="s">
        <v>371</v>
      </c>
      <c r="G26" s="46"/>
      <c r="H26" s="46"/>
      <c r="I26" s="282"/>
      <c r="J26" s="832"/>
    </row>
    <row r="27" spans="1:10" ht="12.75" customHeight="1">
      <c r="A27" s="138" t="s">
        <v>30</v>
      </c>
      <c r="B27" s="144" t="s">
        <v>376</v>
      </c>
      <c r="C27" s="45"/>
      <c r="D27" s="60"/>
      <c r="E27" s="309"/>
      <c r="F27" s="139" t="s">
        <v>372</v>
      </c>
      <c r="G27" s="46"/>
      <c r="H27" s="46"/>
      <c r="I27" s="282"/>
      <c r="J27" s="832"/>
    </row>
    <row r="28" spans="1:10" ht="12.75" customHeight="1" thickBot="1">
      <c r="A28" s="171" t="s">
        <v>31</v>
      </c>
      <c r="B28" s="143" t="s">
        <v>233</v>
      </c>
      <c r="C28" s="332"/>
      <c r="D28" s="330">
        <v>0</v>
      </c>
      <c r="E28" s="290">
        <v>3140241</v>
      </c>
      <c r="F28" s="741" t="s">
        <v>778</v>
      </c>
      <c r="G28" s="742">
        <v>2116241</v>
      </c>
      <c r="H28" s="336">
        <v>2116241</v>
      </c>
      <c r="I28" s="285">
        <v>2116241</v>
      </c>
      <c r="J28" s="832"/>
    </row>
    <row r="29" spans="1:10" ht="15.75" customHeight="1" thickBot="1">
      <c r="A29" s="141" t="s">
        <v>32</v>
      </c>
      <c r="B29" s="58" t="s">
        <v>384</v>
      </c>
      <c r="C29" s="279">
        <f>+C19+C24+C27+C28</f>
        <v>26887902</v>
      </c>
      <c r="D29" s="279">
        <f>+D19+D24+D27+D28</f>
        <v>27911847</v>
      </c>
      <c r="E29" s="279">
        <f>+E19+E24+E27+E28</f>
        <v>31052088</v>
      </c>
      <c r="F29" s="58" t="s">
        <v>386</v>
      </c>
      <c r="G29" s="284">
        <f>SUM(G19:G28)</f>
        <v>2116241</v>
      </c>
      <c r="H29" s="284">
        <f>SUM(H19:H28)</f>
        <v>2116241</v>
      </c>
      <c r="I29" s="284">
        <f>SUM(I19:I28)</f>
        <v>2116241</v>
      </c>
      <c r="J29" s="832"/>
    </row>
    <row r="30" spans="1:10" ht="13.5" thickBot="1">
      <c r="A30" s="141" t="s">
        <v>33</v>
      </c>
      <c r="B30" s="146" t="s">
        <v>385</v>
      </c>
      <c r="C30" s="280">
        <f>+C18+C29</f>
        <v>186419183</v>
      </c>
      <c r="D30" s="280">
        <f>+D18+D29</f>
        <v>224735345</v>
      </c>
      <c r="E30" s="280">
        <f>+E18+E29</f>
        <v>205859704</v>
      </c>
      <c r="F30" s="146" t="s">
        <v>387</v>
      </c>
      <c r="G30" s="286">
        <f>+G18+G29</f>
        <v>186419183</v>
      </c>
      <c r="H30" s="286">
        <f>+H18+H29</f>
        <v>224735345</v>
      </c>
      <c r="I30" s="286">
        <f>+I18+I29</f>
        <v>193263118</v>
      </c>
      <c r="J30" s="832"/>
    </row>
    <row r="31" spans="1:10" ht="13.5" thickBot="1">
      <c r="A31" s="141" t="s">
        <v>34</v>
      </c>
      <c r="B31" s="146" t="s">
        <v>108</v>
      </c>
      <c r="C31" s="147">
        <f>IF(C18-G18&lt;0,G18-C18,"-")</f>
        <v>24771661</v>
      </c>
      <c r="D31" s="147">
        <f>IF(D18-H18&lt;0,H18-D18,"-")</f>
        <v>25795606</v>
      </c>
      <c r="E31" s="147">
        <f>IF(E18-I18&lt;0,I18-E18,"-")</f>
        <v>16339261</v>
      </c>
      <c r="F31" s="146" t="s">
        <v>109</v>
      </c>
      <c r="G31" s="286" t="str">
        <f>IF(C18-G18&gt;0,C18-G18,"-")</f>
        <v>-</v>
      </c>
      <c r="H31" s="286" t="str">
        <f>IF(D18-H18&gt;0,D18-H18,"-")</f>
        <v>-</v>
      </c>
      <c r="I31" s="286" t="str">
        <f>IF(E18-I18&gt;0,E18-I18,"-")</f>
        <v>-</v>
      </c>
      <c r="J31" s="832"/>
    </row>
    <row r="32" spans="1:10" ht="13.5" thickBot="1">
      <c r="A32" s="141" t="s">
        <v>35</v>
      </c>
      <c r="B32" s="146" t="s">
        <v>148</v>
      </c>
      <c r="C32" s="147" t="s">
        <v>436</v>
      </c>
      <c r="D32" s="147" t="s">
        <v>436</v>
      </c>
      <c r="E32" s="311"/>
      <c r="F32" s="146" t="s">
        <v>149</v>
      </c>
      <c r="G32" s="286" t="str">
        <f>IF(C18+C29-G30&gt;0,C18+C29-G30,"-")</f>
        <v>-</v>
      </c>
      <c r="H32" s="286" t="str">
        <f>IF(D18+D29-H30&gt;0,D18+D29-H30,"-")</f>
        <v>-</v>
      </c>
      <c r="I32" s="286">
        <f>IF(E18+E29-I30&gt;0,E18+E29-I30,"-")</f>
        <v>12596586</v>
      </c>
      <c r="J32" s="832"/>
    </row>
    <row r="33" spans="2:8" ht="17.25">
      <c r="B33" s="833"/>
      <c r="C33" s="833"/>
      <c r="D33" s="833"/>
      <c r="E33" s="833"/>
      <c r="F33" s="833"/>
      <c r="G33" s="252"/>
      <c r="H33" s="252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67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2" max="2" width="45.25390625" style="0" customWidth="1"/>
    <col min="3" max="3" width="25.25390625" style="0" customWidth="1"/>
    <col min="4" max="4" width="25.75390625" style="0" customWidth="1"/>
    <col min="5" max="5" width="29.75390625" style="0" customWidth="1"/>
    <col min="6" max="6" width="8.125" style="0" customWidth="1"/>
  </cols>
  <sheetData>
    <row r="1" spans="1:6" ht="12.75">
      <c r="A1" s="568"/>
      <c r="B1" s="569"/>
      <c r="C1" s="569"/>
      <c r="D1" s="569"/>
      <c r="E1" s="569"/>
      <c r="F1" s="986" t="s">
        <v>580</v>
      </c>
    </row>
    <row r="2" spans="1:6" ht="51.75" customHeight="1">
      <c r="A2" s="987" t="s">
        <v>812</v>
      </c>
      <c r="B2" s="987"/>
      <c r="C2" s="987"/>
      <c r="D2" s="987"/>
      <c r="E2" s="987"/>
      <c r="F2" s="986"/>
    </row>
    <row r="3" spans="1:6" ht="15" thickBot="1">
      <c r="A3" s="570"/>
      <c r="B3" s="569"/>
      <c r="C3" s="569"/>
      <c r="D3" s="569"/>
      <c r="E3" s="569"/>
      <c r="F3" s="986"/>
    </row>
    <row r="4" spans="1:6" ht="60" thickBot="1">
      <c r="A4" s="571" t="s">
        <v>581</v>
      </c>
      <c r="B4" s="572" t="s">
        <v>582</v>
      </c>
      <c r="C4" s="572" t="s">
        <v>583</v>
      </c>
      <c r="D4" s="572" t="s">
        <v>584</v>
      </c>
      <c r="E4" s="573" t="s">
        <v>585</v>
      </c>
      <c r="F4" s="986"/>
    </row>
    <row r="5" spans="1:6" ht="15">
      <c r="A5" s="574" t="s">
        <v>9</v>
      </c>
      <c r="B5" s="707" t="s">
        <v>758</v>
      </c>
      <c r="C5" s="575"/>
      <c r="D5" s="706">
        <v>225430</v>
      </c>
      <c r="E5" s="576"/>
      <c r="F5" s="986"/>
    </row>
    <row r="6" spans="1:6" ht="15">
      <c r="A6" s="577" t="s">
        <v>10</v>
      </c>
      <c r="B6" s="747" t="s">
        <v>782</v>
      </c>
      <c r="C6" s="578"/>
      <c r="D6" s="746">
        <v>32800</v>
      </c>
      <c r="E6" s="579"/>
      <c r="F6" s="986"/>
    </row>
    <row r="7" spans="1:6" ht="15">
      <c r="A7" s="577" t="s">
        <v>11</v>
      </c>
      <c r="B7" s="580"/>
      <c r="C7" s="581"/>
      <c r="D7" s="582"/>
      <c r="E7" s="579"/>
      <c r="F7" s="986"/>
    </row>
    <row r="8" spans="1:6" ht="15">
      <c r="A8" s="577" t="s">
        <v>12</v>
      </c>
      <c r="B8" s="580"/>
      <c r="C8" s="581"/>
      <c r="D8" s="582"/>
      <c r="E8" s="579"/>
      <c r="F8" s="986"/>
    </row>
    <row r="9" spans="1:6" ht="15">
      <c r="A9" s="577" t="s">
        <v>13</v>
      </c>
      <c r="B9" s="580"/>
      <c r="C9" s="581"/>
      <c r="D9" s="582"/>
      <c r="E9" s="579"/>
      <c r="F9" s="986"/>
    </row>
    <row r="10" spans="1:6" ht="15">
      <c r="A10" s="577" t="s">
        <v>14</v>
      </c>
      <c r="B10" s="580"/>
      <c r="C10" s="581"/>
      <c r="D10" s="582"/>
      <c r="E10" s="579"/>
      <c r="F10" s="986"/>
    </row>
    <row r="11" spans="1:6" ht="15">
      <c r="A11" s="577" t="s">
        <v>15</v>
      </c>
      <c r="B11" s="580"/>
      <c r="C11" s="581"/>
      <c r="D11" s="582"/>
      <c r="E11" s="579"/>
      <c r="F11" s="986"/>
    </row>
    <row r="12" spans="1:6" ht="15">
      <c r="A12" s="577" t="s">
        <v>16</v>
      </c>
      <c r="B12" s="580"/>
      <c r="C12" s="581"/>
      <c r="D12" s="582"/>
      <c r="E12" s="579"/>
      <c r="F12" s="986"/>
    </row>
    <row r="13" spans="1:6" ht="15">
      <c r="A13" s="577" t="s">
        <v>17</v>
      </c>
      <c r="B13" s="580"/>
      <c r="C13" s="581"/>
      <c r="D13" s="582"/>
      <c r="E13" s="579"/>
      <c r="F13" s="986"/>
    </row>
    <row r="14" spans="1:6" ht="15">
      <c r="A14" s="577" t="s">
        <v>18</v>
      </c>
      <c r="B14" s="580"/>
      <c r="C14" s="581"/>
      <c r="D14" s="582"/>
      <c r="E14" s="579"/>
      <c r="F14" s="986"/>
    </row>
    <row r="15" spans="1:6" ht="15">
      <c r="A15" s="577" t="s">
        <v>19</v>
      </c>
      <c r="B15" s="580"/>
      <c r="C15" s="581"/>
      <c r="D15" s="582"/>
      <c r="E15" s="579"/>
      <c r="F15" s="986"/>
    </row>
    <row r="16" spans="1:6" ht="15">
      <c r="A16" s="577" t="s">
        <v>20</v>
      </c>
      <c r="B16" s="580"/>
      <c r="C16" s="581"/>
      <c r="D16" s="582"/>
      <c r="E16" s="579"/>
      <c r="F16" s="986"/>
    </row>
    <row r="17" spans="1:6" ht="15">
      <c r="A17" s="577" t="s">
        <v>21</v>
      </c>
      <c r="B17" s="580"/>
      <c r="C17" s="581"/>
      <c r="D17" s="582"/>
      <c r="E17" s="579"/>
      <c r="F17" s="986"/>
    </row>
    <row r="18" spans="1:6" ht="15">
      <c r="A18" s="577" t="s">
        <v>22</v>
      </c>
      <c r="B18" s="580"/>
      <c r="C18" s="581"/>
      <c r="D18" s="582"/>
      <c r="E18" s="579"/>
      <c r="F18" s="986"/>
    </row>
    <row r="19" spans="1:6" ht="15">
      <c r="A19" s="577" t="s">
        <v>23</v>
      </c>
      <c r="B19" s="580"/>
      <c r="C19" s="581"/>
      <c r="D19" s="582"/>
      <c r="E19" s="579"/>
      <c r="F19" s="986"/>
    </row>
    <row r="20" spans="1:6" ht="15">
      <c r="A20" s="577" t="s">
        <v>24</v>
      </c>
      <c r="B20" s="580"/>
      <c r="C20" s="581"/>
      <c r="D20" s="582"/>
      <c r="E20" s="579"/>
      <c r="F20" s="986"/>
    </row>
    <row r="21" spans="1:6" ht="15.75" thickBot="1">
      <c r="A21" s="583" t="s">
        <v>25</v>
      </c>
      <c r="B21" s="584"/>
      <c r="C21" s="585"/>
      <c r="D21" s="586"/>
      <c r="E21" s="587"/>
      <c r="F21" s="986"/>
    </row>
    <row r="22" spans="1:6" ht="15.75" thickBot="1">
      <c r="A22" s="988" t="s">
        <v>586</v>
      </c>
      <c r="B22" s="989"/>
      <c r="C22" s="588"/>
      <c r="D22" s="589">
        <f>SUM(D5:D21)</f>
        <v>258230</v>
      </c>
      <c r="E22" s="590">
        <f>IF(SUM(E5:E21)=0,"",SUM(E5:E21))</f>
      </c>
      <c r="F22" s="986"/>
    </row>
  </sheetData>
  <sheetProtection/>
  <mergeCells count="3">
    <mergeCell ref="F1:F22"/>
    <mergeCell ref="A2:E2"/>
    <mergeCell ref="A22:B2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I6" sqref="I6"/>
    </sheetView>
  </sheetViews>
  <sheetFormatPr defaultColWidth="9.25390625" defaultRowHeight="12.75"/>
  <cols>
    <col min="1" max="1" width="7.75390625" style="543" customWidth="1"/>
    <col min="2" max="2" width="60.75390625" style="543" customWidth="1"/>
    <col min="3" max="3" width="25.75390625" style="543" customWidth="1"/>
    <col min="4" max="16384" width="9.25390625" style="543" customWidth="1"/>
  </cols>
  <sheetData>
    <row r="1" spans="2:3" ht="15" customHeight="1">
      <c r="B1" s="948" t="s">
        <v>593</v>
      </c>
      <c r="C1" s="948"/>
    </row>
    <row r="2" spans="1:3" ht="13.5">
      <c r="A2" s="605"/>
      <c r="B2" s="605"/>
      <c r="C2" s="605"/>
    </row>
    <row r="3" spans="1:3" ht="33.75" customHeight="1">
      <c r="A3" s="990" t="s">
        <v>594</v>
      </c>
      <c r="B3" s="990"/>
      <c r="C3" s="990"/>
    </row>
    <row r="4" ht="13.5" thickBot="1">
      <c r="C4" s="606"/>
    </row>
    <row r="5" spans="1:3" s="610" customFormat="1" ht="43.5" customHeight="1" thickBot="1">
      <c r="A5" s="607" t="s">
        <v>7</v>
      </c>
      <c r="B5" s="608" t="s">
        <v>47</v>
      </c>
      <c r="C5" s="609" t="s">
        <v>595</v>
      </c>
    </row>
    <row r="6" spans="1:3" ht="28.5" customHeight="1">
      <c r="A6" s="611" t="s">
        <v>9</v>
      </c>
      <c r="B6" s="612" t="s">
        <v>796</v>
      </c>
      <c r="C6" s="613">
        <f>SUM(C7:C8)</f>
        <v>88750016</v>
      </c>
    </row>
    <row r="7" spans="1:3" ht="18" customHeight="1">
      <c r="A7" s="614" t="s">
        <v>10</v>
      </c>
      <c r="B7" s="615" t="s">
        <v>596</v>
      </c>
      <c r="C7" s="616">
        <v>88598341</v>
      </c>
    </row>
    <row r="8" spans="1:3" ht="18" customHeight="1">
      <c r="A8" s="614" t="s">
        <v>11</v>
      </c>
      <c r="B8" s="615" t="s">
        <v>597</v>
      </c>
      <c r="C8" s="616">
        <v>151675</v>
      </c>
    </row>
    <row r="9" spans="1:3" ht="18" customHeight="1">
      <c r="A9" s="614" t="s">
        <v>12</v>
      </c>
      <c r="B9" s="617" t="s">
        <v>598</v>
      </c>
      <c r="C9" s="616">
        <v>353810400</v>
      </c>
    </row>
    <row r="10" spans="1:3" ht="18" customHeight="1">
      <c r="A10" s="618" t="s">
        <v>13</v>
      </c>
      <c r="B10" s="619" t="s">
        <v>599</v>
      </c>
      <c r="C10" s="620">
        <v>413365964</v>
      </c>
    </row>
    <row r="11" spans="1:3" ht="18" customHeight="1" thickBot="1">
      <c r="A11" s="621" t="s">
        <v>14</v>
      </c>
      <c r="B11" s="622" t="s">
        <v>600</v>
      </c>
      <c r="C11" s="623">
        <v>812857</v>
      </c>
    </row>
    <row r="12" spans="1:3" ht="25.5" customHeight="1">
      <c r="A12" s="624" t="s">
        <v>15</v>
      </c>
      <c r="B12" s="625" t="s">
        <v>797</v>
      </c>
      <c r="C12" s="626">
        <f>C6+C9-C10+C11</f>
        <v>30007309</v>
      </c>
    </row>
    <row r="13" spans="1:3" ht="18" customHeight="1">
      <c r="A13" s="614" t="s">
        <v>16</v>
      </c>
      <c r="B13" s="615" t="s">
        <v>596</v>
      </c>
      <c r="C13" s="616">
        <v>29670749</v>
      </c>
    </row>
    <row r="14" spans="1:3" ht="18" customHeight="1" thickBot="1">
      <c r="A14" s="621" t="s">
        <v>17</v>
      </c>
      <c r="B14" s="627" t="s">
        <v>597</v>
      </c>
      <c r="C14" s="623">
        <v>336560</v>
      </c>
    </row>
    <row r="18" spans="2:3" ht="12.75">
      <c r="B18" s="628"/>
      <c r="C18" s="629"/>
    </row>
    <row r="21" ht="12.75">
      <c r="C21" s="629"/>
    </row>
  </sheetData>
  <sheetProtection/>
  <mergeCells count="2">
    <mergeCell ref="B1:C1"/>
    <mergeCell ref="A3:C3"/>
  </mergeCells>
  <conditionalFormatting sqref="C12">
    <cfRule type="cellIs" priority="1" dxfId="4" operator="notEqual" stopIfTrue="1">
      <formula>SUM(C13:C14)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SheetLayoutView="100" workbookViewId="0" topLeftCell="C10">
      <selection activeCell="I34" sqref="I34"/>
    </sheetView>
  </sheetViews>
  <sheetFormatPr defaultColWidth="9.25390625" defaultRowHeight="12.75"/>
  <cols>
    <col min="1" max="1" width="6.75390625" style="36" customWidth="1"/>
    <col min="2" max="2" width="55.125" style="74" customWidth="1"/>
    <col min="3" max="3" width="18.375" style="74" customWidth="1"/>
    <col min="4" max="5" width="16.25390625" style="36" customWidth="1"/>
    <col min="6" max="6" width="55.125" style="36" customWidth="1"/>
    <col min="7" max="8" width="17.375" style="36" customWidth="1"/>
    <col min="9" max="9" width="16.25390625" style="36" customWidth="1"/>
    <col min="10" max="10" width="4.75390625" style="36" customWidth="1"/>
    <col min="11" max="16384" width="9.25390625" style="36" customWidth="1"/>
  </cols>
  <sheetData>
    <row r="1" spans="2:10" ht="30">
      <c r="B1" s="124" t="s">
        <v>98</v>
      </c>
      <c r="C1" s="124"/>
      <c r="D1" s="125"/>
      <c r="E1" s="125"/>
      <c r="F1" s="125"/>
      <c r="G1" s="125"/>
      <c r="H1" s="125"/>
      <c r="I1" s="125"/>
      <c r="J1" s="832" t="s">
        <v>803</v>
      </c>
    </row>
    <row r="2" spans="9:10" ht="13.5" thickBot="1">
      <c r="I2" s="126" t="s">
        <v>426</v>
      </c>
      <c r="J2" s="832"/>
    </row>
    <row r="3" spans="1:10" ht="13.5" thickBot="1">
      <c r="A3" s="834" t="s">
        <v>49</v>
      </c>
      <c r="B3" s="127" t="s">
        <v>44</v>
      </c>
      <c r="C3" s="250"/>
      <c r="D3" s="128"/>
      <c r="E3" s="250"/>
      <c r="F3" s="127" t="s">
        <v>45</v>
      </c>
      <c r="G3" s="251"/>
      <c r="H3" s="251"/>
      <c r="I3" s="129"/>
      <c r="J3" s="832"/>
    </row>
    <row r="4" spans="1:10" s="130" customFormat="1" ht="34.5" thickBot="1">
      <c r="A4" s="835"/>
      <c r="B4" s="75" t="s">
        <v>47</v>
      </c>
      <c r="C4" s="76" t="s">
        <v>772</v>
      </c>
      <c r="D4" s="76" t="s">
        <v>773</v>
      </c>
      <c r="E4" s="303" t="s">
        <v>774</v>
      </c>
      <c r="F4" s="75" t="s">
        <v>47</v>
      </c>
      <c r="G4" s="253" t="s">
        <v>772</v>
      </c>
      <c r="H4" s="254" t="s">
        <v>773</v>
      </c>
      <c r="I4" s="254" t="s">
        <v>774</v>
      </c>
      <c r="J4" s="832"/>
    </row>
    <row r="5" spans="1:10" s="130" customFormat="1" ht="13.5" thickBot="1">
      <c r="A5" s="131" t="s">
        <v>394</v>
      </c>
      <c r="B5" s="132" t="s">
        <v>395</v>
      </c>
      <c r="C5" s="133" t="s">
        <v>396</v>
      </c>
      <c r="D5" s="133" t="s">
        <v>398</v>
      </c>
      <c r="E5" s="304" t="s">
        <v>397</v>
      </c>
      <c r="F5" s="132" t="s">
        <v>399</v>
      </c>
      <c r="G5" s="134" t="s">
        <v>400</v>
      </c>
      <c r="H5" s="134" t="s">
        <v>401</v>
      </c>
      <c r="I5" s="134" t="s">
        <v>429</v>
      </c>
      <c r="J5" s="832"/>
    </row>
    <row r="6" spans="1:10" ht="12.75" customHeight="1">
      <c r="A6" s="136" t="s">
        <v>9</v>
      </c>
      <c r="B6" s="137" t="s">
        <v>294</v>
      </c>
      <c r="C6" s="735">
        <v>48597267</v>
      </c>
      <c r="D6" s="325">
        <v>93493090</v>
      </c>
      <c r="E6" s="305">
        <v>67343285</v>
      </c>
      <c r="F6" s="137" t="s">
        <v>141</v>
      </c>
      <c r="G6" s="739">
        <v>9275851</v>
      </c>
      <c r="H6" s="333">
        <v>16445078</v>
      </c>
      <c r="I6" s="281">
        <v>9195695</v>
      </c>
      <c r="J6" s="832"/>
    </row>
    <row r="7" spans="1:10" ht="12.75">
      <c r="A7" s="138" t="s">
        <v>10</v>
      </c>
      <c r="B7" s="139" t="s">
        <v>295</v>
      </c>
      <c r="C7" s="736">
        <v>46674716</v>
      </c>
      <c r="D7" s="327">
        <v>46674716</v>
      </c>
      <c r="E7" s="306">
        <v>21067673</v>
      </c>
      <c r="F7" s="139" t="s">
        <v>298</v>
      </c>
      <c r="G7" s="740">
        <v>7353300</v>
      </c>
      <c r="H7" s="740">
        <v>7486650</v>
      </c>
      <c r="I7" s="282">
        <v>7486650</v>
      </c>
      <c r="J7" s="832"/>
    </row>
    <row r="8" spans="1:10" ht="12.75" customHeight="1">
      <c r="A8" s="138" t="s">
        <v>11</v>
      </c>
      <c r="B8" s="139" t="s">
        <v>4</v>
      </c>
      <c r="C8" s="736">
        <v>300000</v>
      </c>
      <c r="D8" s="327">
        <v>300000</v>
      </c>
      <c r="E8" s="306">
        <v>150000</v>
      </c>
      <c r="F8" s="139" t="s">
        <v>126</v>
      </c>
      <c r="G8" s="740">
        <v>95057980</v>
      </c>
      <c r="H8" s="334">
        <v>135431635</v>
      </c>
      <c r="I8" s="282">
        <v>112694302</v>
      </c>
      <c r="J8" s="832"/>
    </row>
    <row r="9" spans="1:10" ht="12.75" customHeight="1">
      <c r="A9" s="138" t="s">
        <v>12</v>
      </c>
      <c r="B9" s="139" t="s">
        <v>430</v>
      </c>
      <c r="C9" s="736"/>
      <c r="D9" s="327"/>
      <c r="E9" s="306"/>
      <c r="F9" s="139" t="s">
        <v>299</v>
      </c>
      <c r="G9" s="740">
        <v>95057980</v>
      </c>
      <c r="H9" s="740">
        <v>95057980</v>
      </c>
      <c r="I9" s="282">
        <v>95047243</v>
      </c>
      <c r="J9" s="832"/>
    </row>
    <row r="10" spans="1:10" ht="12.75" customHeight="1">
      <c r="A10" s="138" t="s">
        <v>13</v>
      </c>
      <c r="B10" s="139" t="s">
        <v>296</v>
      </c>
      <c r="C10" s="736"/>
      <c r="D10" s="327"/>
      <c r="E10" s="306"/>
      <c r="F10" s="139" t="s">
        <v>143</v>
      </c>
      <c r="G10" s="740">
        <v>300000</v>
      </c>
      <c r="H10" s="334">
        <v>300000</v>
      </c>
      <c r="I10" s="282">
        <v>100000</v>
      </c>
      <c r="J10" s="832"/>
    </row>
    <row r="11" spans="1:10" ht="12.75" customHeight="1">
      <c r="A11" s="138" t="s">
        <v>14</v>
      </c>
      <c r="B11" s="139" t="s">
        <v>434</v>
      </c>
      <c r="C11" s="743"/>
      <c r="D11" s="329"/>
      <c r="E11" s="307"/>
      <c r="F11" s="139"/>
      <c r="G11" s="334"/>
      <c r="H11" s="334"/>
      <c r="I11" s="282"/>
      <c r="J11" s="832"/>
    </row>
    <row r="12" spans="1:10" ht="12.75" customHeight="1">
      <c r="A12" s="138" t="s">
        <v>15</v>
      </c>
      <c r="B12" s="744" t="s">
        <v>779</v>
      </c>
      <c r="C12" s="736">
        <v>2456564</v>
      </c>
      <c r="D12" s="327">
        <v>5103623</v>
      </c>
      <c r="E12" s="306">
        <v>10256409</v>
      </c>
      <c r="F12" s="38"/>
      <c r="G12" s="334"/>
      <c r="H12" s="334"/>
      <c r="I12" s="282"/>
      <c r="J12" s="832"/>
    </row>
    <row r="13" spans="1:10" ht="12.75" customHeight="1">
      <c r="A13" s="138" t="s">
        <v>16</v>
      </c>
      <c r="B13" s="35"/>
      <c r="C13" s="326"/>
      <c r="D13" s="327"/>
      <c r="E13" s="306"/>
      <c r="F13" s="201"/>
      <c r="G13" s="334"/>
      <c r="H13" s="334"/>
      <c r="I13" s="282"/>
      <c r="J13" s="832"/>
    </row>
    <row r="14" spans="1:10" ht="12.75" customHeight="1">
      <c r="A14" s="138" t="s">
        <v>17</v>
      </c>
      <c r="B14" s="198"/>
      <c r="C14" s="328"/>
      <c r="D14" s="329"/>
      <c r="E14" s="307"/>
      <c r="F14" s="200"/>
      <c r="G14" s="334"/>
      <c r="H14" s="334"/>
      <c r="I14" s="282"/>
      <c r="J14" s="832"/>
    </row>
    <row r="15" spans="1:10" ht="12.75">
      <c r="A15" s="138" t="s">
        <v>18</v>
      </c>
      <c r="B15" s="35"/>
      <c r="C15" s="328"/>
      <c r="D15" s="329"/>
      <c r="E15" s="307"/>
      <c r="F15" s="200"/>
      <c r="G15" s="334"/>
      <c r="H15" s="334"/>
      <c r="I15" s="282"/>
      <c r="J15" s="832"/>
    </row>
    <row r="16" spans="1:10" ht="12.75" customHeight="1" thickBot="1">
      <c r="A16" s="171" t="s">
        <v>19</v>
      </c>
      <c r="B16" s="199"/>
      <c r="C16" s="337"/>
      <c r="D16" s="338"/>
      <c r="E16" s="312"/>
      <c r="F16" s="172" t="s">
        <v>40</v>
      </c>
      <c r="G16" s="339"/>
      <c r="H16" s="339"/>
      <c r="I16" s="285"/>
      <c r="J16" s="832"/>
    </row>
    <row r="17" spans="1:10" ht="15.75" customHeight="1" thickBot="1">
      <c r="A17" s="141" t="s">
        <v>20</v>
      </c>
      <c r="B17" s="58" t="s">
        <v>305</v>
      </c>
      <c r="C17" s="287">
        <f>+C6+C8+C9+C11+C12+C13+C14+C15+C16</f>
        <v>51353831</v>
      </c>
      <c r="D17" s="287">
        <f>+D6+D8+D9+D11+D12+D13+D14+D15+D16</f>
        <v>98896713</v>
      </c>
      <c r="E17" s="287">
        <f>+E6+E8+E9+E11+E12+E13+E14+E15+E16</f>
        <v>77749694</v>
      </c>
      <c r="F17" s="58" t="s">
        <v>306</v>
      </c>
      <c r="G17" s="284">
        <f>+G6+G8+G10+G11+G12+G13+G14+G15+G16</f>
        <v>104633831</v>
      </c>
      <c r="H17" s="284">
        <f>+H6+H8+H10+H11+H12+H13+H14+H15+H16</f>
        <v>152176713</v>
      </c>
      <c r="I17" s="284">
        <f>+I6+I8+I10+I11+I12+I13+I14+I15+I16</f>
        <v>121989997</v>
      </c>
      <c r="J17" s="832"/>
    </row>
    <row r="18" spans="1:10" ht="12.75" customHeight="1">
      <c r="A18" s="136" t="s">
        <v>21</v>
      </c>
      <c r="B18" s="149" t="s">
        <v>161</v>
      </c>
      <c r="C18" s="745">
        <f>SUM(C19:C23)</f>
        <v>53280000</v>
      </c>
      <c r="D18" s="745">
        <f>SUM(D19:D23)</f>
        <v>53280000</v>
      </c>
      <c r="E18" s="745">
        <f>SUM(E19:E23)</f>
        <v>53280000</v>
      </c>
      <c r="F18" s="144" t="s">
        <v>130</v>
      </c>
      <c r="G18" s="43"/>
      <c r="H18" s="43"/>
      <c r="I18" s="281"/>
      <c r="J18" s="832"/>
    </row>
    <row r="19" spans="1:10" ht="12.75" customHeight="1">
      <c r="A19" s="138" t="s">
        <v>22</v>
      </c>
      <c r="B19" s="150" t="s">
        <v>150</v>
      </c>
      <c r="C19" s="738">
        <v>53280000</v>
      </c>
      <c r="D19" s="60">
        <v>53280000</v>
      </c>
      <c r="E19" s="306">
        <v>53280000</v>
      </c>
      <c r="F19" s="144" t="s">
        <v>133</v>
      </c>
      <c r="G19" s="46"/>
      <c r="H19" s="46"/>
      <c r="I19" s="282"/>
      <c r="J19" s="832"/>
    </row>
    <row r="20" spans="1:10" ht="12.75" customHeight="1">
      <c r="A20" s="136" t="s">
        <v>23</v>
      </c>
      <c r="B20" s="150" t="s">
        <v>151</v>
      </c>
      <c r="C20" s="45"/>
      <c r="D20" s="60"/>
      <c r="E20" s="306"/>
      <c r="F20" s="144" t="s">
        <v>95</v>
      </c>
      <c r="G20" s="46"/>
      <c r="H20" s="46"/>
      <c r="I20" s="282"/>
      <c r="J20" s="832"/>
    </row>
    <row r="21" spans="1:10" ht="12.75" customHeight="1">
      <c r="A21" s="138" t="s">
        <v>24</v>
      </c>
      <c r="B21" s="150" t="s">
        <v>152</v>
      </c>
      <c r="C21" s="45"/>
      <c r="D21" s="60"/>
      <c r="E21" s="306"/>
      <c r="F21" s="144" t="s">
        <v>96</v>
      </c>
      <c r="G21" s="46"/>
      <c r="H21" s="46"/>
      <c r="I21" s="282"/>
      <c r="J21" s="832"/>
    </row>
    <row r="22" spans="1:10" ht="12.75" customHeight="1">
      <c r="A22" s="136" t="s">
        <v>25</v>
      </c>
      <c r="B22" s="150" t="s">
        <v>153</v>
      </c>
      <c r="C22" s="45"/>
      <c r="D22" s="330"/>
      <c r="E22" s="313"/>
      <c r="F22" s="143" t="s">
        <v>147</v>
      </c>
      <c r="G22" s="46"/>
      <c r="H22" s="46"/>
      <c r="I22" s="282"/>
      <c r="J22" s="832"/>
    </row>
    <row r="23" spans="1:10" ht="12.75" customHeight="1">
      <c r="A23" s="138" t="s">
        <v>26</v>
      </c>
      <c r="B23" s="151" t="s">
        <v>154</v>
      </c>
      <c r="C23" s="45"/>
      <c r="D23" s="60"/>
      <c r="E23" s="306"/>
      <c r="F23" s="144" t="s">
        <v>134</v>
      </c>
      <c r="G23" s="46"/>
      <c r="H23" s="46"/>
      <c r="I23" s="282"/>
      <c r="J23" s="832"/>
    </row>
    <row r="24" spans="1:10" ht="12.75" customHeight="1">
      <c r="A24" s="136" t="s">
        <v>27</v>
      </c>
      <c r="B24" s="152" t="s">
        <v>155</v>
      </c>
      <c r="C24" s="331">
        <f>+C25+C26+C27+C28+C29</f>
        <v>0</v>
      </c>
      <c r="D24" s="398"/>
      <c r="E24" s="288"/>
      <c r="F24" s="153" t="s">
        <v>132</v>
      </c>
      <c r="G24" s="46"/>
      <c r="H24" s="46"/>
      <c r="I24" s="282"/>
      <c r="J24" s="832"/>
    </row>
    <row r="25" spans="1:10" ht="12.75" customHeight="1">
      <c r="A25" s="138" t="s">
        <v>28</v>
      </c>
      <c r="B25" s="151" t="s">
        <v>156</v>
      </c>
      <c r="C25" s="45"/>
      <c r="D25" s="59"/>
      <c r="E25" s="305"/>
      <c r="F25" s="153" t="s">
        <v>300</v>
      </c>
      <c r="G25" s="46"/>
      <c r="H25" s="46"/>
      <c r="I25" s="282"/>
      <c r="J25" s="832"/>
    </row>
    <row r="26" spans="1:10" ht="12.75" customHeight="1">
      <c r="A26" s="136" t="s">
        <v>29</v>
      </c>
      <c r="B26" s="151" t="s">
        <v>157</v>
      </c>
      <c r="C26" s="45"/>
      <c r="D26" s="59"/>
      <c r="E26" s="305"/>
      <c r="F26" s="148"/>
      <c r="G26" s="46"/>
      <c r="H26" s="46"/>
      <c r="I26" s="282"/>
      <c r="J26" s="832"/>
    </row>
    <row r="27" spans="1:10" ht="12.75" customHeight="1">
      <c r="A27" s="138" t="s">
        <v>30</v>
      </c>
      <c r="B27" s="150" t="s">
        <v>158</v>
      </c>
      <c r="C27" s="45"/>
      <c r="D27" s="59"/>
      <c r="E27" s="305"/>
      <c r="F27" s="54"/>
      <c r="G27" s="46"/>
      <c r="H27" s="46"/>
      <c r="I27" s="282"/>
      <c r="J27" s="832"/>
    </row>
    <row r="28" spans="1:10" ht="12.75" customHeight="1">
      <c r="A28" s="136" t="s">
        <v>31</v>
      </c>
      <c r="B28" s="154" t="s">
        <v>159</v>
      </c>
      <c r="C28" s="45"/>
      <c r="D28" s="60"/>
      <c r="E28" s="306"/>
      <c r="F28" s="35"/>
      <c r="G28" s="46"/>
      <c r="H28" s="46"/>
      <c r="I28" s="282"/>
      <c r="J28" s="832"/>
    </row>
    <row r="29" spans="1:10" ht="12.75" customHeight="1" thickBot="1">
      <c r="A29" s="138" t="s">
        <v>32</v>
      </c>
      <c r="B29" s="155" t="s">
        <v>160</v>
      </c>
      <c r="C29" s="45"/>
      <c r="D29" s="59"/>
      <c r="E29" s="305"/>
      <c r="F29" s="54"/>
      <c r="G29" s="46"/>
      <c r="H29" s="46"/>
      <c r="I29" s="282"/>
      <c r="J29" s="832"/>
    </row>
    <row r="30" spans="1:10" ht="21.75" customHeight="1" thickBot="1">
      <c r="A30" s="141" t="s">
        <v>33</v>
      </c>
      <c r="B30" s="58" t="s">
        <v>297</v>
      </c>
      <c r="C30" s="287">
        <f>+C18+C24</f>
        <v>53280000</v>
      </c>
      <c r="D30" s="287">
        <f>+D18+D24</f>
        <v>53280000</v>
      </c>
      <c r="E30" s="287">
        <f>+E18+E24</f>
        <v>53280000</v>
      </c>
      <c r="F30" s="58" t="s">
        <v>301</v>
      </c>
      <c r="G30" s="284">
        <f>SUM(G18:G29)</f>
        <v>0</v>
      </c>
      <c r="H30" s="284">
        <f>SUM(H18:H29)</f>
        <v>0</v>
      </c>
      <c r="I30" s="284">
        <f>SUM(I18:I29)</f>
        <v>0</v>
      </c>
      <c r="J30" s="832"/>
    </row>
    <row r="31" spans="1:10" ht="13.5" thickBot="1">
      <c r="A31" s="141" t="s">
        <v>34</v>
      </c>
      <c r="B31" s="146" t="s">
        <v>302</v>
      </c>
      <c r="C31" s="286">
        <f>+C17+C30</f>
        <v>104633831</v>
      </c>
      <c r="D31" s="286">
        <f>+D17+D30</f>
        <v>152176713</v>
      </c>
      <c r="E31" s="286">
        <f>+E17+E30</f>
        <v>131029694</v>
      </c>
      <c r="F31" s="146" t="s">
        <v>303</v>
      </c>
      <c r="G31" s="286">
        <f>+G17+G30</f>
        <v>104633831</v>
      </c>
      <c r="H31" s="286">
        <f>+H17+H30</f>
        <v>152176713</v>
      </c>
      <c r="I31" s="286">
        <f>+I17+I30</f>
        <v>121989997</v>
      </c>
      <c r="J31" s="832"/>
    </row>
    <row r="32" spans="1:10" ht="13.5" thickBot="1">
      <c r="A32" s="141" t="s">
        <v>35</v>
      </c>
      <c r="B32" s="146" t="s">
        <v>108</v>
      </c>
      <c r="C32" s="147">
        <f>IF(C17-G17&lt;0,G17-C17,"-")</f>
        <v>53280000</v>
      </c>
      <c r="D32" s="147">
        <f>IF(D17-H17&lt;0,H17-D17,"-")</f>
        <v>53280000</v>
      </c>
      <c r="E32" s="286">
        <f>IF(E17-I17&lt;0,J17-E17,"-")</f>
        <v>-77749694</v>
      </c>
      <c r="F32" s="146" t="s">
        <v>109</v>
      </c>
      <c r="G32" s="286" t="str">
        <f>IF(C17-G17&gt;0,C17-G17,"-")</f>
        <v>-</v>
      </c>
      <c r="H32" s="286" t="str">
        <f>IF(D17-H17&gt;0,C17-H17,"-")</f>
        <v>-</v>
      </c>
      <c r="I32" s="286"/>
      <c r="J32" s="832"/>
    </row>
    <row r="33" spans="1:10" ht="13.5" thickBot="1">
      <c r="A33" s="141" t="s">
        <v>36</v>
      </c>
      <c r="B33" s="146" t="s">
        <v>148</v>
      </c>
      <c r="C33" s="286" t="str">
        <f>IF(C17+C30-G31&lt;0,F26-(C17+C30),"-")</f>
        <v>-</v>
      </c>
      <c r="D33" s="286" t="str">
        <f>IF(D17+D30-H31&lt;0,H31-(D17+D30),"-")</f>
        <v>-</v>
      </c>
      <c r="E33" s="286" t="str">
        <f>IF(E17+E30-I31&lt;0,I31-(E17+E30),"-")</f>
        <v>-</v>
      </c>
      <c r="F33" s="146" t="s">
        <v>149</v>
      </c>
      <c r="G33" s="147" t="str">
        <f>IF(C17+C30-G31&gt;0,C17+C30-G26,"-")</f>
        <v>-</v>
      </c>
      <c r="H33" s="147" t="str">
        <f>IF(D17+D30-H31&gt;0,D17+D30-H26,"-")</f>
        <v>-</v>
      </c>
      <c r="I33" s="147">
        <f>IF(E17+E30-I31&gt;0,E17+E30-I31,"-")</f>
        <v>9039697</v>
      </c>
      <c r="J33" s="832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0"/>
  <sheetViews>
    <sheetView view="pageLayout" zoomScaleNormal="130" zoomScaleSheetLayoutView="80" workbookViewId="0" topLeftCell="A1">
      <selection activeCell="E123" sqref="E123"/>
    </sheetView>
  </sheetViews>
  <sheetFormatPr defaultColWidth="9.25390625" defaultRowHeight="12.75"/>
  <cols>
    <col min="1" max="1" width="9.375" style="167" customWidth="1"/>
    <col min="2" max="2" width="91.75390625" style="167" customWidth="1"/>
    <col min="3" max="3" width="21.75390625" style="168" customWidth="1"/>
    <col min="4" max="4" width="19.00390625" style="182" customWidth="1"/>
    <col min="5" max="5" width="18.25390625" style="182" customWidth="1"/>
    <col min="6" max="16384" width="9.25390625" style="182" customWidth="1"/>
  </cols>
  <sheetData>
    <row r="1" spans="1:3" ht="15">
      <c r="A1" s="827"/>
      <c r="B1" s="827"/>
      <c r="C1" s="827"/>
    </row>
    <row r="2" spans="1:3" ht="15.75" customHeight="1">
      <c r="A2" s="824" t="s">
        <v>6</v>
      </c>
      <c r="B2" s="824"/>
      <c r="C2" s="824"/>
    </row>
    <row r="3" spans="1:3" ht="15.75" customHeight="1" thickBot="1">
      <c r="A3" s="825" t="s">
        <v>92</v>
      </c>
      <c r="B3" s="825"/>
      <c r="C3" s="122" t="s">
        <v>426</v>
      </c>
    </row>
    <row r="4" spans="1:5" ht="37.5" customHeight="1" thickBot="1">
      <c r="A4" s="21" t="s">
        <v>49</v>
      </c>
      <c r="B4" s="22" t="s">
        <v>8</v>
      </c>
      <c r="C4" s="31" t="s">
        <v>772</v>
      </c>
      <c r="D4" s="237" t="s">
        <v>773</v>
      </c>
      <c r="E4" s="289" t="s">
        <v>774</v>
      </c>
    </row>
    <row r="5" spans="1:5" s="183" customFormat="1" ht="12" customHeight="1" thickBot="1">
      <c r="A5" s="177" t="s">
        <v>394</v>
      </c>
      <c r="B5" s="178" t="s">
        <v>395</v>
      </c>
      <c r="C5" s="179" t="s">
        <v>396</v>
      </c>
      <c r="D5" s="247" t="s">
        <v>398</v>
      </c>
      <c r="E5" s="321" t="s">
        <v>397</v>
      </c>
    </row>
    <row r="6" spans="1:5" s="184" customFormat="1" ht="12" customHeight="1" thickBot="1">
      <c r="A6" s="18" t="s">
        <v>9</v>
      </c>
      <c r="B6" s="19" t="s">
        <v>162</v>
      </c>
      <c r="C6" s="713">
        <f>+C7+C8+C9+C10+C11+C12</f>
        <v>82334276</v>
      </c>
      <c r="D6" s="239">
        <f>+D7+D8+D9+D10+D11+D12</f>
        <v>77156112</v>
      </c>
      <c r="E6" s="268">
        <f>+E7+E8+E9+E10+E11+E12</f>
        <v>77156112</v>
      </c>
    </row>
    <row r="7" spans="1:5" s="184" customFormat="1" ht="12" customHeight="1">
      <c r="A7" s="13" t="s">
        <v>61</v>
      </c>
      <c r="B7" s="185" t="s">
        <v>163</v>
      </c>
      <c r="C7" s="714">
        <v>21232401</v>
      </c>
      <c r="D7" s="115">
        <v>22707401</v>
      </c>
      <c r="E7" s="115">
        <v>22707401</v>
      </c>
    </row>
    <row r="8" spans="1:5" s="184" customFormat="1" ht="12" customHeight="1">
      <c r="A8" s="12" t="s">
        <v>62</v>
      </c>
      <c r="B8" s="186" t="s">
        <v>164</v>
      </c>
      <c r="C8" s="715"/>
      <c r="D8" s="114">
        <v>7350050</v>
      </c>
      <c r="E8" s="114">
        <v>7350050</v>
      </c>
    </row>
    <row r="9" spans="1:5" s="184" customFormat="1" ht="12" customHeight="1">
      <c r="A9" s="12" t="s">
        <v>63</v>
      </c>
      <c r="B9" s="186" t="s">
        <v>422</v>
      </c>
      <c r="C9" s="715">
        <v>29873623</v>
      </c>
      <c r="D9" s="114">
        <f>30922116-801005</f>
        <v>30121111</v>
      </c>
      <c r="E9" s="114">
        <f>30922116-801005</f>
        <v>30121111</v>
      </c>
    </row>
    <row r="10" spans="1:5" s="184" customFormat="1" ht="12" customHeight="1">
      <c r="A10" s="12" t="s">
        <v>64</v>
      </c>
      <c r="B10" s="186" t="s">
        <v>166</v>
      </c>
      <c r="C10" s="715">
        <v>1800000</v>
      </c>
      <c r="D10" s="114">
        <v>1800000</v>
      </c>
      <c r="E10" s="114">
        <v>1800000</v>
      </c>
    </row>
    <row r="11" spans="1:5" s="184" customFormat="1" ht="12" customHeight="1">
      <c r="A11" s="12" t="s">
        <v>88</v>
      </c>
      <c r="B11" s="108" t="s">
        <v>333</v>
      </c>
      <c r="C11" s="715">
        <v>29428252</v>
      </c>
      <c r="D11" s="395">
        <v>14829280</v>
      </c>
      <c r="E11" s="395">
        <v>14829280</v>
      </c>
    </row>
    <row r="12" spans="1:5" s="184" customFormat="1" ht="12" customHeight="1" thickBot="1">
      <c r="A12" s="14" t="s">
        <v>65</v>
      </c>
      <c r="B12" s="109" t="s">
        <v>334</v>
      </c>
      <c r="C12" s="715"/>
      <c r="D12" s="114">
        <v>348270</v>
      </c>
      <c r="E12" s="114">
        <v>348270</v>
      </c>
    </row>
    <row r="13" spans="1:5" s="184" customFormat="1" ht="12" customHeight="1" thickBot="1">
      <c r="A13" s="18" t="s">
        <v>10</v>
      </c>
      <c r="B13" s="107" t="s">
        <v>167</v>
      </c>
      <c r="C13" s="713">
        <f>+C14+C15+C16+C17+C18</f>
        <v>57773382</v>
      </c>
      <c r="D13" s="239">
        <f>+D14+D15+D16+D17+D18</f>
        <v>95564608</v>
      </c>
      <c r="E13" s="268">
        <f>+E14+E15+E16+E17+E18</f>
        <v>76252067</v>
      </c>
    </row>
    <row r="14" spans="1:5" s="184" customFormat="1" ht="12" customHeight="1">
      <c r="A14" s="13" t="s">
        <v>67</v>
      </c>
      <c r="B14" s="185" t="s">
        <v>168</v>
      </c>
      <c r="C14" s="714"/>
      <c r="D14" s="115"/>
      <c r="E14" s="290"/>
    </row>
    <row r="15" spans="1:5" s="184" customFormat="1" ht="12" customHeight="1">
      <c r="A15" s="12" t="s">
        <v>68</v>
      </c>
      <c r="B15" s="186" t="s">
        <v>169</v>
      </c>
      <c r="C15" s="715"/>
      <c r="D15" s="114"/>
      <c r="E15" s="290"/>
    </row>
    <row r="16" spans="1:5" s="184" customFormat="1" ht="12" customHeight="1">
      <c r="A16" s="12" t="s">
        <v>69</v>
      </c>
      <c r="B16" s="186" t="s">
        <v>325</v>
      </c>
      <c r="C16" s="715"/>
      <c r="D16" s="114"/>
      <c r="E16" s="290"/>
    </row>
    <row r="17" spans="1:5" s="184" customFormat="1" ht="12" customHeight="1">
      <c r="A17" s="12" t="s">
        <v>70</v>
      </c>
      <c r="B17" s="186" t="s">
        <v>326</v>
      </c>
      <c r="C17" s="715"/>
      <c r="D17" s="114"/>
      <c r="E17" s="290"/>
    </row>
    <row r="18" spans="1:5" s="184" customFormat="1" ht="12" customHeight="1">
      <c r="A18" s="12" t="s">
        <v>71</v>
      </c>
      <c r="B18" s="186" t="s">
        <v>170</v>
      </c>
      <c r="C18" s="715">
        <v>57773382</v>
      </c>
      <c r="D18" s="114">
        <v>95564608</v>
      </c>
      <c r="E18" s="290">
        <v>76252067</v>
      </c>
    </row>
    <row r="19" spans="1:5" s="184" customFormat="1" ht="12" customHeight="1" thickBot="1">
      <c r="A19" s="14" t="s">
        <v>77</v>
      </c>
      <c r="B19" s="109" t="s">
        <v>171</v>
      </c>
      <c r="C19" s="716">
        <v>15472270</v>
      </c>
      <c r="D19" s="716">
        <v>15472270</v>
      </c>
      <c r="E19" s="290">
        <v>3492818</v>
      </c>
    </row>
    <row r="20" spans="1:5" s="184" customFormat="1" ht="12" customHeight="1" thickBot="1">
      <c r="A20" s="18" t="s">
        <v>11</v>
      </c>
      <c r="B20" s="19" t="s">
        <v>172</v>
      </c>
      <c r="C20" s="713">
        <f>+C21+C22+C23+C24+C25</f>
        <v>48597267</v>
      </c>
      <c r="D20" s="239">
        <f>+D21+D22+D23+D24+D25</f>
        <v>93493090</v>
      </c>
      <c r="E20" s="268">
        <f>+E21+E22+E23+E24+E25</f>
        <v>67343285</v>
      </c>
    </row>
    <row r="21" spans="1:5" s="184" customFormat="1" ht="12" customHeight="1">
      <c r="A21" s="13" t="s">
        <v>50</v>
      </c>
      <c r="B21" s="185" t="s">
        <v>173</v>
      </c>
      <c r="C21" s="714"/>
      <c r="D21" s="115">
        <v>44895823</v>
      </c>
      <c r="E21" s="290">
        <v>44895823</v>
      </c>
    </row>
    <row r="22" spans="1:5" s="184" customFormat="1" ht="12" customHeight="1">
      <c r="A22" s="12" t="s">
        <v>51</v>
      </c>
      <c r="B22" s="186" t="s">
        <v>174</v>
      </c>
      <c r="C22" s="715"/>
      <c r="D22" s="114"/>
      <c r="E22" s="290"/>
    </row>
    <row r="23" spans="1:5" s="184" customFormat="1" ht="12" customHeight="1">
      <c r="A23" s="12" t="s">
        <v>52</v>
      </c>
      <c r="B23" s="186" t="s">
        <v>327</v>
      </c>
      <c r="C23" s="715"/>
      <c r="D23" s="114"/>
      <c r="E23" s="290"/>
    </row>
    <row r="24" spans="1:5" s="184" customFormat="1" ht="12" customHeight="1">
      <c r="A24" s="12" t="s">
        <v>53</v>
      </c>
      <c r="B24" s="186" t="s">
        <v>328</v>
      </c>
      <c r="C24" s="715"/>
      <c r="D24" s="114"/>
      <c r="E24" s="290"/>
    </row>
    <row r="25" spans="1:5" s="184" customFormat="1" ht="12" customHeight="1">
      <c r="A25" s="12" t="s">
        <v>110</v>
      </c>
      <c r="B25" s="186" t="s">
        <v>175</v>
      </c>
      <c r="C25" s="715">
        <v>48597267</v>
      </c>
      <c r="D25" s="114">
        <v>48597267</v>
      </c>
      <c r="E25" s="290">
        <v>22447462</v>
      </c>
    </row>
    <row r="26" spans="1:5" s="184" customFormat="1" ht="12" customHeight="1" thickBot="1">
      <c r="A26" s="14" t="s">
        <v>111</v>
      </c>
      <c r="B26" s="187" t="s">
        <v>176</v>
      </c>
      <c r="C26" s="717">
        <v>46674716</v>
      </c>
      <c r="D26" s="717">
        <v>46674716</v>
      </c>
      <c r="E26" s="290">
        <v>21067673</v>
      </c>
    </row>
    <row r="27" spans="1:5" s="184" customFormat="1" ht="12" customHeight="1" thickBot="1">
      <c r="A27" s="18" t="s">
        <v>112</v>
      </c>
      <c r="B27" s="19" t="s">
        <v>423</v>
      </c>
      <c r="C27" s="718">
        <f>SUM(C28:C34)</f>
        <v>3010000</v>
      </c>
      <c r="D27" s="239">
        <f>SUM(D28:D34)</f>
        <v>3010000</v>
      </c>
      <c r="E27" s="268">
        <f>SUM(E28:E34)</f>
        <v>3256690</v>
      </c>
    </row>
    <row r="28" spans="1:5" s="184" customFormat="1" ht="12" customHeight="1">
      <c r="A28" s="13" t="s">
        <v>177</v>
      </c>
      <c r="B28" s="185" t="s">
        <v>418</v>
      </c>
      <c r="C28" s="714">
        <v>350000</v>
      </c>
      <c r="D28" s="714"/>
      <c r="E28" s="290"/>
    </row>
    <row r="29" spans="1:5" s="184" customFormat="1" ht="12" customHeight="1">
      <c r="A29" s="12" t="s">
        <v>178</v>
      </c>
      <c r="B29" s="186" t="s">
        <v>419</v>
      </c>
      <c r="C29" s="715"/>
      <c r="D29" s="715">
        <v>350000</v>
      </c>
      <c r="E29" s="290">
        <v>206715</v>
      </c>
    </row>
    <row r="30" spans="1:5" s="184" customFormat="1" ht="12" customHeight="1">
      <c r="A30" s="12" t="s">
        <v>179</v>
      </c>
      <c r="B30" s="186" t="s">
        <v>420</v>
      </c>
      <c r="C30" s="715">
        <v>1000000</v>
      </c>
      <c r="D30" s="715">
        <v>1000000</v>
      </c>
      <c r="E30" s="290">
        <v>1695763</v>
      </c>
    </row>
    <row r="31" spans="1:5" s="184" customFormat="1" ht="12" customHeight="1">
      <c r="A31" s="12" t="s">
        <v>180</v>
      </c>
      <c r="B31" s="186" t="s">
        <v>421</v>
      </c>
      <c r="C31" s="715"/>
      <c r="D31" s="715"/>
      <c r="E31" s="290"/>
    </row>
    <row r="32" spans="1:5" s="184" customFormat="1" ht="12" customHeight="1">
      <c r="A32" s="12" t="s">
        <v>415</v>
      </c>
      <c r="B32" s="186" t="s">
        <v>181</v>
      </c>
      <c r="C32" s="715">
        <v>1600000</v>
      </c>
      <c r="D32" s="715">
        <v>1600000</v>
      </c>
      <c r="E32" s="290">
        <v>1305772</v>
      </c>
    </row>
    <row r="33" spans="1:5" s="184" customFormat="1" ht="12" customHeight="1">
      <c r="A33" s="12" t="s">
        <v>416</v>
      </c>
      <c r="B33" s="186" t="s">
        <v>182</v>
      </c>
      <c r="C33" s="715"/>
      <c r="D33" s="715"/>
      <c r="E33" s="290"/>
    </row>
    <row r="34" spans="1:5" s="184" customFormat="1" ht="12" customHeight="1" thickBot="1">
      <c r="A34" s="14" t="s">
        <v>417</v>
      </c>
      <c r="B34" s="187" t="s">
        <v>183</v>
      </c>
      <c r="C34" s="716">
        <v>60000</v>
      </c>
      <c r="D34" s="716">
        <v>60000</v>
      </c>
      <c r="E34" s="290">
        <v>48440</v>
      </c>
    </row>
    <row r="35" spans="1:5" s="184" customFormat="1" ht="12" customHeight="1" thickBot="1">
      <c r="A35" s="18" t="s">
        <v>13</v>
      </c>
      <c r="B35" s="19" t="s">
        <v>335</v>
      </c>
      <c r="C35" s="713">
        <f>SUM(C36:C46)</f>
        <v>12625072</v>
      </c>
      <c r="D35" s="239">
        <f>SUM(D36:D46)</f>
        <v>17984281</v>
      </c>
      <c r="E35" s="268">
        <f>SUM(E36:E46)</f>
        <v>20187036</v>
      </c>
    </row>
    <row r="36" spans="1:5" s="184" customFormat="1" ht="12" customHeight="1">
      <c r="A36" s="13" t="s">
        <v>54</v>
      </c>
      <c r="B36" s="185" t="s">
        <v>186</v>
      </c>
      <c r="C36" s="714"/>
      <c r="D36" s="115">
        <v>1647583</v>
      </c>
      <c r="E36" s="115">
        <v>1647583</v>
      </c>
    </row>
    <row r="37" spans="1:5" s="184" customFormat="1" ht="12" customHeight="1">
      <c r="A37" s="12" t="s">
        <v>55</v>
      </c>
      <c r="B37" s="186" t="s">
        <v>187</v>
      </c>
      <c r="C37" s="715">
        <v>2036110</v>
      </c>
      <c r="D37" s="114">
        <v>6461882</v>
      </c>
      <c r="E37" s="290">
        <v>4671258</v>
      </c>
    </row>
    <row r="38" spans="1:5" s="184" customFormat="1" ht="12" customHeight="1">
      <c r="A38" s="12" t="s">
        <v>56</v>
      </c>
      <c r="B38" s="186" t="s">
        <v>188</v>
      </c>
      <c r="C38" s="715">
        <v>1778713</v>
      </c>
      <c r="D38" s="114"/>
      <c r="E38" s="290">
        <v>1146215</v>
      </c>
    </row>
    <row r="39" spans="1:5" s="184" customFormat="1" ht="12" customHeight="1">
      <c r="A39" s="12" t="s">
        <v>114</v>
      </c>
      <c r="B39" s="186" t="s">
        <v>189</v>
      </c>
      <c r="C39" s="715"/>
      <c r="D39" s="114"/>
      <c r="E39" s="290">
        <v>450860</v>
      </c>
    </row>
    <row r="40" spans="1:5" s="184" customFormat="1" ht="12" customHeight="1">
      <c r="A40" s="12" t="s">
        <v>115</v>
      </c>
      <c r="B40" s="186" t="s">
        <v>190</v>
      </c>
      <c r="C40" s="715">
        <v>6028596</v>
      </c>
      <c r="D40" s="114">
        <v>7028596</v>
      </c>
      <c r="E40" s="290">
        <v>7372564</v>
      </c>
    </row>
    <row r="41" spans="1:5" s="184" customFormat="1" ht="12" customHeight="1">
      <c r="A41" s="12" t="s">
        <v>116</v>
      </c>
      <c r="B41" s="186" t="s">
        <v>191</v>
      </c>
      <c r="C41" s="715">
        <v>2781653</v>
      </c>
      <c r="D41" s="114">
        <v>2846220</v>
      </c>
      <c r="E41" s="290">
        <v>3328901</v>
      </c>
    </row>
    <row r="42" spans="1:5" s="184" customFormat="1" ht="12" customHeight="1">
      <c r="A42" s="12" t="s">
        <v>117</v>
      </c>
      <c r="B42" s="186" t="s">
        <v>192</v>
      </c>
      <c r="C42" s="715"/>
      <c r="D42" s="114"/>
      <c r="E42" s="290"/>
    </row>
    <row r="43" spans="1:5" s="184" customFormat="1" ht="12" customHeight="1">
      <c r="A43" s="12" t="s">
        <v>118</v>
      </c>
      <c r="B43" s="186" t="s">
        <v>193</v>
      </c>
      <c r="C43" s="715"/>
      <c r="D43" s="114"/>
      <c r="E43" s="290"/>
    </row>
    <row r="44" spans="1:5" s="184" customFormat="1" ht="12" customHeight="1">
      <c r="A44" s="12" t="s">
        <v>184</v>
      </c>
      <c r="B44" s="186" t="s">
        <v>194</v>
      </c>
      <c r="C44" s="719"/>
      <c r="D44" s="117"/>
      <c r="E44" s="290"/>
    </row>
    <row r="45" spans="1:5" s="184" customFormat="1" ht="12" customHeight="1">
      <c r="A45" s="14" t="s">
        <v>185</v>
      </c>
      <c r="B45" s="187" t="s">
        <v>337</v>
      </c>
      <c r="C45" s="720"/>
      <c r="D45" s="173"/>
      <c r="E45" s="290">
        <v>135500</v>
      </c>
    </row>
    <row r="46" spans="1:5" s="184" customFormat="1" ht="12" customHeight="1" thickBot="1">
      <c r="A46" s="14" t="s">
        <v>336</v>
      </c>
      <c r="B46" s="109" t="s">
        <v>195</v>
      </c>
      <c r="C46" s="720"/>
      <c r="D46" s="173"/>
      <c r="E46" s="290">
        <v>1434155</v>
      </c>
    </row>
    <row r="47" spans="1:5" s="184" customFormat="1" ht="12" customHeight="1" thickBot="1">
      <c r="A47" s="18" t="s">
        <v>14</v>
      </c>
      <c r="B47" s="19" t="s">
        <v>196</v>
      </c>
      <c r="C47" s="713">
        <f>SUM(C48:C52)</f>
        <v>300000</v>
      </c>
      <c r="D47" s="239">
        <f>SUM(D48:D52)</f>
        <v>300000</v>
      </c>
      <c r="E47" s="268">
        <f>SUM(E48:E52)</f>
        <v>150000</v>
      </c>
    </row>
    <row r="48" spans="1:5" s="184" customFormat="1" ht="12" customHeight="1">
      <c r="A48" s="13" t="s">
        <v>57</v>
      </c>
      <c r="B48" s="185" t="s">
        <v>200</v>
      </c>
      <c r="C48" s="721"/>
      <c r="D48" s="217"/>
      <c r="E48" s="290"/>
    </row>
    <row r="49" spans="1:5" s="184" customFormat="1" ht="12" customHeight="1">
      <c r="A49" s="12" t="s">
        <v>58</v>
      </c>
      <c r="B49" s="186" t="s">
        <v>201</v>
      </c>
      <c r="C49" s="719"/>
      <c r="D49" s="117"/>
      <c r="E49" s="290"/>
    </row>
    <row r="50" spans="1:5" s="184" customFormat="1" ht="12" customHeight="1">
      <c r="A50" s="12" t="s">
        <v>197</v>
      </c>
      <c r="B50" s="186" t="s">
        <v>202</v>
      </c>
      <c r="C50" s="719">
        <v>300000</v>
      </c>
      <c r="D50" s="117">
        <v>300000</v>
      </c>
      <c r="E50" s="290">
        <v>150000</v>
      </c>
    </row>
    <row r="51" spans="1:5" s="184" customFormat="1" ht="12" customHeight="1">
      <c r="A51" s="12" t="s">
        <v>198</v>
      </c>
      <c r="B51" s="186" t="s">
        <v>203</v>
      </c>
      <c r="C51" s="719"/>
      <c r="D51" s="117"/>
      <c r="E51" s="290"/>
    </row>
    <row r="52" spans="1:5" s="184" customFormat="1" ht="12" customHeight="1" thickBot="1">
      <c r="A52" s="14" t="s">
        <v>199</v>
      </c>
      <c r="B52" s="109" t="s">
        <v>204</v>
      </c>
      <c r="C52" s="720"/>
      <c r="D52" s="173"/>
      <c r="E52" s="290"/>
    </row>
    <row r="53" spans="1:5" s="184" customFormat="1" ht="12" customHeight="1" thickBot="1">
      <c r="A53" s="18" t="s">
        <v>119</v>
      </c>
      <c r="B53" s="19" t="s">
        <v>205</v>
      </c>
      <c r="C53" s="713">
        <f>SUM(C54:C56)</f>
        <v>0</v>
      </c>
      <c r="D53" s="239">
        <f>SUM(D54:D56)</f>
        <v>0</v>
      </c>
      <c r="E53" s="268">
        <f>SUM(E54:E56)</f>
        <v>0</v>
      </c>
    </row>
    <row r="54" spans="1:5" s="184" customFormat="1" ht="12" customHeight="1">
      <c r="A54" s="13" t="s">
        <v>59</v>
      </c>
      <c r="B54" s="185" t="s">
        <v>206</v>
      </c>
      <c r="C54" s="714"/>
      <c r="D54" s="230"/>
      <c r="E54" s="290"/>
    </row>
    <row r="55" spans="1:5" s="184" customFormat="1" ht="12" customHeight="1">
      <c r="A55" s="12" t="s">
        <v>60</v>
      </c>
      <c r="B55" s="186" t="s">
        <v>329</v>
      </c>
      <c r="C55" s="715"/>
      <c r="D55" s="231"/>
      <c r="E55" s="290"/>
    </row>
    <row r="56" spans="1:5" s="184" customFormat="1" ht="12" customHeight="1">
      <c r="A56" s="12" t="s">
        <v>209</v>
      </c>
      <c r="B56" s="186" t="s">
        <v>207</v>
      </c>
      <c r="C56" s="715"/>
      <c r="D56" s="231"/>
      <c r="E56" s="290"/>
    </row>
    <row r="57" spans="1:5" s="184" customFormat="1" ht="12" customHeight="1" thickBot="1">
      <c r="A57" s="14" t="s">
        <v>210</v>
      </c>
      <c r="B57" s="109" t="s">
        <v>208</v>
      </c>
      <c r="C57" s="716"/>
      <c r="D57" s="232"/>
      <c r="E57" s="290"/>
    </row>
    <row r="58" spans="1:5" s="184" customFormat="1" ht="12" customHeight="1" thickBot="1">
      <c r="A58" s="18" t="s">
        <v>16</v>
      </c>
      <c r="B58" s="107" t="s">
        <v>211</v>
      </c>
      <c r="C58" s="713">
        <f>SUM(C59:C61)</f>
        <v>0</v>
      </c>
      <c r="D58" s="239">
        <f>SUM(D59:D61)</f>
        <v>0</v>
      </c>
      <c r="E58" s="268">
        <f>SUM(E59:E61)</f>
        <v>0</v>
      </c>
    </row>
    <row r="59" spans="1:5" s="184" customFormat="1" ht="12" customHeight="1">
      <c r="A59" s="13" t="s">
        <v>120</v>
      </c>
      <c r="B59" s="185" t="s">
        <v>213</v>
      </c>
      <c r="C59" s="719"/>
      <c r="D59" s="231"/>
      <c r="E59" s="290"/>
    </row>
    <row r="60" spans="1:5" s="184" customFormat="1" ht="12" customHeight="1">
      <c r="A60" s="12" t="s">
        <v>121</v>
      </c>
      <c r="B60" s="186" t="s">
        <v>330</v>
      </c>
      <c r="C60" s="719"/>
      <c r="D60" s="231"/>
      <c r="E60" s="290"/>
    </row>
    <row r="61" spans="1:5" s="184" customFormat="1" ht="12" customHeight="1">
      <c r="A61" s="12" t="s">
        <v>142</v>
      </c>
      <c r="B61" s="186" t="s">
        <v>214</v>
      </c>
      <c r="C61" s="719"/>
      <c r="D61" s="231"/>
      <c r="E61" s="290"/>
    </row>
    <row r="62" spans="1:5" s="184" customFormat="1" ht="12" customHeight="1" thickBot="1">
      <c r="A62" s="14" t="s">
        <v>212</v>
      </c>
      <c r="B62" s="109" t="s">
        <v>215</v>
      </c>
      <c r="C62" s="719"/>
      <c r="D62" s="231"/>
      <c r="E62" s="290"/>
    </row>
    <row r="63" spans="1:5" s="184" customFormat="1" ht="12" customHeight="1" thickBot="1">
      <c r="A63" s="227" t="s">
        <v>377</v>
      </c>
      <c r="B63" s="19" t="s">
        <v>216</v>
      </c>
      <c r="C63" s="718">
        <f>+C6+C13+C20+C27+C35+C47+C53+C58</f>
        <v>204639997</v>
      </c>
      <c r="D63" s="239">
        <f>+D6+D13+D20+D27+D35+D47+D53+D58</f>
        <v>287508091</v>
      </c>
      <c r="E63" s="268">
        <f>+E6+E13+E20+E27+E35+E47+E53+E58</f>
        <v>244345190</v>
      </c>
    </row>
    <row r="64" spans="1:5" s="184" customFormat="1" ht="12" customHeight="1" thickBot="1">
      <c r="A64" s="219" t="s">
        <v>217</v>
      </c>
      <c r="B64" s="107" t="s">
        <v>218</v>
      </c>
      <c r="C64" s="713">
        <f>SUM(C65:C67)</f>
        <v>0</v>
      </c>
      <c r="D64" s="239">
        <f>SUM(D65:D67)</f>
        <v>0</v>
      </c>
      <c r="E64" s="268">
        <f>SUM(E65:E67)</f>
        <v>0</v>
      </c>
    </row>
    <row r="65" spans="1:5" s="184" customFormat="1" ht="12" customHeight="1">
      <c r="A65" s="13" t="s">
        <v>248</v>
      </c>
      <c r="B65" s="185" t="s">
        <v>219</v>
      </c>
      <c r="C65" s="719"/>
      <c r="D65" s="231"/>
      <c r="E65" s="290"/>
    </row>
    <row r="66" spans="1:5" s="184" customFormat="1" ht="12" customHeight="1">
      <c r="A66" s="12" t="s">
        <v>257</v>
      </c>
      <c r="B66" s="186" t="s">
        <v>220</v>
      </c>
      <c r="C66" s="719"/>
      <c r="D66" s="231"/>
      <c r="E66" s="290"/>
    </row>
    <row r="67" spans="1:5" s="184" customFormat="1" ht="12" customHeight="1" thickBot="1">
      <c r="A67" s="14" t="s">
        <v>258</v>
      </c>
      <c r="B67" s="221" t="s">
        <v>362</v>
      </c>
      <c r="C67" s="719"/>
      <c r="D67" s="231"/>
      <c r="E67" s="290"/>
    </row>
    <row r="68" spans="1:5" s="184" customFormat="1" ht="12" customHeight="1" thickBot="1">
      <c r="A68" s="219" t="s">
        <v>221</v>
      </c>
      <c r="B68" s="107" t="s">
        <v>222</v>
      </c>
      <c r="C68" s="713">
        <f>SUM(C69:C72)</f>
        <v>0</v>
      </c>
      <c r="D68" s="229">
        <f>SUM(D69:D72)</f>
        <v>0</v>
      </c>
      <c r="E68" s="268">
        <f>SUM(E69:E72)</f>
        <v>0</v>
      </c>
    </row>
    <row r="69" spans="1:5" s="184" customFormat="1" ht="12" customHeight="1">
      <c r="A69" s="13" t="s">
        <v>89</v>
      </c>
      <c r="B69" s="185" t="s">
        <v>223</v>
      </c>
      <c r="C69" s="719"/>
      <c r="D69" s="231"/>
      <c r="E69" s="290"/>
    </row>
    <row r="70" spans="1:5" s="184" customFormat="1" ht="12" customHeight="1">
      <c r="A70" s="12" t="s">
        <v>90</v>
      </c>
      <c r="B70" s="186" t="s">
        <v>224</v>
      </c>
      <c r="C70" s="719"/>
      <c r="D70" s="231"/>
      <c r="E70" s="290"/>
    </row>
    <row r="71" spans="1:5" s="184" customFormat="1" ht="12" customHeight="1">
      <c r="A71" s="12" t="s">
        <v>249</v>
      </c>
      <c r="B71" s="186" t="s">
        <v>225</v>
      </c>
      <c r="C71" s="720"/>
      <c r="D71" s="231"/>
      <c r="E71" s="290"/>
    </row>
    <row r="72" spans="1:5" s="184" customFormat="1" ht="12" customHeight="1" thickBot="1">
      <c r="A72" s="14" t="s">
        <v>250</v>
      </c>
      <c r="B72" s="109" t="s">
        <v>226</v>
      </c>
      <c r="C72" s="722"/>
      <c r="D72" s="231"/>
      <c r="E72" s="290"/>
    </row>
    <row r="73" spans="1:5" s="184" customFormat="1" ht="12" customHeight="1" thickBot="1">
      <c r="A73" s="219" t="s">
        <v>227</v>
      </c>
      <c r="B73" s="107" t="s">
        <v>228</v>
      </c>
      <c r="C73" s="713">
        <f>SUM(C74:C75)</f>
        <v>79773946</v>
      </c>
      <c r="D73" s="239">
        <f>SUM(D74:D75)</f>
        <v>80797891</v>
      </c>
      <c r="E73" s="268">
        <f>SUM(E74:E75)</f>
        <v>80797891</v>
      </c>
    </row>
    <row r="74" spans="1:5" s="184" customFormat="1" ht="12" customHeight="1">
      <c r="A74" s="13" t="s">
        <v>251</v>
      </c>
      <c r="B74" s="185" t="s">
        <v>229</v>
      </c>
      <c r="C74" s="723">
        <v>79773946</v>
      </c>
      <c r="D74" s="117">
        <v>80797891</v>
      </c>
      <c r="E74" s="117">
        <v>80797891</v>
      </c>
    </row>
    <row r="75" spans="1:5" s="184" customFormat="1" ht="12" customHeight="1" thickBot="1">
      <c r="A75" s="14" t="s">
        <v>252</v>
      </c>
      <c r="B75" s="109" t="s">
        <v>230</v>
      </c>
      <c r="C75" s="722"/>
      <c r="D75" s="117"/>
      <c r="E75" s="290"/>
    </row>
    <row r="76" spans="1:5" s="184" customFormat="1" ht="12" customHeight="1" thickBot="1">
      <c r="A76" s="219" t="s">
        <v>231</v>
      </c>
      <c r="B76" s="107" t="s">
        <v>232</v>
      </c>
      <c r="C76" s="713">
        <f>SUM(C77:C79)</f>
        <v>0</v>
      </c>
      <c r="D76" s="239">
        <f>SUM(D77:D79)</f>
        <v>0</v>
      </c>
      <c r="E76" s="268">
        <f>SUM(E77:E79)</f>
        <v>3140241</v>
      </c>
    </row>
    <row r="77" spans="1:5" s="184" customFormat="1" ht="12" customHeight="1">
      <c r="A77" s="13" t="s">
        <v>253</v>
      </c>
      <c r="B77" s="185" t="s">
        <v>233</v>
      </c>
      <c r="C77" s="719"/>
      <c r="D77" s="117"/>
      <c r="E77" s="290">
        <v>3140241</v>
      </c>
    </row>
    <row r="78" spans="1:5" s="184" customFormat="1" ht="12" customHeight="1">
      <c r="A78" s="12" t="s">
        <v>254</v>
      </c>
      <c r="B78" s="186" t="s">
        <v>234</v>
      </c>
      <c r="C78" s="719"/>
      <c r="D78" s="240"/>
      <c r="E78" s="290"/>
    </row>
    <row r="79" spans="1:5" s="184" customFormat="1" ht="12" customHeight="1" thickBot="1">
      <c r="A79" s="14" t="s">
        <v>255</v>
      </c>
      <c r="B79" s="109" t="s">
        <v>235</v>
      </c>
      <c r="C79" s="722"/>
      <c r="D79" s="240"/>
      <c r="E79" s="290"/>
    </row>
    <row r="80" spans="1:5" s="184" customFormat="1" ht="12" customHeight="1" thickBot="1">
      <c r="A80" s="219" t="s">
        <v>236</v>
      </c>
      <c r="B80" s="107" t="s">
        <v>256</v>
      </c>
      <c r="C80" s="713">
        <f>SUM(C81:C84)</f>
        <v>0</v>
      </c>
      <c r="D80" s="239">
        <f>SUM(D81:D84)</f>
        <v>0</v>
      </c>
      <c r="E80" s="268">
        <f>SUM(E81:E84)</f>
        <v>0</v>
      </c>
    </row>
    <row r="81" spans="1:5" s="184" customFormat="1" ht="12" customHeight="1">
      <c r="A81" s="188" t="s">
        <v>237</v>
      </c>
      <c r="B81" s="185" t="s">
        <v>238</v>
      </c>
      <c r="C81" s="719"/>
      <c r="D81" s="240"/>
      <c r="E81" s="290"/>
    </row>
    <row r="82" spans="1:5" s="184" customFormat="1" ht="12" customHeight="1">
      <c r="A82" s="189" t="s">
        <v>239</v>
      </c>
      <c r="B82" s="186" t="s">
        <v>240</v>
      </c>
      <c r="C82" s="719"/>
      <c r="D82" s="240"/>
      <c r="E82" s="290"/>
    </row>
    <row r="83" spans="1:5" s="184" customFormat="1" ht="12" customHeight="1">
      <c r="A83" s="189" t="s">
        <v>241</v>
      </c>
      <c r="B83" s="186" t="s">
        <v>242</v>
      </c>
      <c r="C83" s="719"/>
      <c r="D83" s="240"/>
      <c r="E83" s="290"/>
    </row>
    <row r="84" spans="1:5" s="184" customFormat="1" ht="12" customHeight="1" thickBot="1">
      <c r="A84" s="190" t="s">
        <v>243</v>
      </c>
      <c r="B84" s="109" t="s">
        <v>244</v>
      </c>
      <c r="C84" s="719"/>
      <c r="D84" s="241"/>
      <c r="E84" s="291"/>
    </row>
    <row r="85" spans="1:5" s="184" customFormat="1" ht="12" customHeight="1" thickBot="1">
      <c r="A85" s="219" t="s">
        <v>245</v>
      </c>
      <c r="B85" s="107" t="s">
        <v>376</v>
      </c>
      <c r="C85" s="724"/>
      <c r="D85" s="242"/>
      <c r="E85" s="292"/>
    </row>
    <row r="86" spans="1:5" s="184" customFormat="1" ht="13.5" customHeight="1" thickBot="1">
      <c r="A86" s="219" t="s">
        <v>247</v>
      </c>
      <c r="B86" s="107" t="s">
        <v>246</v>
      </c>
      <c r="C86" s="724"/>
      <c r="D86" s="243"/>
      <c r="E86" s="293"/>
    </row>
    <row r="87" spans="1:5" s="184" customFormat="1" ht="15.75" customHeight="1" thickBot="1">
      <c r="A87" s="219" t="s">
        <v>259</v>
      </c>
      <c r="B87" s="191" t="s">
        <v>379</v>
      </c>
      <c r="C87" s="718">
        <f>+C64+C68+C73+C76+C80+C86+C85</f>
        <v>79773946</v>
      </c>
      <c r="D87" s="239">
        <f>+D64+D68+D73+D76+D80+D86+D85</f>
        <v>80797891</v>
      </c>
      <c r="E87" s="268">
        <f>+E64+E68+E73+E76+E80+E86+E85</f>
        <v>83938132</v>
      </c>
    </row>
    <row r="88" spans="1:5" s="184" customFormat="1" ht="16.5" customHeight="1" thickBot="1">
      <c r="A88" s="220" t="s">
        <v>378</v>
      </c>
      <c r="B88" s="192" t="s">
        <v>380</v>
      </c>
      <c r="C88" s="718">
        <f>+C63+C87</f>
        <v>284413943</v>
      </c>
      <c r="D88" s="229">
        <f>+D63+D87</f>
        <v>368305982</v>
      </c>
      <c r="E88" s="268">
        <f>+E63+E87</f>
        <v>328283322</v>
      </c>
    </row>
    <row r="89" spans="1:3" s="184" customFormat="1" ht="25.5" customHeight="1">
      <c r="A89" s="3"/>
      <c r="B89" s="4"/>
      <c r="C89" s="119"/>
    </row>
    <row r="90" spans="1:3" ht="16.5" customHeight="1">
      <c r="A90" s="824" t="s">
        <v>37</v>
      </c>
      <c r="B90" s="824"/>
      <c r="C90" s="824"/>
    </row>
    <row r="91" spans="1:3" s="193" customFormat="1" ht="16.5" customHeight="1" thickBot="1">
      <c r="A91" s="826" t="s">
        <v>93</v>
      </c>
      <c r="B91" s="826"/>
      <c r="C91" s="64" t="s">
        <v>426</v>
      </c>
    </row>
    <row r="92" spans="1:5" ht="37.5" customHeight="1" thickBot="1">
      <c r="A92" s="21" t="s">
        <v>49</v>
      </c>
      <c r="B92" s="22" t="s">
        <v>38</v>
      </c>
      <c r="C92" s="31" t="s">
        <v>772</v>
      </c>
      <c r="D92" s="237" t="s">
        <v>773</v>
      </c>
      <c r="E92" s="289" t="s">
        <v>774</v>
      </c>
    </row>
    <row r="93" spans="1:5" s="183" customFormat="1" ht="12" customHeight="1" thickBot="1">
      <c r="A93" s="25" t="s">
        <v>394</v>
      </c>
      <c r="B93" s="26" t="s">
        <v>395</v>
      </c>
      <c r="C93" s="27" t="s">
        <v>396</v>
      </c>
      <c r="D93" s="247" t="s">
        <v>398</v>
      </c>
      <c r="E93" s="247" t="s">
        <v>397</v>
      </c>
    </row>
    <row r="94" spans="1:5" ht="12" customHeight="1" thickBot="1">
      <c r="A94" s="20" t="s">
        <v>9</v>
      </c>
      <c r="B94" s="24" t="s">
        <v>338</v>
      </c>
      <c r="C94" s="725">
        <f>C95+C96+C97+C98+C99+C112</f>
        <v>177663871</v>
      </c>
      <c r="D94" s="271">
        <f>D95+D96+D97+D98+D99+D112</f>
        <v>214783871</v>
      </c>
      <c r="E94" s="295">
        <f>E95+E96+E97+E98+E99+E112</f>
        <v>183311644</v>
      </c>
    </row>
    <row r="95" spans="1:5" ht="12" customHeight="1">
      <c r="A95" s="15" t="s">
        <v>61</v>
      </c>
      <c r="B95" s="8" t="s">
        <v>39</v>
      </c>
      <c r="C95" s="726">
        <v>63146791</v>
      </c>
      <c r="D95" s="113">
        <f>102547165-5586213</f>
        <v>96960952</v>
      </c>
      <c r="E95" s="299">
        <f>97313409-5586213</f>
        <v>91727196</v>
      </c>
    </row>
    <row r="96" spans="1:5" ht="12" customHeight="1">
      <c r="A96" s="12" t="s">
        <v>62</v>
      </c>
      <c r="B96" s="6" t="s">
        <v>122</v>
      </c>
      <c r="C96" s="715">
        <v>9846041</v>
      </c>
      <c r="D96" s="114">
        <f>16070229-1029611</f>
        <v>15040618</v>
      </c>
      <c r="E96" s="299">
        <f>13393261-1029611</f>
        <v>12363650</v>
      </c>
    </row>
    <row r="97" spans="1:5" ht="12" customHeight="1">
      <c r="A97" s="12" t="s">
        <v>63</v>
      </c>
      <c r="B97" s="6" t="s">
        <v>87</v>
      </c>
      <c r="C97" s="716">
        <v>65138346</v>
      </c>
      <c r="D97" s="116">
        <f>73176847-1219409</f>
        <v>71957438</v>
      </c>
      <c r="E97" s="299">
        <f>50512963-1219409</f>
        <v>49293554</v>
      </c>
    </row>
    <row r="98" spans="1:5" ht="12" customHeight="1">
      <c r="A98" s="12" t="s">
        <v>64</v>
      </c>
      <c r="B98" s="9" t="s">
        <v>123</v>
      </c>
      <c r="C98" s="716">
        <v>20700000</v>
      </c>
      <c r="D98" s="116">
        <v>23959653</v>
      </c>
      <c r="E98" s="299">
        <v>23609653</v>
      </c>
    </row>
    <row r="99" spans="1:5" ht="12" customHeight="1">
      <c r="A99" s="12" t="s">
        <v>72</v>
      </c>
      <c r="B99" s="17" t="s">
        <v>124</v>
      </c>
      <c r="C99" s="716">
        <v>18832693</v>
      </c>
      <c r="D99" s="396">
        <v>6865210</v>
      </c>
      <c r="E99" s="299">
        <v>6317591</v>
      </c>
    </row>
    <row r="100" spans="1:5" ht="12" customHeight="1">
      <c r="A100" s="12" t="s">
        <v>65</v>
      </c>
      <c r="B100" s="6" t="s">
        <v>343</v>
      </c>
      <c r="C100" s="716"/>
      <c r="D100" s="116"/>
      <c r="E100" s="299"/>
    </row>
    <row r="101" spans="1:5" ht="12" customHeight="1">
      <c r="A101" s="12" t="s">
        <v>66</v>
      </c>
      <c r="B101" s="69" t="s">
        <v>342</v>
      </c>
      <c r="C101" s="716"/>
      <c r="D101" s="116"/>
      <c r="E101" s="299"/>
    </row>
    <row r="102" spans="1:5" ht="12" customHeight="1">
      <c r="A102" s="12" t="s">
        <v>73</v>
      </c>
      <c r="B102" s="69" t="s">
        <v>341</v>
      </c>
      <c r="C102" s="716"/>
      <c r="D102" s="116"/>
      <c r="E102" s="299"/>
    </row>
    <row r="103" spans="1:5" ht="12" customHeight="1">
      <c r="A103" s="12" t="s">
        <v>74</v>
      </c>
      <c r="B103" s="67" t="s">
        <v>262</v>
      </c>
      <c r="C103" s="716"/>
      <c r="D103" s="116"/>
      <c r="E103" s="299"/>
    </row>
    <row r="104" spans="1:5" ht="12" customHeight="1">
      <c r="A104" s="12" t="s">
        <v>75</v>
      </c>
      <c r="B104" s="68" t="s">
        <v>263</v>
      </c>
      <c r="C104" s="716"/>
      <c r="D104" s="116"/>
      <c r="E104" s="299"/>
    </row>
    <row r="105" spans="1:5" ht="12" customHeight="1">
      <c r="A105" s="12" t="s">
        <v>76</v>
      </c>
      <c r="B105" s="68" t="s">
        <v>264</v>
      </c>
      <c r="C105" s="716"/>
      <c r="D105" s="116"/>
      <c r="E105" s="299"/>
    </row>
    <row r="106" spans="1:5" ht="12" customHeight="1">
      <c r="A106" s="12" t="s">
        <v>78</v>
      </c>
      <c r="B106" s="67" t="s">
        <v>265</v>
      </c>
      <c r="C106" s="716">
        <v>16981953</v>
      </c>
      <c r="D106" s="396">
        <v>5780470</v>
      </c>
      <c r="E106" s="299">
        <v>5265641</v>
      </c>
    </row>
    <row r="107" spans="1:5" ht="12" customHeight="1">
      <c r="A107" s="12" t="s">
        <v>125</v>
      </c>
      <c r="B107" s="67" t="s">
        <v>266</v>
      </c>
      <c r="C107" s="716"/>
      <c r="D107" s="116"/>
      <c r="E107" s="299"/>
    </row>
    <row r="108" spans="1:5" ht="12" customHeight="1">
      <c r="A108" s="12" t="s">
        <v>260</v>
      </c>
      <c r="B108" s="68" t="s">
        <v>267</v>
      </c>
      <c r="C108" s="716"/>
      <c r="D108" s="116"/>
      <c r="E108" s="299"/>
    </row>
    <row r="109" spans="1:5" ht="12" customHeight="1">
      <c r="A109" s="11" t="s">
        <v>261</v>
      </c>
      <c r="B109" s="69" t="s">
        <v>268</v>
      </c>
      <c r="C109" s="716"/>
      <c r="D109" s="116"/>
      <c r="E109" s="299"/>
    </row>
    <row r="110" spans="1:5" ht="12" customHeight="1">
      <c r="A110" s="12" t="s">
        <v>339</v>
      </c>
      <c r="B110" s="69" t="s">
        <v>269</v>
      </c>
      <c r="C110" s="716"/>
      <c r="D110" s="116"/>
      <c r="E110" s="299"/>
    </row>
    <row r="111" spans="1:5" ht="12" customHeight="1">
      <c r="A111" s="14" t="s">
        <v>340</v>
      </c>
      <c r="B111" s="69" t="s">
        <v>270</v>
      </c>
      <c r="C111" s="716">
        <v>1850740</v>
      </c>
      <c r="D111" s="116">
        <v>1084740</v>
      </c>
      <c r="E111" s="299">
        <v>1051950</v>
      </c>
    </row>
    <row r="112" spans="1:5" ht="12" customHeight="1">
      <c r="A112" s="12" t="s">
        <v>344</v>
      </c>
      <c r="B112" s="9" t="s">
        <v>40</v>
      </c>
      <c r="C112" s="715"/>
      <c r="D112" s="114"/>
      <c r="E112" s="299"/>
    </row>
    <row r="113" spans="1:5" ht="12" customHeight="1">
      <c r="A113" s="12" t="s">
        <v>345</v>
      </c>
      <c r="B113" s="6" t="s">
        <v>347</v>
      </c>
      <c r="C113" s="715"/>
      <c r="D113" s="114"/>
      <c r="E113" s="299"/>
    </row>
    <row r="114" spans="1:5" ht="12" customHeight="1" thickBot="1">
      <c r="A114" s="16" t="s">
        <v>346</v>
      </c>
      <c r="B114" s="225" t="s">
        <v>348</v>
      </c>
      <c r="C114" s="727"/>
      <c r="D114" s="120"/>
      <c r="E114" s="300"/>
    </row>
    <row r="115" spans="1:5" ht="12" customHeight="1" thickBot="1">
      <c r="A115" s="222" t="s">
        <v>10</v>
      </c>
      <c r="B115" s="223" t="s">
        <v>271</v>
      </c>
      <c r="C115" s="728">
        <v>104633831</v>
      </c>
      <c r="D115" s="271">
        <f>+D116+D118+D120</f>
        <v>152176713</v>
      </c>
      <c r="E115" s="239">
        <f>+E116+E118+E120</f>
        <v>121989997</v>
      </c>
    </row>
    <row r="116" spans="1:5" ht="12" customHeight="1">
      <c r="A116" s="13" t="s">
        <v>67</v>
      </c>
      <c r="B116" s="6" t="s">
        <v>141</v>
      </c>
      <c r="C116" s="714">
        <v>9275851</v>
      </c>
      <c r="D116" s="115">
        <v>16445078</v>
      </c>
      <c r="E116" s="299">
        <v>9195695</v>
      </c>
    </row>
    <row r="117" spans="1:5" ht="12" customHeight="1">
      <c r="A117" s="13" t="s">
        <v>68</v>
      </c>
      <c r="B117" s="10" t="s">
        <v>275</v>
      </c>
      <c r="C117" s="715">
        <v>7353300</v>
      </c>
      <c r="D117" s="115">
        <v>7486650</v>
      </c>
      <c r="E117" s="115">
        <v>7486650</v>
      </c>
    </row>
    <row r="118" spans="1:5" ht="12" customHeight="1">
      <c r="A118" s="13" t="s">
        <v>69</v>
      </c>
      <c r="B118" s="10" t="s">
        <v>126</v>
      </c>
      <c r="C118" s="729">
        <v>95057980</v>
      </c>
      <c r="D118" s="114">
        <v>135431635</v>
      </c>
      <c r="E118" s="299">
        <v>112694302</v>
      </c>
    </row>
    <row r="119" spans="1:5" ht="12" customHeight="1">
      <c r="A119" s="13" t="s">
        <v>70</v>
      </c>
      <c r="B119" s="10" t="s">
        <v>276</v>
      </c>
      <c r="C119" s="729">
        <v>95057980</v>
      </c>
      <c r="D119" s="729">
        <v>95057980</v>
      </c>
      <c r="E119" s="299">
        <v>95047243</v>
      </c>
    </row>
    <row r="120" spans="1:5" ht="12" customHeight="1">
      <c r="A120" s="13" t="s">
        <v>71</v>
      </c>
      <c r="B120" s="109" t="s">
        <v>143</v>
      </c>
      <c r="C120" s="729">
        <v>300000</v>
      </c>
      <c r="D120" s="105">
        <v>300000</v>
      </c>
      <c r="E120" s="299">
        <v>100000</v>
      </c>
    </row>
    <row r="121" spans="1:5" ht="12" customHeight="1">
      <c r="A121" s="13" t="s">
        <v>77</v>
      </c>
      <c r="B121" s="108" t="s">
        <v>331</v>
      </c>
      <c r="C121" s="729"/>
      <c r="D121" s="105"/>
      <c r="E121" s="299"/>
    </row>
    <row r="122" spans="1:5" ht="12" customHeight="1">
      <c r="A122" s="13" t="s">
        <v>79</v>
      </c>
      <c r="B122" s="181" t="s">
        <v>281</v>
      </c>
      <c r="C122" s="729"/>
      <c r="D122" s="105"/>
      <c r="E122" s="299"/>
    </row>
    <row r="123" spans="1:5" ht="15">
      <c r="A123" s="13" t="s">
        <v>127</v>
      </c>
      <c r="B123" s="68" t="s">
        <v>264</v>
      </c>
      <c r="C123" s="729"/>
      <c r="D123" s="105"/>
      <c r="E123" s="299"/>
    </row>
    <row r="124" spans="1:5" ht="12" customHeight="1">
      <c r="A124" s="13" t="s">
        <v>128</v>
      </c>
      <c r="B124" s="68" t="s">
        <v>280</v>
      </c>
      <c r="C124" s="729"/>
      <c r="D124" s="105"/>
      <c r="E124" s="299"/>
    </row>
    <row r="125" spans="1:5" ht="12" customHeight="1">
      <c r="A125" s="13" t="s">
        <v>129</v>
      </c>
      <c r="B125" s="68" t="s">
        <v>279</v>
      </c>
      <c r="C125" s="729"/>
      <c r="D125" s="105"/>
      <c r="E125" s="299"/>
    </row>
    <row r="126" spans="1:5" ht="12" customHeight="1">
      <c r="A126" s="13" t="s">
        <v>272</v>
      </c>
      <c r="B126" s="68" t="s">
        <v>267</v>
      </c>
      <c r="C126" s="729"/>
      <c r="D126" s="105"/>
      <c r="E126" s="299"/>
    </row>
    <row r="127" spans="1:5" ht="12" customHeight="1">
      <c r="A127" s="13" t="s">
        <v>273</v>
      </c>
      <c r="B127" s="68" t="s">
        <v>278</v>
      </c>
      <c r="C127" s="729">
        <v>300000</v>
      </c>
      <c r="D127" s="105">
        <v>300000</v>
      </c>
      <c r="E127" s="299">
        <v>100000</v>
      </c>
    </row>
    <row r="128" spans="1:5" ht="15.75" thickBot="1">
      <c r="A128" s="11" t="s">
        <v>274</v>
      </c>
      <c r="B128" s="68" t="s">
        <v>277</v>
      </c>
      <c r="C128" s="730"/>
      <c r="D128" s="106"/>
      <c r="E128" s="299"/>
    </row>
    <row r="129" spans="1:5" ht="12" customHeight="1" thickBot="1">
      <c r="A129" s="18" t="s">
        <v>11</v>
      </c>
      <c r="B129" s="56" t="s">
        <v>349</v>
      </c>
      <c r="C129" s="713">
        <f>+C94+C115</f>
        <v>282297702</v>
      </c>
      <c r="D129" s="268">
        <f>+D94+D115</f>
        <v>366960584</v>
      </c>
      <c r="E129" s="239">
        <f>+E94+E115</f>
        <v>305301641</v>
      </c>
    </row>
    <row r="130" spans="1:5" ht="12" customHeight="1" thickBot="1">
      <c r="A130" s="18" t="s">
        <v>12</v>
      </c>
      <c r="B130" s="56" t="s">
        <v>350</v>
      </c>
      <c r="C130" s="713">
        <f>+C131+C132+C133</f>
        <v>0</v>
      </c>
      <c r="D130" s="268">
        <f>+D131+D132+D133</f>
        <v>0</v>
      </c>
      <c r="E130" s="239">
        <f>+E131+E132+E133</f>
        <v>0</v>
      </c>
    </row>
    <row r="131" spans="1:5" ht="12" customHeight="1">
      <c r="A131" s="13" t="s">
        <v>177</v>
      </c>
      <c r="B131" s="10" t="s">
        <v>357</v>
      </c>
      <c r="C131" s="729"/>
      <c r="D131" s="233"/>
      <c r="E131" s="299"/>
    </row>
    <row r="132" spans="1:5" ht="12" customHeight="1">
      <c r="A132" s="13" t="s">
        <v>178</v>
      </c>
      <c r="B132" s="10" t="s">
        <v>358</v>
      </c>
      <c r="C132" s="729"/>
      <c r="D132" s="274"/>
      <c r="E132" s="299"/>
    </row>
    <row r="133" spans="1:5" ht="12" customHeight="1" thickBot="1">
      <c r="A133" s="11" t="s">
        <v>179</v>
      </c>
      <c r="B133" s="10" t="s">
        <v>359</v>
      </c>
      <c r="C133" s="729"/>
      <c r="D133" s="274"/>
      <c r="E133" s="299"/>
    </row>
    <row r="134" spans="1:5" ht="12" customHeight="1" thickBot="1">
      <c r="A134" s="18" t="s">
        <v>13</v>
      </c>
      <c r="B134" s="56" t="s">
        <v>351</v>
      </c>
      <c r="C134" s="713">
        <f>SUM(C135:C140)</f>
        <v>0</v>
      </c>
      <c r="D134" s="268">
        <f>SUM(D135:D140)</f>
        <v>0</v>
      </c>
      <c r="E134" s="239">
        <f>SUM(E135:E140)</f>
        <v>0</v>
      </c>
    </row>
    <row r="135" spans="1:5" ht="12" customHeight="1">
      <c r="A135" s="13" t="s">
        <v>54</v>
      </c>
      <c r="B135" s="7" t="s">
        <v>360</v>
      </c>
      <c r="C135" s="729"/>
      <c r="D135" s="274"/>
      <c r="E135" s="299"/>
    </row>
    <row r="136" spans="1:5" ht="12" customHeight="1">
      <c r="A136" s="13" t="s">
        <v>55</v>
      </c>
      <c r="B136" s="7" t="s">
        <v>352</v>
      </c>
      <c r="C136" s="729"/>
      <c r="D136" s="274"/>
      <c r="E136" s="299"/>
    </row>
    <row r="137" spans="1:5" ht="12" customHeight="1">
      <c r="A137" s="13" t="s">
        <v>56</v>
      </c>
      <c r="B137" s="7" t="s">
        <v>353</v>
      </c>
      <c r="C137" s="729"/>
      <c r="D137" s="274"/>
      <c r="E137" s="299"/>
    </row>
    <row r="138" spans="1:5" ht="12" customHeight="1">
      <c r="A138" s="13" t="s">
        <v>114</v>
      </c>
      <c r="B138" s="7" t="s">
        <v>354</v>
      </c>
      <c r="C138" s="729"/>
      <c r="D138" s="274"/>
      <c r="E138" s="299"/>
    </row>
    <row r="139" spans="1:5" ht="12" customHeight="1">
      <c r="A139" s="13" t="s">
        <v>115</v>
      </c>
      <c r="B139" s="7" t="s">
        <v>355</v>
      </c>
      <c r="C139" s="730"/>
      <c r="D139" s="274"/>
      <c r="E139" s="299"/>
    </row>
    <row r="140" spans="1:5" ht="12" customHeight="1" thickBot="1">
      <c r="A140" s="11" t="s">
        <v>116</v>
      </c>
      <c r="B140" s="7" t="s">
        <v>356</v>
      </c>
      <c r="C140" s="731"/>
      <c r="D140" s="274"/>
      <c r="E140" s="299"/>
    </row>
    <row r="141" spans="1:5" ht="12" customHeight="1" thickBot="1">
      <c r="A141" s="18" t="s">
        <v>14</v>
      </c>
      <c r="B141" s="56" t="s">
        <v>364</v>
      </c>
      <c r="C141" s="718">
        <f>+C142+C143+C144+C145</f>
        <v>2116241</v>
      </c>
      <c r="D141" s="269">
        <f>+D142+D143+D144+D145</f>
        <v>2116241</v>
      </c>
      <c r="E141" s="296">
        <f>+E142+E143+E144+E145</f>
        <v>2116241</v>
      </c>
    </row>
    <row r="142" spans="1:5" ht="12" customHeight="1">
      <c r="A142" s="13" t="s">
        <v>57</v>
      </c>
      <c r="B142" s="7" t="s">
        <v>282</v>
      </c>
      <c r="C142" s="729"/>
      <c r="D142" s="233"/>
      <c r="E142" s="299"/>
    </row>
    <row r="143" spans="1:5" ht="12" customHeight="1">
      <c r="A143" s="13" t="s">
        <v>58</v>
      </c>
      <c r="B143" s="7" t="s">
        <v>283</v>
      </c>
      <c r="C143" s="729">
        <v>2116241</v>
      </c>
      <c r="D143" s="105">
        <v>2116241</v>
      </c>
      <c r="E143" s="299">
        <v>2116241</v>
      </c>
    </row>
    <row r="144" spans="1:5" ht="12" customHeight="1">
      <c r="A144" s="13" t="s">
        <v>197</v>
      </c>
      <c r="B144" s="7" t="s">
        <v>365</v>
      </c>
      <c r="C144" s="730"/>
      <c r="D144" s="233"/>
      <c r="E144" s="299"/>
    </row>
    <row r="145" spans="1:5" ht="12" customHeight="1" thickBot="1">
      <c r="A145" s="11" t="s">
        <v>198</v>
      </c>
      <c r="B145" s="5" t="s">
        <v>300</v>
      </c>
      <c r="C145" s="731"/>
      <c r="D145" s="233"/>
      <c r="E145" s="299"/>
    </row>
    <row r="146" spans="1:5" ht="12" customHeight="1" thickBot="1">
      <c r="A146" s="18" t="s">
        <v>15</v>
      </c>
      <c r="B146" s="56" t="s">
        <v>366</v>
      </c>
      <c r="C146" s="732">
        <f>SUM(C147:C151)</f>
        <v>0</v>
      </c>
      <c r="D146" s="272">
        <f>SUM(D147:D151)</f>
        <v>0</v>
      </c>
      <c r="E146" s="297">
        <f>SUM(E147:E151)</f>
        <v>0</v>
      </c>
    </row>
    <row r="147" spans="1:5" ht="12" customHeight="1">
      <c r="A147" s="13" t="s">
        <v>59</v>
      </c>
      <c r="B147" s="7" t="s">
        <v>361</v>
      </c>
      <c r="C147" s="729"/>
      <c r="D147" s="274"/>
      <c r="E147" s="299"/>
    </row>
    <row r="148" spans="1:5" ht="12" customHeight="1">
      <c r="A148" s="13" t="s">
        <v>60</v>
      </c>
      <c r="B148" s="7" t="s">
        <v>368</v>
      </c>
      <c r="C148" s="729"/>
      <c r="D148" s="274"/>
      <c r="E148" s="299"/>
    </row>
    <row r="149" spans="1:5" ht="12" customHeight="1">
      <c r="A149" s="13" t="s">
        <v>209</v>
      </c>
      <c r="B149" s="7" t="s">
        <v>363</v>
      </c>
      <c r="C149" s="729"/>
      <c r="D149" s="274"/>
      <c r="E149" s="299"/>
    </row>
    <row r="150" spans="1:5" ht="12" customHeight="1">
      <c r="A150" s="13" t="s">
        <v>210</v>
      </c>
      <c r="B150" s="7" t="s">
        <v>369</v>
      </c>
      <c r="C150" s="729"/>
      <c r="D150" s="274"/>
      <c r="E150" s="299"/>
    </row>
    <row r="151" spans="1:5" ht="12" customHeight="1" thickBot="1">
      <c r="A151" s="13" t="s">
        <v>367</v>
      </c>
      <c r="B151" s="7" t="s">
        <v>370</v>
      </c>
      <c r="C151" s="729"/>
      <c r="D151" s="275"/>
      <c r="E151" s="300"/>
    </row>
    <row r="152" spans="1:5" ht="12" customHeight="1" thickBot="1">
      <c r="A152" s="18" t="s">
        <v>16</v>
      </c>
      <c r="B152" s="56" t="s">
        <v>371</v>
      </c>
      <c r="C152" s="733"/>
      <c r="D152" s="276"/>
      <c r="E152" s="301"/>
    </row>
    <row r="153" spans="1:5" ht="12" customHeight="1" thickBot="1">
      <c r="A153" s="18" t="s">
        <v>17</v>
      </c>
      <c r="B153" s="56" t="s">
        <v>372</v>
      </c>
      <c r="C153" s="733"/>
      <c r="D153" s="277"/>
      <c r="E153" s="302"/>
    </row>
    <row r="154" spans="1:8" ht="15" customHeight="1" thickBot="1">
      <c r="A154" s="18" t="s">
        <v>18</v>
      </c>
      <c r="B154" s="56" t="s">
        <v>374</v>
      </c>
      <c r="C154" s="734">
        <f>+C130+C134+C141+C146+C152+C153</f>
        <v>2116241</v>
      </c>
      <c r="D154" s="273">
        <f>+D130+D134+D141+D146+D152+D153</f>
        <v>2116241</v>
      </c>
      <c r="E154" s="298">
        <f>+E130+E134+E141+E146+E152+E153</f>
        <v>2116241</v>
      </c>
      <c r="F154" s="196"/>
      <c r="G154" s="196"/>
      <c r="H154" s="196"/>
    </row>
    <row r="155" spans="1:5" s="184" customFormat="1" ht="12.75" customHeight="1" thickBot="1">
      <c r="A155" s="110" t="s">
        <v>19</v>
      </c>
      <c r="B155" s="166" t="s">
        <v>373</v>
      </c>
      <c r="C155" s="734">
        <f>+C129+C154</f>
        <v>284413943</v>
      </c>
      <c r="D155" s="273">
        <f>+D129+D154</f>
        <v>369076825</v>
      </c>
      <c r="E155" s="298">
        <f>+E129+E154</f>
        <v>307417882</v>
      </c>
    </row>
    <row r="156" ht="7.5" customHeight="1"/>
    <row r="157" spans="1:3" ht="15">
      <c r="A157" s="827" t="s">
        <v>284</v>
      </c>
      <c r="B157" s="827"/>
      <c r="C157" s="827"/>
    </row>
    <row r="158" spans="1:3" ht="15" customHeight="1" thickBot="1">
      <c r="A158" s="825" t="s">
        <v>94</v>
      </c>
      <c r="B158" s="825"/>
      <c r="C158" s="122" t="s">
        <v>426</v>
      </c>
    </row>
    <row r="159" spans="1:5" ht="13.5" customHeight="1" thickBot="1">
      <c r="A159" s="18">
        <v>1</v>
      </c>
      <c r="B159" s="23" t="s">
        <v>375</v>
      </c>
      <c r="C159" s="322">
        <f>+C63-C129</f>
        <v>-77657705</v>
      </c>
      <c r="D159" s="322">
        <f>+D63-D129</f>
        <v>-79452493</v>
      </c>
      <c r="E159" s="322">
        <f>+E63-E129</f>
        <v>-60956451</v>
      </c>
    </row>
    <row r="160" spans="1:5" ht="27.75" customHeight="1" thickBot="1">
      <c r="A160" s="18" t="s">
        <v>10</v>
      </c>
      <c r="B160" s="23" t="s">
        <v>381</v>
      </c>
      <c r="C160" s="322">
        <f>+C87-C154</f>
        <v>77657705</v>
      </c>
      <c r="D160" s="322">
        <f>+D87-D154</f>
        <v>78681650</v>
      </c>
      <c r="E160" s="322">
        <f>+E87-E154</f>
        <v>81821891</v>
      </c>
    </row>
  </sheetData>
  <sheetProtection/>
  <mergeCells count="7">
    <mergeCell ref="A158:B158"/>
    <mergeCell ref="A1:C1"/>
    <mergeCell ref="A2:C2"/>
    <mergeCell ref="A3:B3"/>
    <mergeCell ref="A90:C90"/>
    <mergeCell ref="A91:B91"/>
    <mergeCell ref="A157:C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Csengerújfalu Község Önkormányzat
2019. ÉVI ZÁRSZÁMADÁS
KÖTELEZŐ FELADATAINAK MÉRLEGE &amp;R&amp;"Times New Roman CE,Félkövér dőlt"&amp;11 4. melléklet a ........./2020. (.......) önkormányzati rendelethez</oddHeader>
  </headerFooter>
  <rowBreaks count="2" manualBreakCount="2">
    <brk id="88" max="255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0"/>
  <sheetViews>
    <sheetView view="pageLayout" zoomScaleNormal="130" zoomScaleSheetLayoutView="80" workbookViewId="0" topLeftCell="A1">
      <selection activeCell="C95" sqref="C95:E97"/>
    </sheetView>
  </sheetViews>
  <sheetFormatPr defaultColWidth="9.25390625" defaultRowHeight="12.75"/>
  <cols>
    <col min="1" max="1" width="9.375" style="167" customWidth="1"/>
    <col min="2" max="2" width="91.75390625" style="167" customWidth="1"/>
    <col min="3" max="3" width="21.75390625" style="168" customWidth="1"/>
    <col min="4" max="4" width="18.00390625" style="182" customWidth="1"/>
    <col min="5" max="5" width="19.25390625" style="182" customWidth="1"/>
    <col min="6" max="16384" width="9.25390625" style="182" customWidth="1"/>
  </cols>
  <sheetData>
    <row r="1" spans="1:3" ht="15">
      <c r="A1" s="827"/>
      <c r="B1" s="827"/>
      <c r="C1" s="827"/>
    </row>
    <row r="2" spans="1:3" ht="15.75" customHeight="1">
      <c r="A2" s="824" t="s">
        <v>6</v>
      </c>
      <c r="B2" s="824"/>
      <c r="C2" s="824"/>
    </row>
    <row r="3" spans="1:5" ht="15.75" customHeight="1" thickBot="1">
      <c r="A3" s="825" t="s">
        <v>92</v>
      </c>
      <c r="B3" s="825"/>
      <c r="C3" s="837" t="s">
        <v>426</v>
      </c>
      <c r="D3" s="837"/>
      <c r="E3" s="837"/>
    </row>
    <row r="4" spans="1:5" ht="37.5" customHeight="1" thickBot="1">
      <c r="A4" s="21" t="s">
        <v>49</v>
      </c>
      <c r="B4" s="22" t="s">
        <v>8</v>
      </c>
      <c r="C4" s="31" t="s">
        <v>772</v>
      </c>
      <c r="D4" s="237" t="s">
        <v>773</v>
      </c>
      <c r="E4" s="294" t="s">
        <v>774</v>
      </c>
    </row>
    <row r="5" spans="1:5" s="183" customFormat="1" ht="12" customHeight="1" thickBot="1">
      <c r="A5" s="177" t="s">
        <v>394</v>
      </c>
      <c r="B5" s="178" t="s">
        <v>395</v>
      </c>
      <c r="C5" s="179" t="s">
        <v>396</v>
      </c>
      <c r="D5" s="247" t="s">
        <v>398</v>
      </c>
      <c r="E5" s="319"/>
    </row>
    <row r="6" spans="1:5" s="184" customFormat="1" ht="12" customHeight="1" thickBot="1">
      <c r="A6" s="18" t="s">
        <v>9</v>
      </c>
      <c r="B6" s="19" t="s">
        <v>162</v>
      </c>
      <c r="C6" s="713">
        <f>+C7+C8+C9+C10+C11+C12</f>
        <v>0</v>
      </c>
      <c r="D6" s="112">
        <f>+D7+D8+D9+D10+D11+D12</f>
        <v>801005</v>
      </c>
      <c r="E6" s="112">
        <f>+E7+E8+E9+E10+E11+E12</f>
        <v>801005</v>
      </c>
    </row>
    <row r="7" spans="1:5" s="184" customFormat="1" ht="12" customHeight="1">
      <c r="A7" s="13" t="s">
        <v>61</v>
      </c>
      <c r="B7" s="185" t="s">
        <v>163</v>
      </c>
      <c r="C7" s="714"/>
      <c r="D7" s="115"/>
      <c r="E7" s="234"/>
    </row>
    <row r="8" spans="1:5" s="184" customFormat="1" ht="12" customHeight="1">
      <c r="A8" s="12" t="s">
        <v>62</v>
      </c>
      <c r="B8" s="186" t="s">
        <v>164</v>
      </c>
      <c r="C8" s="715"/>
      <c r="D8" s="114"/>
      <c r="E8" s="234"/>
    </row>
    <row r="9" spans="1:5" s="184" customFormat="1" ht="12" customHeight="1">
      <c r="A9" s="12" t="s">
        <v>63</v>
      </c>
      <c r="B9" s="186" t="s">
        <v>422</v>
      </c>
      <c r="C9" s="715"/>
      <c r="D9" s="114">
        <v>801005</v>
      </c>
      <c r="E9" s="114">
        <v>801005</v>
      </c>
    </row>
    <row r="10" spans="1:5" s="184" customFormat="1" ht="12" customHeight="1">
      <c r="A10" s="12" t="s">
        <v>64</v>
      </c>
      <c r="B10" s="186" t="s">
        <v>166</v>
      </c>
      <c r="C10" s="715"/>
      <c r="D10" s="114"/>
      <c r="E10" s="234"/>
    </row>
    <row r="11" spans="1:5" s="184" customFormat="1" ht="12" customHeight="1">
      <c r="A11" s="12" t="s">
        <v>88</v>
      </c>
      <c r="B11" s="108" t="s">
        <v>333</v>
      </c>
      <c r="C11" s="715"/>
      <c r="D11" s="114"/>
      <c r="E11" s="234"/>
    </row>
    <row r="12" spans="1:5" s="184" customFormat="1" ht="12" customHeight="1" thickBot="1">
      <c r="A12" s="14" t="s">
        <v>65</v>
      </c>
      <c r="B12" s="109" t="s">
        <v>334</v>
      </c>
      <c r="C12" s="715"/>
      <c r="D12" s="114"/>
      <c r="E12" s="234"/>
    </row>
    <row r="13" spans="1:5" s="184" customFormat="1" ht="12" customHeight="1" thickBot="1">
      <c r="A13" s="18" t="s">
        <v>10</v>
      </c>
      <c r="B13" s="107" t="s">
        <v>167</v>
      </c>
      <c r="C13" s="713">
        <f>+C14+C15+C16+C17+C18</f>
        <v>6245115</v>
      </c>
      <c r="D13" s="713">
        <f>+D14+D15+D16+D17+D18</f>
        <v>7411115</v>
      </c>
      <c r="E13" s="713">
        <f>+E14+E15+E16+E17+E18</f>
        <v>7411115</v>
      </c>
    </row>
    <row r="14" spans="1:5" s="184" customFormat="1" ht="12" customHeight="1">
      <c r="A14" s="13" t="s">
        <v>67</v>
      </c>
      <c r="B14" s="185" t="s">
        <v>168</v>
      </c>
      <c r="C14" s="714"/>
      <c r="D14" s="115"/>
      <c r="E14" s="234"/>
    </row>
    <row r="15" spans="1:5" s="184" customFormat="1" ht="12" customHeight="1">
      <c r="A15" s="12" t="s">
        <v>68</v>
      </c>
      <c r="B15" s="186" t="s">
        <v>169</v>
      </c>
      <c r="C15" s="715"/>
      <c r="D15" s="114"/>
      <c r="E15" s="234"/>
    </row>
    <row r="16" spans="1:5" s="184" customFormat="1" ht="12" customHeight="1">
      <c r="A16" s="12" t="s">
        <v>69</v>
      </c>
      <c r="B16" s="186" t="s">
        <v>325</v>
      </c>
      <c r="C16" s="715"/>
      <c r="D16" s="114"/>
      <c r="E16" s="234"/>
    </row>
    <row r="17" spans="1:5" s="184" customFormat="1" ht="12" customHeight="1">
      <c r="A17" s="12" t="s">
        <v>70</v>
      </c>
      <c r="B17" s="186" t="s">
        <v>326</v>
      </c>
      <c r="C17" s="715"/>
      <c r="D17" s="114"/>
      <c r="E17" s="234"/>
    </row>
    <row r="18" spans="1:5" s="184" customFormat="1" ht="12" customHeight="1">
      <c r="A18" s="12" t="s">
        <v>71</v>
      </c>
      <c r="B18" s="186" t="s">
        <v>170</v>
      </c>
      <c r="C18" s="715">
        <v>6245115</v>
      </c>
      <c r="D18" s="114">
        <v>7411115</v>
      </c>
      <c r="E18" s="114">
        <v>7411115</v>
      </c>
    </row>
    <row r="19" spans="1:5" s="184" customFormat="1" ht="12" customHeight="1" thickBot="1">
      <c r="A19" s="14" t="s">
        <v>77</v>
      </c>
      <c r="B19" s="109" t="s">
        <v>171</v>
      </c>
      <c r="C19" s="716"/>
      <c r="D19" s="116"/>
      <c r="E19" s="234"/>
    </row>
    <row r="20" spans="1:5" s="184" customFormat="1" ht="12" customHeight="1" thickBot="1">
      <c r="A20" s="18" t="s">
        <v>11</v>
      </c>
      <c r="B20" s="19" t="s">
        <v>172</v>
      </c>
      <c r="C20" s="713">
        <f>+C21+C22+C23+C24+C25</f>
        <v>0</v>
      </c>
      <c r="D20" s="112"/>
      <c r="E20" s="112"/>
    </row>
    <row r="21" spans="1:5" s="184" customFormat="1" ht="12" customHeight="1">
      <c r="A21" s="13" t="s">
        <v>50</v>
      </c>
      <c r="B21" s="185" t="s">
        <v>173</v>
      </c>
      <c r="C21" s="714"/>
      <c r="D21" s="115"/>
      <c r="E21" s="234"/>
    </row>
    <row r="22" spans="1:5" s="184" customFormat="1" ht="12" customHeight="1">
      <c r="A22" s="12" t="s">
        <v>51</v>
      </c>
      <c r="B22" s="186" t="s">
        <v>174</v>
      </c>
      <c r="C22" s="715"/>
      <c r="D22" s="114"/>
      <c r="E22" s="234"/>
    </row>
    <row r="23" spans="1:5" s="184" customFormat="1" ht="12" customHeight="1">
      <c r="A23" s="12" t="s">
        <v>52</v>
      </c>
      <c r="B23" s="186" t="s">
        <v>327</v>
      </c>
      <c r="C23" s="715"/>
      <c r="D23" s="114"/>
      <c r="E23" s="234"/>
    </row>
    <row r="24" spans="1:5" s="184" customFormat="1" ht="12" customHeight="1">
      <c r="A24" s="12" t="s">
        <v>53</v>
      </c>
      <c r="B24" s="186" t="s">
        <v>328</v>
      </c>
      <c r="C24" s="715"/>
      <c r="D24" s="114"/>
      <c r="E24" s="234"/>
    </row>
    <row r="25" spans="1:5" s="184" customFormat="1" ht="12" customHeight="1">
      <c r="A25" s="12" t="s">
        <v>110</v>
      </c>
      <c r="B25" s="186" t="s">
        <v>175</v>
      </c>
      <c r="C25" s="715"/>
      <c r="D25" s="114"/>
      <c r="E25" s="234"/>
    </row>
    <row r="26" spans="1:5" s="184" customFormat="1" ht="12" customHeight="1" thickBot="1">
      <c r="A26" s="14" t="s">
        <v>111</v>
      </c>
      <c r="B26" s="187" t="s">
        <v>176</v>
      </c>
      <c r="C26" s="717"/>
      <c r="D26" s="116"/>
      <c r="E26" s="234"/>
    </row>
    <row r="27" spans="1:5" s="184" customFormat="1" ht="12" customHeight="1" thickBot="1">
      <c r="A27" s="18" t="s">
        <v>112</v>
      </c>
      <c r="B27" s="19" t="s">
        <v>424</v>
      </c>
      <c r="C27" s="718">
        <f>SUM(C28:C34)</f>
        <v>0</v>
      </c>
      <c r="D27" s="118"/>
      <c r="E27" s="118"/>
    </row>
    <row r="28" spans="1:5" s="184" customFormat="1" ht="12" customHeight="1">
      <c r="A28" s="13" t="s">
        <v>177</v>
      </c>
      <c r="B28" s="185" t="s">
        <v>418</v>
      </c>
      <c r="C28" s="714"/>
      <c r="D28" s="234"/>
      <c r="E28" s="234"/>
    </row>
    <row r="29" spans="1:5" s="184" customFormat="1" ht="12" customHeight="1">
      <c r="A29" s="12" t="s">
        <v>178</v>
      </c>
      <c r="B29" s="186" t="s">
        <v>419</v>
      </c>
      <c r="C29" s="715"/>
      <c r="D29" s="234"/>
      <c r="E29" s="234"/>
    </row>
    <row r="30" spans="1:5" s="184" customFormat="1" ht="12" customHeight="1">
      <c r="A30" s="12" t="s">
        <v>179</v>
      </c>
      <c r="B30" s="186" t="s">
        <v>420</v>
      </c>
      <c r="C30" s="715"/>
      <c r="D30" s="234"/>
      <c r="E30" s="234"/>
    </row>
    <row r="31" spans="1:5" s="184" customFormat="1" ht="12" customHeight="1">
      <c r="A31" s="12" t="s">
        <v>180</v>
      </c>
      <c r="B31" s="186" t="s">
        <v>421</v>
      </c>
      <c r="C31" s="715"/>
      <c r="D31" s="234"/>
      <c r="E31" s="234"/>
    </row>
    <row r="32" spans="1:5" s="184" customFormat="1" ht="12" customHeight="1">
      <c r="A32" s="12" t="s">
        <v>415</v>
      </c>
      <c r="B32" s="186" t="s">
        <v>181</v>
      </c>
      <c r="C32" s="715"/>
      <c r="D32" s="234"/>
      <c r="E32" s="234"/>
    </row>
    <row r="33" spans="1:5" s="184" customFormat="1" ht="12" customHeight="1">
      <c r="A33" s="12" t="s">
        <v>416</v>
      </c>
      <c r="B33" s="186" t="s">
        <v>182</v>
      </c>
      <c r="C33" s="715"/>
      <c r="D33" s="234"/>
      <c r="E33" s="234"/>
    </row>
    <row r="34" spans="1:5" s="184" customFormat="1" ht="12" customHeight="1" thickBot="1">
      <c r="A34" s="14" t="s">
        <v>417</v>
      </c>
      <c r="B34" s="187" t="s">
        <v>183</v>
      </c>
      <c r="C34" s="716"/>
      <c r="D34" s="234"/>
      <c r="E34" s="234"/>
    </row>
    <row r="35" spans="1:5" s="184" customFormat="1" ht="12" customHeight="1" thickBot="1">
      <c r="A35" s="18" t="s">
        <v>13</v>
      </c>
      <c r="B35" s="19" t="s">
        <v>335</v>
      </c>
      <c r="C35" s="713">
        <f>SUM(C36:C46)</f>
        <v>0</v>
      </c>
      <c r="D35" s="112">
        <f>SUM(D36:D46)</f>
        <v>0</v>
      </c>
      <c r="E35" s="112">
        <f>SUM(E36:E46)</f>
        <v>0</v>
      </c>
    </row>
    <row r="36" spans="1:5" s="184" customFormat="1" ht="12" customHeight="1">
      <c r="A36" s="13" t="s">
        <v>54</v>
      </c>
      <c r="B36" s="185" t="s">
        <v>186</v>
      </c>
      <c r="C36" s="714"/>
      <c r="D36" s="114"/>
      <c r="E36" s="114"/>
    </row>
    <row r="37" spans="1:5" s="184" customFormat="1" ht="12" customHeight="1">
      <c r="A37" s="12" t="s">
        <v>55</v>
      </c>
      <c r="B37" s="186" t="s">
        <v>187</v>
      </c>
      <c r="C37" s="715"/>
      <c r="D37" s="234"/>
      <c r="E37" s="234"/>
    </row>
    <row r="38" spans="1:5" s="184" customFormat="1" ht="12" customHeight="1">
      <c r="A38" s="12" t="s">
        <v>56</v>
      </c>
      <c r="B38" s="186" t="s">
        <v>188</v>
      </c>
      <c r="C38" s="715"/>
      <c r="D38" s="234"/>
      <c r="E38" s="234"/>
    </row>
    <row r="39" spans="1:5" s="184" customFormat="1" ht="12" customHeight="1">
      <c r="A39" s="12" t="s">
        <v>114</v>
      </c>
      <c r="B39" s="186" t="s">
        <v>189</v>
      </c>
      <c r="C39" s="715"/>
      <c r="D39" s="234"/>
      <c r="E39" s="234"/>
    </row>
    <row r="40" spans="1:5" s="184" customFormat="1" ht="12" customHeight="1">
      <c r="A40" s="12" t="s">
        <v>115</v>
      </c>
      <c r="B40" s="186" t="s">
        <v>190</v>
      </c>
      <c r="C40" s="715"/>
      <c r="D40" s="234"/>
      <c r="E40" s="234"/>
    </row>
    <row r="41" spans="1:5" s="184" customFormat="1" ht="12" customHeight="1">
      <c r="A41" s="12" t="s">
        <v>116</v>
      </c>
      <c r="B41" s="186" t="s">
        <v>191</v>
      </c>
      <c r="C41" s="715"/>
      <c r="D41" s="234"/>
      <c r="E41" s="234"/>
    </row>
    <row r="42" spans="1:5" s="184" customFormat="1" ht="12" customHeight="1">
      <c r="A42" s="12" t="s">
        <v>117</v>
      </c>
      <c r="B42" s="186" t="s">
        <v>192</v>
      </c>
      <c r="C42" s="715"/>
      <c r="D42" s="234"/>
      <c r="E42" s="234"/>
    </row>
    <row r="43" spans="1:5" s="184" customFormat="1" ht="12" customHeight="1">
      <c r="A43" s="12" t="s">
        <v>118</v>
      </c>
      <c r="B43" s="186" t="s">
        <v>193</v>
      </c>
      <c r="C43" s="715"/>
      <c r="D43" s="234"/>
      <c r="E43" s="234"/>
    </row>
    <row r="44" spans="1:5" s="184" customFormat="1" ht="12" customHeight="1">
      <c r="A44" s="12" t="s">
        <v>184</v>
      </c>
      <c r="B44" s="186" t="s">
        <v>194</v>
      </c>
      <c r="C44" s="719"/>
      <c r="D44" s="234"/>
      <c r="E44" s="234"/>
    </row>
    <row r="45" spans="1:5" s="184" customFormat="1" ht="12" customHeight="1">
      <c r="A45" s="14" t="s">
        <v>185</v>
      </c>
      <c r="B45" s="187" t="s">
        <v>337</v>
      </c>
      <c r="C45" s="720"/>
      <c r="D45" s="234"/>
      <c r="E45" s="234"/>
    </row>
    <row r="46" spans="1:5" s="184" customFormat="1" ht="12" customHeight="1" thickBot="1">
      <c r="A46" s="14" t="s">
        <v>336</v>
      </c>
      <c r="B46" s="109" t="s">
        <v>195</v>
      </c>
      <c r="C46" s="720"/>
      <c r="D46" s="234"/>
      <c r="E46" s="234"/>
    </row>
    <row r="47" spans="1:5" s="184" customFormat="1" ht="12" customHeight="1" thickBot="1">
      <c r="A47" s="18" t="s">
        <v>14</v>
      </c>
      <c r="B47" s="19" t="s">
        <v>196</v>
      </c>
      <c r="C47" s="713">
        <f>SUM(C48:C52)</f>
        <v>0</v>
      </c>
      <c r="D47" s="112">
        <f>SUM(D48:D52)</f>
        <v>0</v>
      </c>
      <c r="E47" s="112">
        <f>SUM(E48:E52)</f>
        <v>0</v>
      </c>
    </row>
    <row r="48" spans="1:5" s="184" customFormat="1" ht="12" customHeight="1">
      <c r="A48" s="13" t="s">
        <v>57</v>
      </c>
      <c r="B48" s="185" t="s">
        <v>200</v>
      </c>
      <c r="C48" s="721"/>
      <c r="D48" s="234"/>
      <c r="E48" s="234"/>
    </row>
    <row r="49" spans="1:5" s="184" customFormat="1" ht="12" customHeight="1">
      <c r="A49" s="12" t="s">
        <v>58</v>
      </c>
      <c r="B49" s="186" t="s">
        <v>201</v>
      </c>
      <c r="C49" s="719"/>
      <c r="D49" s="234"/>
      <c r="E49" s="234"/>
    </row>
    <row r="50" spans="1:5" s="184" customFormat="1" ht="12" customHeight="1">
      <c r="A50" s="12" t="s">
        <v>197</v>
      </c>
      <c r="B50" s="186" t="s">
        <v>202</v>
      </c>
      <c r="C50" s="719"/>
      <c r="D50" s="234"/>
      <c r="E50" s="234"/>
    </row>
    <row r="51" spans="1:5" s="184" customFormat="1" ht="12" customHeight="1">
      <c r="A51" s="12" t="s">
        <v>198</v>
      </c>
      <c r="B51" s="186" t="s">
        <v>203</v>
      </c>
      <c r="C51" s="719"/>
      <c r="D51" s="234"/>
      <c r="E51" s="234"/>
    </row>
    <row r="52" spans="1:5" s="184" customFormat="1" ht="12" customHeight="1" thickBot="1">
      <c r="A52" s="14" t="s">
        <v>199</v>
      </c>
      <c r="B52" s="109" t="s">
        <v>204</v>
      </c>
      <c r="C52" s="720"/>
      <c r="D52" s="234"/>
      <c r="E52" s="234"/>
    </row>
    <row r="53" spans="1:5" s="184" customFormat="1" ht="12" customHeight="1" thickBot="1">
      <c r="A53" s="18" t="s">
        <v>119</v>
      </c>
      <c r="B53" s="19" t="s">
        <v>205</v>
      </c>
      <c r="C53" s="713">
        <f>SUM(C54:C56)</f>
        <v>0</v>
      </c>
      <c r="D53" s="112">
        <f>SUM(D54:D56)</f>
        <v>0</v>
      </c>
      <c r="E53" s="112">
        <f>SUM(E54:E56)</f>
        <v>0</v>
      </c>
    </row>
    <row r="54" spans="1:5" s="184" customFormat="1" ht="12" customHeight="1">
      <c r="A54" s="13" t="s">
        <v>59</v>
      </c>
      <c r="B54" s="185" t="s">
        <v>206</v>
      </c>
      <c r="C54" s="714"/>
      <c r="D54" s="234"/>
      <c r="E54" s="234"/>
    </row>
    <row r="55" spans="1:5" s="184" customFormat="1" ht="12" customHeight="1">
      <c r="A55" s="12" t="s">
        <v>60</v>
      </c>
      <c r="B55" s="186" t="s">
        <v>329</v>
      </c>
      <c r="C55" s="715"/>
      <c r="D55" s="234"/>
      <c r="E55" s="234"/>
    </row>
    <row r="56" spans="1:5" s="184" customFormat="1" ht="12" customHeight="1">
      <c r="A56" s="12" t="s">
        <v>209</v>
      </c>
      <c r="B56" s="186" t="s">
        <v>207</v>
      </c>
      <c r="C56" s="715"/>
      <c r="D56" s="234"/>
      <c r="E56" s="234"/>
    </row>
    <row r="57" spans="1:5" s="184" customFormat="1" ht="12" customHeight="1" thickBot="1">
      <c r="A57" s="14" t="s">
        <v>210</v>
      </c>
      <c r="B57" s="109" t="s">
        <v>208</v>
      </c>
      <c r="C57" s="716"/>
      <c r="D57" s="234"/>
      <c r="E57" s="234"/>
    </row>
    <row r="58" spans="1:5" s="184" customFormat="1" ht="12" customHeight="1" thickBot="1">
      <c r="A58" s="18" t="s">
        <v>16</v>
      </c>
      <c r="B58" s="107" t="s">
        <v>211</v>
      </c>
      <c r="C58" s="713">
        <f>SUM(C59:C61)</f>
        <v>0</v>
      </c>
      <c r="D58" s="112">
        <f>SUM(D59:D61)</f>
        <v>0</v>
      </c>
      <c r="E58" s="112">
        <f>SUM(E59:E61)</f>
        <v>0</v>
      </c>
    </row>
    <row r="59" spans="1:5" s="184" customFormat="1" ht="12" customHeight="1">
      <c r="A59" s="13" t="s">
        <v>120</v>
      </c>
      <c r="B59" s="185" t="s">
        <v>213</v>
      </c>
      <c r="C59" s="719"/>
      <c r="D59" s="234"/>
      <c r="E59" s="234"/>
    </row>
    <row r="60" spans="1:5" s="184" customFormat="1" ht="12" customHeight="1">
      <c r="A60" s="12" t="s">
        <v>121</v>
      </c>
      <c r="B60" s="186" t="s">
        <v>330</v>
      </c>
      <c r="C60" s="719"/>
      <c r="D60" s="234"/>
      <c r="E60" s="234"/>
    </row>
    <row r="61" spans="1:5" s="184" customFormat="1" ht="12" customHeight="1">
      <c r="A61" s="12" t="s">
        <v>142</v>
      </c>
      <c r="B61" s="186" t="s">
        <v>214</v>
      </c>
      <c r="C61" s="719"/>
      <c r="D61" s="234"/>
      <c r="E61" s="234"/>
    </row>
    <row r="62" spans="1:5" s="184" customFormat="1" ht="12" customHeight="1" thickBot="1">
      <c r="A62" s="14" t="s">
        <v>212</v>
      </c>
      <c r="B62" s="109" t="s">
        <v>215</v>
      </c>
      <c r="C62" s="719"/>
      <c r="D62" s="234"/>
      <c r="E62" s="234"/>
    </row>
    <row r="63" spans="1:5" s="184" customFormat="1" ht="12" customHeight="1" thickBot="1">
      <c r="A63" s="227" t="s">
        <v>377</v>
      </c>
      <c r="B63" s="19" t="s">
        <v>216</v>
      </c>
      <c r="C63" s="718">
        <f>+C6+C13+C20+C27+C35+C47+C53+C58</f>
        <v>6245115</v>
      </c>
      <c r="D63" s="118">
        <f>+D6+D13+D20+D27+D35+D47+D53+D58</f>
        <v>8212120</v>
      </c>
      <c r="E63" s="118">
        <f>+E6+E13+E20+E27+E35+E47+E53+E58</f>
        <v>8212120</v>
      </c>
    </row>
    <row r="64" spans="1:5" s="184" customFormat="1" ht="12" customHeight="1" thickBot="1">
      <c r="A64" s="219" t="s">
        <v>217</v>
      </c>
      <c r="B64" s="107" t="s">
        <v>218</v>
      </c>
      <c r="C64" s="713">
        <f>SUM(C65:C67)</f>
        <v>0</v>
      </c>
      <c r="D64" s="112">
        <f>SUM(D65:D67)</f>
        <v>0</v>
      </c>
      <c r="E64" s="112">
        <f>SUM(E65:E67)</f>
        <v>0</v>
      </c>
    </row>
    <row r="65" spans="1:5" s="184" customFormat="1" ht="12" customHeight="1">
      <c r="A65" s="13" t="s">
        <v>248</v>
      </c>
      <c r="B65" s="185" t="s">
        <v>219</v>
      </c>
      <c r="C65" s="719"/>
      <c r="D65" s="234"/>
      <c r="E65" s="234"/>
    </row>
    <row r="66" spans="1:5" s="184" customFormat="1" ht="12" customHeight="1">
      <c r="A66" s="12" t="s">
        <v>257</v>
      </c>
      <c r="B66" s="186" t="s">
        <v>220</v>
      </c>
      <c r="C66" s="719"/>
      <c r="D66" s="234"/>
      <c r="E66" s="234"/>
    </row>
    <row r="67" spans="1:5" s="184" customFormat="1" ht="12" customHeight="1" thickBot="1">
      <c r="A67" s="14" t="s">
        <v>258</v>
      </c>
      <c r="B67" s="221" t="s">
        <v>362</v>
      </c>
      <c r="C67" s="719"/>
      <c r="D67" s="234"/>
      <c r="E67" s="234"/>
    </row>
    <row r="68" spans="1:5" s="184" customFormat="1" ht="12" customHeight="1" thickBot="1">
      <c r="A68" s="219" t="s">
        <v>221</v>
      </c>
      <c r="B68" s="107" t="s">
        <v>222</v>
      </c>
      <c r="C68" s="713">
        <f>SUM(C69:C72)</f>
        <v>0</v>
      </c>
      <c r="D68" s="112">
        <f>SUM(D69:D72)</f>
        <v>0</v>
      </c>
      <c r="E68" s="112">
        <f>SUM(E69:E72)</f>
        <v>0</v>
      </c>
    </row>
    <row r="69" spans="1:5" s="184" customFormat="1" ht="12" customHeight="1">
      <c r="A69" s="13" t="s">
        <v>89</v>
      </c>
      <c r="B69" s="185" t="s">
        <v>223</v>
      </c>
      <c r="C69" s="719"/>
      <c r="D69" s="234"/>
      <c r="E69" s="234"/>
    </row>
    <row r="70" spans="1:5" s="184" customFormat="1" ht="12" customHeight="1">
      <c r="A70" s="12" t="s">
        <v>90</v>
      </c>
      <c r="B70" s="186" t="s">
        <v>224</v>
      </c>
      <c r="C70" s="719"/>
      <c r="D70" s="234"/>
      <c r="E70" s="234"/>
    </row>
    <row r="71" spans="1:5" s="184" customFormat="1" ht="12" customHeight="1">
      <c r="A71" s="12" t="s">
        <v>249</v>
      </c>
      <c r="B71" s="186" t="s">
        <v>225</v>
      </c>
      <c r="C71" s="720"/>
      <c r="D71" s="234"/>
      <c r="E71" s="234"/>
    </row>
    <row r="72" spans="1:5" s="184" customFormat="1" ht="12" customHeight="1" thickBot="1">
      <c r="A72" s="14" t="s">
        <v>250</v>
      </c>
      <c r="B72" s="109" t="s">
        <v>226</v>
      </c>
      <c r="C72" s="722"/>
      <c r="D72" s="234"/>
      <c r="E72" s="234"/>
    </row>
    <row r="73" spans="1:5" s="184" customFormat="1" ht="12" customHeight="1" thickBot="1">
      <c r="A73" s="219" t="s">
        <v>227</v>
      </c>
      <c r="B73" s="107" t="s">
        <v>228</v>
      </c>
      <c r="C73" s="713">
        <f>SUM(C74:C75)</f>
        <v>393956</v>
      </c>
      <c r="D73" s="713">
        <f>SUM(D74:D75)</f>
        <v>393956</v>
      </c>
      <c r="E73" s="713">
        <f>SUM(E74:E75)</f>
        <v>393956</v>
      </c>
    </row>
    <row r="74" spans="1:5" s="184" customFormat="1" ht="12" customHeight="1">
      <c r="A74" s="13" t="s">
        <v>251</v>
      </c>
      <c r="B74" s="185" t="s">
        <v>229</v>
      </c>
      <c r="C74" s="723">
        <v>393956</v>
      </c>
      <c r="D74" s="117">
        <v>393956</v>
      </c>
      <c r="E74" s="117">
        <v>393956</v>
      </c>
    </row>
    <row r="75" spans="1:5" s="184" customFormat="1" ht="12" customHeight="1" thickBot="1">
      <c r="A75" s="14" t="s">
        <v>252</v>
      </c>
      <c r="B75" s="109" t="s">
        <v>230</v>
      </c>
      <c r="C75" s="722"/>
      <c r="D75" s="117"/>
      <c r="E75" s="234"/>
    </row>
    <row r="76" spans="1:5" s="184" customFormat="1" ht="12" customHeight="1" thickBot="1">
      <c r="A76" s="219" t="s">
        <v>231</v>
      </c>
      <c r="B76" s="107" t="s">
        <v>232</v>
      </c>
      <c r="C76" s="713">
        <f>SUM(C77:C79)</f>
        <v>0</v>
      </c>
      <c r="D76" s="112"/>
      <c r="E76" s="112"/>
    </row>
    <row r="77" spans="1:5" s="184" customFormat="1" ht="12" customHeight="1">
      <c r="A77" s="13" t="s">
        <v>253</v>
      </c>
      <c r="B77" s="185" t="s">
        <v>233</v>
      </c>
      <c r="C77" s="719"/>
      <c r="D77" s="234"/>
      <c r="E77" s="234"/>
    </row>
    <row r="78" spans="1:5" s="184" customFormat="1" ht="12" customHeight="1">
      <c r="A78" s="12" t="s">
        <v>254</v>
      </c>
      <c r="B78" s="186" t="s">
        <v>234</v>
      </c>
      <c r="C78" s="719"/>
      <c r="D78" s="234"/>
      <c r="E78" s="234"/>
    </row>
    <row r="79" spans="1:5" s="184" customFormat="1" ht="12" customHeight="1" thickBot="1">
      <c r="A79" s="14" t="s">
        <v>255</v>
      </c>
      <c r="B79" s="109" t="s">
        <v>235</v>
      </c>
      <c r="C79" s="722"/>
      <c r="D79" s="234"/>
      <c r="E79" s="234"/>
    </row>
    <row r="80" spans="1:5" s="184" customFormat="1" ht="12" customHeight="1" thickBot="1">
      <c r="A80" s="219" t="s">
        <v>236</v>
      </c>
      <c r="B80" s="107" t="s">
        <v>256</v>
      </c>
      <c r="C80" s="713">
        <f>SUM(C81:C84)</f>
        <v>0</v>
      </c>
      <c r="D80" s="112"/>
      <c r="E80" s="112"/>
    </row>
    <row r="81" spans="1:5" s="184" customFormat="1" ht="12" customHeight="1">
      <c r="A81" s="188" t="s">
        <v>237</v>
      </c>
      <c r="B81" s="185" t="s">
        <v>238</v>
      </c>
      <c r="C81" s="719"/>
      <c r="D81" s="234"/>
      <c r="E81" s="234"/>
    </row>
    <row r="82" spans="1:5" s="184" customFormat="1" ht="12" customHeight="1">
      <c r="A82" s="189" t="s">
        <v>239</v>
      </c>
      <c r="B82" s="186" t="s">
        <v>240</v>
      </c>
      <c r="C82" s="719"/>
      <c r="D82" s="234"/>
      <c r="E82" s="234"/>
    </row>
    <row r="83" spans="1:5" s="184" customFormat="1" ht="12" customHeight="1">
      <c r="A83" s="189" t="s">
        <v>241</v>
      </c>
      <c r="B83" s="186" t="s">
        <v>242</v>
      </c>
      <c r="C83" s="719"/>
      <c r="D83" s="234"/>
      <c r="E83" s="234"/>
    </row>
    <row r="84" spans="1:5" s="184" customFormat="1" ht="12" customHeight="1" thickBot="1">
      <c r="A84" s="190" t="s">
        <v>243</v>
      </c>
      <c r="B84" s="109" t="s">
        <v>244</v>
      </c>
      <c r="C84" s="719"/>
      <c r="D84" s="256"/>
      <c r="E84" s="256"/>
    </row>
    <row r="85" spans="1:5" s="184" customFormat="1" ht="12" customHeight="1" thickBot="1">
      <c r="A85" s="219" t="s">
        <v>245</v>
      </c>
      <c r="B85" s="107" t="s">
        <v>376</v>
      </c>
      <c r="C85" s="724"/>
      <c r="D85" s="257"/>
      <c r="E85" s="257"/>
    </row>
    <row r="86" spans="1:5" s="184" customFormat="1" ht="13.5" customHeight="1" thickBot="1">
      <c r="A86" s="219" t="s">
        <v>247</v>
      </c>
      <c r="B86" s="107" t="s">
        <v>246</v>
      </c>
      <c r="C86" s="724"/>
      <c r="D86" s="255"/>
      <c r="E86" s="255"/>
    </row>
    <row r="87" spans="1:5" s="184" customFormat="1" ht="15.75" customHeight="1" thickBot="1">
      <c r="A87" s="219" t="s">
        <v>259</v>
      </c>
      <c r="B87" s="191" t="s">
        <v>379</v>
      </c>
      <c r="C87" s="718">
        <f>+C64+C68+C73+C76+C80+C86+C85</f>
        <v>393956</v>
      </c>
      <c r="D87" s="718">
        <f>+D64+D68+D73+D76+D80+D86+D85</f>
        <v>393956</v>
      </c>
      <c r="E87" s="718">
        <f>+E64+E68+E73+E76+E80+E86+E85</f>
        <v>393956</v>
      </c>
    </row>
    <row r="88" spans="1:5" s="184" customFormat="1" ht="16.5" customHeight="1" thickBot="1">
      <c r="A88" s="220" t="s">
        <v>378</v>
      </c>
      <c r="B88" s="192" t="s">
        <v>380</v>
      </c>
      <c r="C88" s="718">
        <f>+C63+C87</f>
        <v>6639071</v>
      </c>
      <c r="D88" s="718">
        <f>+D63+D87</f>
        <v>8606076</v>
      </c>
      <c r="E88" s="718">
        <f>+E63+E87</f>
        <v>8606076</v>
      </c>
    </row>
    <row r="89" spans="1:5" s="184" customFormat="1" ht="21.75" customHeight="1">
      <c r="A89" s="3"/>
      <c r="B89" s="4"/>
      <c r="C89" s="119"/>
      <c r="E89" s="320"/>
    </row>
    <row r="90" spans="1:3" ht="16.5" customHeight="1">
      <c r="A90" s="824" t="s">
        <v>37</v>
      </c>
      <c r="B90" s="824"/>
      <c r="C90" s="824"/>
    </row>
    <row r="91" spans="1:5" s="193" customFormat="1" ht="16.5" customHeight="1" thickBot="1">
      <c r="A91" s="826" t="s">
        <v>93</v>
      </c>
      <c r="B91" s="826"/>
      <c r="C91" s="836" t="s">
        <v>426</v>
      </c>
      <c r="D91" s="836"/>
      <c r="E91" s="836"/>
    </row>
    <row r="92" spans="1:5" ht="37.5" customHeight="1" thickBot="1">
      <c r="A92" s="21" t="s">
        <v>49</v>
      </c>
      <c r="B92" s="22" t="s">
        <v>38</v>
      </c>
      <c r="C92" s="31" t="s">
        <v>772</v>
      </c>
      <c r="D92" s="237" t="s">
        <v>773</v>
      </c>
      <c r="E92" s="289" t="s">
        <v>774</v>
      </c>
    </row>
    <row r="93" spans="1:5" s="183" customFormat="1" ht="12" customHeight="1" thickBot="1">
      <c r="A93" s="25" t="s">
        <v>394</v>
      </c>
      <c r="B93" s="26" t="s">
        <v>395</v>
      </c>
      <c r="C93" s="27" t="s">
        <v>396</v>
      </c>
      <c r="D93" s="247" t="s">
        <v>398</v>
      </c>
      <c r="E93" s="323"/>
    </row>
    <row r="94" spans="1:5" ht="12" customHeight="1" thickBot="1">
      <c r="A94" s="20" t="s">
        <v>9</v>
      </c>
      <c r="B94" s="24" t="s">
        <v>338</v>
      </c>
      <c r="C94" s="725">
        <f>C95+C96+C97+C98+C99+C112</f>
        <v>6639071</v>
      </c>
      <c r="D94" s="725">
        <f>D95+D96+D97+D98+D99+D112</f>
        <v>7835233</v>
      </c>
      <c r="E94" s="725">
        <f>E95+E96+E97+E98+E99+E112</f>
        <v>7835233</v>
      </c>
    </row>
    <row r="95" spans="1:5" ht="12" customHeight="1">
      <c r="A95" s="15" t="s">
        <v>61</v>
      </c>
      <c r="B95" s="8" t="s">
        <v>39</v>
      </c>
      <c r="C95" s="726">
        <v>4951000</v>
      </c>
      <c r="D95" s="113">
        <v>5586213</v>
      </c>
      <c r="E95" s="113">
        <v>5586213</v>
      </c>
    </row>
    <row r="96" spans="1:5" ht="12" customHeight="1">
      <c r="A96" s="12" t="s">
        <v>62</v>
      </c>
      <c r="B96" s="6" t="s">
        <v>122</v>
      </c>
      <c r="C96" s="715">
        <v>1135046</v>
      </c>
      <c r="D96" s="114">
        <v>1029611</v>
      </c>
      <c r="E96" s="114">
        <v>1029611</v>
      </c>
    </row>
    <row r="97" spans="1:5" ht="12" customHeight="1">
      <c r="A97" s="12" t="s">
        <v>63</v>
      </c>
      <c r="B97" s="6" t="s">
        <v>87</v>
      </c>
      <c r="C97" s="716">
        <v>553025</v>
      </c>
      <c r="D97" s="116">
        <v>1219409</v>
      </c>
      <c r="E97" s="116">
        <v>1219409</v>
      </c>
    </row>
    <row r="98" spans="1:5" ht="12" customHeight="1">
      <c r="A98" s="12" t="s">
        <v>64</v>
      </c>
      <c r="B98" s="9" t="s">
        <v>123</v>
      </c>
      <c r="C98" s="716"/>
      <c r="D98" s="116"/>
      <c r="E98" s="244"/>
    </row>
    <row r="99" spans="1:5" ht="12" customHeight="1">
      <c r="A99" s="12" t="s">
        <v>72</v>
      </c>
      <c r="B99" s="17" t="s">
        <v>124</v>
      </c>
      <c r="C99" s="716"/>
      <c r="D99" s="116"/>
      <c r="E99" s="244"/>
    </row>
    <row r="100" spans="1:5" ht="12" customHeight="1">
      <c r="A100" s="12" t="s">
        <v>65</v>
      </c>
      <c r="B100" s="6" t="s">
        <v>343</v>
      </c>
      <c r="C100" s="716"/>
      <c r="D100" s="116"/>
      <c r="E100" s="244"/>
    </row>
    <row r="101" spans="1:5" ht="12" customHeight="1">
      <c r="A101" s="12" t="s">
        <v>66</v>
      </c>
      <c r="B101" s="69" t="s">
        <v>342</v>
      </c>
      <c r="C101" s="716"/>
      <c r="D101" s="116"/>
      <c r="E101" s="244"/>
    </row>
    <row r="102" spans="1:5" ht="12" customHeight="1">
      <c r="A102" s="12" t="s">
        <v>73</v>
      </c>
      <c r="B102" s="69" t="s">
        <v>341</v>
      </c>
      <c r="C102" s="716"/>
      <c r="D102" s="116"/>
      <c r="E102" s="244"/>
    </row>
    <row r="103" spans="1:5" ht="12" customHeight="1">
      <c r="A103" s="12" t="s">
        <v>74</v>
      </c>
      <c r="B103" s="67" t="s">
        <v>262</v>
      </c>
      <c r="C103" s="716"/>
      <c r="D103" s="116"/>
      <c r="E103" s="244"/>
    </row>
    <row r="104" spans="1:5" ht="12" customHeight="1">
      <c r="A104" s="12" t="s">
        <v>75</v>
      </c>
      <c r="B104" s="68" t="s">
        <v>263</v>
      </c>
      <c r="C104" s="716"/>
      <c r="D104" s="116"/>
      <c r="E104" s="244"/>
    </row>
    <row r="105" spans="1:5" ht="12" customHeight="1">
      <c r="A105" s="12" t="s">
        <v>76</v>
      </c>
      <c r="B105" s="68" t="s">
        <v>264</v>
      </c>
      <c r="C105" s="716"/>
      <c r="D105" s="116"/>
      <c r="E105" s="244"/>
    </row>
    <row r="106" spans="1:5" ht="12" customHeight="1">
      <c r="A106" s="12" t="s">
        <v>78</v>
      </c>
      <c r="B106" s="67" t="s">
        <v>265</v>
      </c>
      <c r="C106" s="716"/>
      <c r="D106" s="116"/>
      <c r="E106" s="244"/>
    </row>
    <row r="107" spans="1:5" ht="12" customHeight="1">
      <c r="A107" s="12" t="s">
        <v>125</v>
      </c>
      <c r="B107" s="67" t="s">
        <v>266</v>
      </c>
      <c r="C107" s="716"/>
      <c r="D107" s="116"/>
      <c r="E107" s="244"/>
    </row>
    <row r="108" spans="1:5" ht="12" customHeight="1">
      <c r="A108" s="12" t="s">
        <v>260</v>
      </c>
      <c r="B108" s="68" t="s">
        <v>267</v>
      </c>
      <c r="C108" s="716"/>
      <c r="D108" s="116"/>
      <c r="E108" s="244"/>
    </row>
    <row r="109" spans="1:5" ht="12" customHeight="1">
      <c r="A109" s="11" t="s">
        <v>261</v>
      </c>
      <c r="B109" s="69" t="s">
        <v>268</v>
      </c>
      <c r="C109" s="716"/>
      <c r="D109" s="116"/>
      <c r="E109" s="244"/>
    </row>
    <row r="110" spans="1:5" ht="12" customHeight="1">
      <c r="A110" s="12" t="s">
        <v>339</v>
      </c>
      <c r="B110" s="69" t="s">
        <v>269</v>
      </c>
      <c r="C110" s="716"/>
      <c r="D110" s="116"/>
      <c r="E110" s="244"/>
    </row>
    <row r="111" spans="1:5" ht="12" customHeight="1">
      <c r="A111" s="14" t="s">
        <v>340</v>
      </c>
      <c r="B111" s="69" t="s">
        <v>270</v>
      </c>
      <c r="C111" s="716"/>
      <c r="D111" s="116"/>
      <c r="E111" s="244"/>
    </row>
    <row r="112" spans="1:5" ht="12" customHeight="1">
      <c r="A112" s="12" t="s">
        <v>344</v>
      </c>
      <c r="B112" s="9" t="s">
        <v>40</v>
      </c>
      <c r="C112" s="715"/>
      <c r="D112" s="114"/>
      <c r="E112" s="244"/>
    </row>
    <row r="113" spans="1:5" ht="12" customHeight="1">
      <c r="A113" s="12" t="s">
        <v>345</v>
      </c>
      <c r="B113" s="6" t="s">
        <v>347</v>
      </c>
      <c r="C113" s="715"/>
      <c r="D113" s="114"/>
      <c r="E113" s="244"/>
    </row>
    <row r="114" spans="1:5" ht="12" customHeight="1" thickBot="1">
      <c r="A114" s="16" t="s">
        <v>346</v>
      </c>
      <c r="B114" s="225" t="s">
        <v>348</v>
      </c>
      <c r="C114" s="727"/>
      <c r="D114" s="120"/>
      <c r="E114" s="248"/>
    </row>
    <row r="115" spans="1:5" ht="12" customHeight="1" thickBot="1">
      <c r="A115" s="222" t="s">
        <v>10</v>
      </c>
      <c r="B115" s="223" t="s">
        <v>271</v>
      </c>
      <c r="C115" s="728">
        <f>+C116+C118+C120</f>
        <v>0</v>
      </c>
      <c r="D115" s="324"/>
      <c r="E115" s="112"/>
    </row>
    <row r="116" spans="1:5" ht="12" customHeight="1">
      <c r="A116" s="13" t="s">
        <v>67</v>
      </c>
      <c r="B116" s="6" t="s">
        <v>141</v>
      </c>
      <c r="C116" s="714"/>
      <c r="D116" s="115"/>
      <c r="E116" s="244"/>
    </row>
    <row r="117" spans="1:5" ht="12" customHeight="1">
      <c r="A117" s="13" t="s">
        <v>68</v>
      </c>
      <c r="B117" s="10" t="s">
        <v>275</v>
      </c>
      <c r="C117" s="714"/>
      <c r="D117" s="115"/>
      <c r="E117" s="244"/>
    </row>
    <row r="118" spans="1:5" ht="12" customHeight="1">
      <c r="A118" s="13" t="s">
        <v>69</v>
      </c>
      <c r="B118" s="10" t="s">
        <v>126</v>
      </c>
      <c r="C118" s="715"/>
      <c r="D118" s="114"/>
      <c r="E118" s="244"/>
    </row>
    <row r="119" spans="1:5" ht="12" customHeight="1">
      <c r="A119" s="13" t="s">
        <v>70</v>
      </c>
      <c r="B119" s="10" t="s">
        <v>276</v>
      </c>
      <c r="C119" s="729"/>
      <c r="D119" s="105"/>
      <c r="E119" s="244"/>
    </row>
    <row r="120" spans="1:5" ht="12" customHeight="1">
      <c r="A120" s="13" t="s">
        <v>71</v>
      </c>
      <c r="B120" s="109" t="s">
        <v>143</v>
      </c>
      <c r="C120" s="729"/>
      <c r="D120" s="105"/>
      <c r="E120" s="244"/>
    </row>
    <row r="121" spans="1:5" ht="12" customHeight="1">
      <c r="A121" s="13" t="s">
        <v>77</v>
      </c>
      <c r="B121" s="108" t="s">
        <v>331</v>
      </c>
      <c r="C121" s="729"/>
      <c r="D121" s="105"/>
      <c r="E121" s="244"/>
    </row>
    <row r="122" spans="1:5" ht="12" customHeight="1">
      <c r="A122" s="13" t="s">
        <v>79</v>
      </c>
      <c r="B122" s="181" t="s">
        <v>281</v>
      </c>
      <c r="C122" s="729"/>
      <c r="D122" s="105"/>
      <c r="E122" s="244"/>
    </row>
    <row r="123" spans="1:5" ht="15">
      <c r="A123" s="13" t="s">
        <v>127</v>
      </c>
      <c r="B123" s="68" t="s">
        <v>264</v>
      </c>
      <c r="C123" s="729"/>
      <c r="D123" s="105"/>
      <c r="E123" s="244"/>
    </row>
    <row r="124" spans="1:5" ht="12" customHeight="1">
      <c r="A124" s="13" t="s">
        <v>128</v>
      </c>
      <c r="B124" s="68" t="s">
        <v>280</v>
      </c>
      <c r="C124" s="729"/>
      <c r="D124" s="105"/>
      <c r="E124" s="244"/>
    </row>
    <row r="125" spans="1:5" ht="12" customHeight="1">
      <c r="A125" s="13" t="s">
        <v>129</v>
      </c>
      <c r="B125" s="68" t="s">
        <v>279</v>
      </c>
      <c r="C125" s="729"/>
      <c r="D125" s="105"/>
      <c r="E125" s="244"/>
    </row>
    <row r="126" spans="1:5" ht="12" customHeight="1">
      <c r="A126" s="13" t="s">
        <v>272</v>
      </c>
      <c r="B126" s="68" t="s">
        <v>267</v>
      </c>
      <c r="C126" s="729"/>
      <c r="D126" s="105"/>
      <c r="E126" s="244"/>
    </row>
    <row r="127" spans="1:5" ht="12" customHeight="1">
      <c r="A127" s="13" t="s">
        <v>273</v>
      </c>
      <c r="B127" s="68" t="s">
        <v>278</v>
      </c>
      <c r="C127" s="729"/>
      <c r="D127" s="105"/>
      <c r="E127" s="244"/>
    </row>
    <row r="128" spans="1:5" ht="15.75" thickBot="1">
      <c r="A128" s="11" t="s">
        <v>274</v>
      </c>
      <c r="B128" s="68" t="s">
        <v>277</v>
      </c>
      <c r="C128" s="730"/>
      <c r="D128" s="244"/>
      <c r="E128" s="244"/>
    </row>
    <row r="129" spans="1:5" ht="12" customHeight="1" thickBot="1">
      <c r="A129" s="18" t="s">
        <v>11</v>
      </c>
      <c r="B129" s="56" t="s">
        <v>349</v>
      </c>
      <c r="C129" s="713">
        <f>+C94+C115</f>
        <v>6639071</v>
      </c>
      <c r="D129" s="713">
        <f>+D94+D115</f>
        <v>7835233</v>
      </c>
      <c r="E129" s="713">
        <f>+E94+E115</f>
        <v>7835233</v>
      </c>
    </row>
    <row r="130" spans="1:5" ht="12" customHeight="1" thickBot="1">
      <c r="A130" s="18" t="s">
        <v>12</v>
      </c>
      <c r="B130" s="56" t="s">
        <v>350</v>
      </c>
      <c r="C130" s="713">
        <f>+C131+C132+C133</f>
        <v>0</v>
      </c>
      <c r="D130" s="112"/>
      <c r="E130" s="112"/>
    </row>
    <row r="131" spans="1:5" ht="12" customHeight="1">
      <c r="A131" s="13" t="s">
        <v>177</v>
      </c>
      <c r="B131" s="10" t="s">
        <v>357</v>
      </c>
      <c r="C131" s="729"/>
      <c r="D131" s="244"/>
      <c r="E131" s="244"/>
    </row>
    <row r="132" spans="1:5" ht="12" customHeight="1">
      <c r="A132" s="13" t="s">
        <v>178</v>
      </c>
      <c r="B132" s="10" t="s">
        <v>358</v>
      </c>
      <c r="C132" s="729"/>
      <c r="D132" s="244"/>
      <c r="E132" s="244"/>
    </row>
    <row r="133" spans="1:5" ht="12" customHeight="1" thickBot="1">
      <c r="A133" s="11" t="s">
        <v>179</v>
      </c>
      <c r="B133" s="10" t="s">
        <v>359</v>
      </c>
      <c r="C133" s="729"/>
      <c r="D133" s="244"/>
      <c r="E133" s="244"/>
    </row>
    <row r="134" spans="1:5" ht="12" customHeight="1" thickBot="1">
      <c r="A134" s="18" t="s">
        <v>13</v>
      </c>
      <c r="B134" s="56" t="s">
        <v>351</v>
      </c>
      <c r="C134" s="713">
        <f>SUM(C135:C140)</f>
        <v>0</v>
      </c>
      <c r="D134" s="112"/>
      <c r="E134" s="112"/>
    </row>
    <row r="135" spans="1:5" ht="12" customHeight="1">
      <c r="A135" s="13" t="s">
        <v>54</v>
      </c>
      <c r="B135" s="7" t="s">
        <v>360</v>
      </c>
      <c r="C135" s="729"/>
      <c r="D135" s="244"/>
      <c r="E135" s="244"/>
    </row>
    <row r="136" spans="1:5" ht="12" customHeight="1">
      <c r="A136" s="13" t="s">
        <v>55</v>
      </c>
      <c r="B136" s="7" t="s">
        <v>352</v>
      </c>
      <c r="C136" s="729"/>
      <c r="D136" s="244"/>
      <c r="E136" s="244"/>
    </row>
    <row r="137" spans="1:5" ht="12" customHeight="1">
      <c r="A137" s="13" t="s">
        <v>56</v>
      </c>
      <c r="B137" s="7" t="s">
        <v>353</v>
      </c>
      <c r="C137" s="729"/>
      <c r="D137" s="244"/>
      <c r="E137" s="244"/>
    </row>
    <row r="138" spans="1:5" ht="12" customHeight="1">
      <c r="A138" s="13" t="s">
        <v>114</v>
      </c>
      <c r="B138" s="7" t="s">
        <v>354</v>
      </c>
      <c r="C138" s="729"/>
      <c r="D138" s="244"/>
      <c r="E138" s="244"/>
    </row>
    <row r="139" spans="1:5" ht="12" customHeight="1">
      <c r="A139" s="13" t="s">
        <v>115</v>
      </c>
      <c r="B139" s="7" t="s">
        <v>355</v>
      </c>
      <c r="C139" s="730"/>
      <c r="D139" s="244"/>
      <c r="E139" s="244"/>
    </row>
    <row r="140" spans="1:5" ht="12" customHeight="1" thickBot="1">
      <c r="A140" s="11" t="s">
        <v>116</v>
      </c>
      <c r="B140" s="7" t="s">
        <v>356</v>
      </c>
      <c r="C140" s="731"/>
      <c r="D140" s="244"/>
      <c r="E140" s="244"/>
    </row>
    <row r="141" spans="1:5" ht="12" customHeight="1" thickBot="1">
      <c r="A141" s="18" t="s">
        <v>14</v>
      </c>
      <c r="B141" s="56" t="s">
        <v>364</v>
      </c>
      <c r="C141" s="718">
        <f>+C142+C143+C144+C145</f>
        <v>0</v>
      </c>
      <c r="D141" s="118"/>
      <c r="E141" s="118"/>
    </row>
    <row r="142" spans="1:5" ht="12" customHeight="1">
      <c r="A142" s="13" t="s">
        <v>57</v>
      </c>
      <c r="B142" s="7" t="s">
        <v>282</v>
      </c>
      <c r="C142" s="729"/>
      <c r="D142" s="244"/>
      <c r="E142" s="244"/>
    </row>
    <row r="143" spans="1:5" ht="12" customHeight="1">
      <c r="A143" s="13" t="s">
        <v>58</v>
      </c>
      <c r="B143" s="7" t="s">
        <v>283</v>
      </c>
      <c r="C143" s="729"/>
      <c r="D143" s="244"/>
      <c r="E143" s="244"/>
    </row>
    <row r="144" spans="1:5" ht="12" customHeight="1">
      <c r="A144" s="13" t="s">
        <v>197</v>
      </c>
      <c r="B144" s="7" t="s">
        <v>365</v>
      </c>
      <c r="C144" s="730"/>
      <c r="D144" s="244"/>
      <c r="E144" s="244"/>
    </row>
    <row r="145" spans="1:5" ht="12" customHeight="1" thickBot="1">
      <c r="A145" s="11" t="s">
        <v>198</v>
      </c>
      <c r="B145" s="5" t="s">
        <v>300</v>
      </c>
      <c r="C145" s="731"/>
      <c r="D145" s="244"/>
      <c r="E145" s="244"/>
    </row>
    <row r="146" spans="1:5" ht="12" customHeight="1" thickBot="1">
      <c r="A146" s="18" t="s">
        <v>15</v>
      </c>
      <c r="B146" s="56" t="s">
        <v>366</v>
      </c>
      <c r="C146" s="732">
        <f>SUM(C147:C151)</f>
        <v>0</v>
      </c>
      <c r="D146" s="121"/>
      <c r="E146" s="121"/>
    </row>
    <row r="147" spans="1:5" ht="12" customHeight="1">
      <c r="A147" s="13" t="s">
        <v>59</v>
      </c>
      <c r="B147" s="7" t="s">
        <v>361</v>
      </c>
      <c r="C147" s="729"/>
      <c r="D147" s="244"/>
      <c r="E147" s="244"/>
    </row>
    <row r="148" spans="1:5" ht="12" customHeight="1">
      <c r="A148" s="13" t="s">
        <v>60</v>
      </c>
      <c r="B148" s="7" t="s">
        <v>368</v>
      </c>
      <c r="C148" s="729"/>
      <c r="D148" s="244"/>
      <c r="E148" s="244"/>
    </row>
    <row r="149" spans="1:5" ht="12" customHeight="1">
      <c r="A149" s="13" t="s">
        <v>209</v>
      </c>
      <c r="B149" s="7" t="s">
        <v>363</v>
      </c>
      <c r="C149" s="729"/>
      <c r="D149" s="244"/>
      <c r="E149" s="244"/>
    </row>
    <row r="150" spans="1:5" ht="12" customHeight="1">
      <c r="A150" s="13" t="s">
        <v>210</v>
      </c>
      <c r="B150" s="7" t="s">
        <v>369</v>
      </c>
      <c r="C150" s="729"/>
      <c r="D150" s="244"/>
      <c r="E150" s="244"/>
    </row>
    <row r="151" spans="1:5" ht="12" customHeight="1" thickBot="1">
      <c r="A151" s="13" t="s">
        <v>367</v>
      </c>
      <c r="B151" s="7" t="s">
        <v>370</v>
      </c>
      <c r="C151" s="729"/>
      <c r="D151" s="248"/>
      <c r="E151" s="248"/>
    </row>
    <row r="152" spans="1:5" ht="12" customHeight="1" thickBot="1">
      <c r="A152" s="18" t="s">
        <v>16</v>
      </c>
      <c r="B152" s="56" t="s">
        <v>371</v>
      </c>
      <c r="C152" s="733"/>
      <c r="D152" s="249"/>
      <c r="E152" s="249"/>
    </row>
    <row r="153" spans="1:5" ht="12" customHeight="1" thickBot="1">
      <c r="A153" s="18" t="s">
        <v>17</v>
      </c>
      <c r="B153" s="56" t="s">
        <v>372</v>
      </c>
      <c r="C153" s="733"/>
      <c r="D153" s="246"/>
      <c r="E153" s="246"/>
    </row>
    <row r="154" spans="1:8" ht="15" customHeight="1" thickBot="1">
      <c r="A154" s="18" t="s">
        <v>18</v>
      </c>
      <c r="B154" s="56" t="s">
        <v>374</v>
      </c>
      <c r="C154" s="734">
        <f>+C130+C134+C141+C146+C152+C153</f>
        <v>0</v>
      </c>
      <c r="D154" s="194"/>
      <c r="E154" s="194"/>
      <c r="F154" s="196"/>
      <c r="G154" s="196"/>
      <c r="H154" s="196"/>
    </row>
    <row r="155" spans="1:5" s="184" customFormat="1" ht="12.75" customHeight="1" thickBot="1">
      <c r="A155" s="110" t="s">
        <v>19</v>
      </c>
      <c r="B155" s="166" t="s">
        <v>373</v>
      </c>
      <c r="C155" s="734">
        <f>+C129+C154</f>
        <v>6639071</v>
      </c>
      <c r="D155" s="734">
        <f>+D129+D154</f>
        <v>7835233</v>
      </c>
      <c r="E155" s="734">
        <f>+E129+E154</f>
        <v>7835233</v>
      </c>
    </row>
    <row r="156" ht="7.5" customHeight="1"/>
    <row r="157" spans="1:3" ht="15">
      <c r="A157" s="827" t="s">
        <v>284</v>
      </c>
      <c r="B157" s="827"/>
      <c r="C157" s="827"/>
    </row>
    <row r="158" spans="1:5" ht="15" customHeight="1" thickBot="1">
      <c r="A158" s="825" t="s">
        <v>94</v>
      </c>
      <c r="B158" s="825"/>
      <c r="C158" s="829" t="s">
        <v>433</v>
      </c>
      <c r="D158" s="829"/>
      <c r="E158" s="829"/>
    </row>
    <row r="159" spans="1:5" ht="13.5" customHeight="1" thickBot="1">
      <c r="A159" s="18">
        <v>1</v>
      </c>
      <c r="B159" s="23" t="s">
        <v>375</v>
      </c>
      <c r="C159" s="112">
        <f>+C63-C129</f>
        <v>-393956</v>
      </c>
      <c r="D159" s="112">
        <f>+D63-D129</f>
        <v>376887</v>
      </c>
      <c r="E159" s="112">
        <f>+E63-E129</f>
        <v>376887</v>
      </c>
    </row>
    <row r="160" spans="1:5" ht="27.75" customHeight="1" thickBot="1">
      <c r="A160" s="18" t="s">
        <v>10</v>
      </c>
      <c r="B160" s="23" t="s">
        <v>381</v>
      </c>
      <c r="C160" s="112">
        <f>+C87-C154</f>
        <v>393956</v>
      </c>
      <c r="D160" s="112">
        <f>+D87-D154</f>
        <v>393956</v>
      </c>
      <c r="E160" s="112">
        <f>+E87-E154</f>
        <v>393956</v>
      </c>
    </row>
  </sheetData>
  <sheetProtection/>
  <mergeCells count="10">
    <mergeCell ref="A158:B158"/>
    <mergeCell ref="A1:C1"/>
    <mergeCell ref="A2:C2"/>
    <mergeCell ref="A3:B3"/>
    <mergeCell ref="A90:C90"/>
    <mergeCell ref="A91:B91"/>
    <mergeCell ref="A157:C157"/>
    <mergeCell ref="C158:E158"/>
    <mergeCell ref="C91:E91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Csengerújfalu Község Önkormányzat
2019. ÉVI ZÁRSZÁMADÁS
ÖNKÉNT VÁLLALT FELADATAINAK MÉRLEGE
&amp;R&amp;"Times New Roman CE,Félkövér dőlt"&amp;11 5. melléklet a ........./2020. (.......) önkormányzati rendelethez</oddHeader>
  </headerFooter>
  <rowBreaks count="2" manualBreakCount="2">
    <brk id="88" max="255" man="1"/>
    <brk id="8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30" zoomScaleSheetLayoutView="80" workbookViewId="0" topLeftCell="A1">
      <selection activeCell="B101" sqref="B101"/>
    </sheetView>
  </sheetViews>
  <sheetFormatPr defaultColWidth="9.25390625" defaultRowHeight="12.75"/>
  <cols>
    <col min="1" max="1" width="9.375" style="167" customWidth="1"/>
    <col min="2" max="2" width="91.75390625" style="167" customWidth="1"/>
    <col min="3" max="3" width="21.75390625" style="168" customWidth="1"/>
    <col min="4" max="4" width="19.00390625" style="182" customWidth="1"/>
    <col min="5" max="5" width="18.375" style="182" customWidth="1"/>
    <col min="6" max="16384" width="9.25390625" style="182" customWidth="1"/>
  </cols>
  <sheetData>
    <row r="1" spans="1:3" ht="15">
      <c r="A1" s="827" t="s">
        <v>428</v>
      </c>
      <c r="B1" s="827"/>
      <c r="C1" s="827"/>
    </row>
    <row r="2" spans="1:3" ht="15.75" customHeight="1">
      <c r="A2" s="824" t="s">
        <v>6</v>
      </c>
      <c r="B2" s="824"/>
      <c r="C2" s="824"/>
    </row>
    <row r="3" spans="1:5" ht="15.75" customHeight="1" thickBot="1">
      <c r="A3" s="825" t="s">
        <v>92</v>
      </c>
      <c r="B3" s="825"/>
      <c r="C3" s="837" t="s">
        <v>426</v>
      </c>
      <c r="D3" s="837"/>
      <c r="E3" s="837"/>
    </row>
    <row r="4" spans="1:5" ht="37.5" customHeight="1" thickBot="1">
      <c r="A4" s="21" t="s">
        <v>49</v>
      </c>
      <c r="B4" s="22" t="s">
        <v>8</v>
      </c>
      <c r="C4" s="31" t="s">
        <v>772</v>
      </c>
      <c r="D4" s="236" t="s">
        <v>773</v>
      </c>
      <c r="E4" s="289" t="s">
        <v>774</v>
      </c>
    </row>
    <row r="5" spans="1:5" s="183" customFormat="1" ht="12" customHeight="1" thickBot="1">
      <c r="A5" s="177" t="s">
        <v>394</v>
      </c>
      <c r="B5" s="178" t="s">
        <v>395</v>
      </c>
      <c r="C5" s="179" t="s">
        <v>396</v>
      </c>
      <c r="D5" s="245" t="s">
        <v>398</v>
      </c>
      <c r="E5" s="323"/>
    </row>
    <row r="6" spans="1:5" s="184" customFormat="1" ht="12" customHeight="1" thickBot="1">
      <c r="A6" s="18" t="s">
        <v>9</v>
      </c>
      <c r="B6" s="19" t="s">
        <v>162</v>
      </c>
      <c r="C6" s="112">
        <f>+C7+C8+C9+C10+C11+C12</f>
        <v>0</v>
      </c>
      <c r="D6" s="112">
        <f>+D7+D8+D9+D10+D11+D12</f>
        <v>0</v>
      </c>
      <c r="E6" s="112">
        <f>+E7+E8+E9+E10+E11+E12</f>
        <v>0</v>
      </c>
    </row>
    <row r="7" spans="1:5" s="184" customFormat="1" ht="12" customHeight="1">
      <c r="A7" s="13" t="s">
        <v>61</v>
      </c>
      <c r="B7" s="185" t="s">
        <v>163</v>
      </c>
      <c r="C7" s="115"/>
      <c r="D7" s="234"/>
      <c r="E7" s="234"/>
    </row>
    <row r="8" spans="1:5" s="184" customFormat="1" ht="12" customHeight="1">
      <c r="A8" s="12" t="s">
        <v>62</v>
      </c>
      <c r="B8" s="186" t="s">
        <v>164</v>
      </c>
      <c r="C8" s="114"/>
      <c r="D8" s="234"/>
      <c r="E8" s="234"/>
    </row>
    <row r="9" spans="1:5" s="184" customFormat="1" ht="12" customHeight="1">
      <c r="A9" s="12" t="s">
        <v>63</v>
      </c>
      <c r="B9" s="186" t="s">
        <v>422</v>
      </c>
      <c r="C9" s="114"/>
      <c r="D9" s="234"/>
      <c r="E9" s="234"/>
    </row>
    <row r="10" spans="1:5" s="184" customFormat="1" ht="12" customHeight="1">
      <c r="A10" s="12" t="s">
        <v>64</v>
      </c>
      <c r="B10" s="186" t="s">
        <v>166</v>
      </c>
      <c r="C10" s="114"/>
      <c r="D10" s="234"/>
      <c r="E10" s="234"/>
    </row>
    <row r="11" spans="1:5" s="184" customFormat="1" ht="12" customHeight="1">
      <c r="A11" s="12" t="s">
        <v>88</v>
      </c>
      <c r="B11" s="108" t="s">
        <v>333</v>
      </c>
      <c r="C11" s="114"/>
      <c r="D11" s="234"/>
      <c r="E11" s="234"/>
    </row>
    <row r="12" spans="1:5" s="184" customFormat="1" ht="12" customHeight="1" thickBot="1">
      <c r="A12" s="14" t="s">
        <v>65</v>
      </c>
      <c r="B12" s="109" t="s">
        <v>334</v>
      </c>
      <c r="C12" s="114"/>
      <c r="D12" s="234"/>
      <c r="E12" s="234"/>
    </row>
    <row r="13" spans="1:5" s="184" customFormat="1" ht="12" customHeight="1" thickBot="1">
      <c r="A13" s="18" t="s">
        <v>10</v>
      </c>
      <c r="B13" s="107" t="s">
        <v>167</v>
      </c>
      <c r="C13" s="112">
        <f>+C14+C15+C16+C17+C18</f>
        <v>0</v>
      </c>
      <c r="D13" s="112">
        <f>+D14+D15+D16+D17+D18</f>
        <v>0</v>
      </c>
      <c r="E13" s="112">
        <f>+E14+E15+E16+E17+E18</f>
        <v>0</v>
      </c>
    </row>
    <row r="14" spans="1:5" s="184" customFormat="1" ht="12" customHeight="1">
      <c r="A14" s="13" t="s">
        <v>67</v>
      </c>
      <c r="B14" s="185" t="s">
        <v>168</v>
      </c>
      <c r="C14" s="115"/>
      <c r="D14" s="234"/>
      <c r="E14" s="234"/>
    </row>
    <row r="15" spans="1:5" s="184" customFormat="1" ht="12" customHeight="1">
      <c r="A15" s="12" t="s">
        <v>68</v>
      </c>
      <c r="B15" s="186" t="s">
        <v>169</v>
      </c>
      <c r="C15" s="114"/>
      <c r="D15" s="234"/>
      <c r="E15" s="234"/>
    </row>
    <row r="16" spans="1:5" s="184" customFormat="1" ht="12" customHeight="1">
      <c r="A16" s="12" t="s">
        <v>69</v>
      </c>
      <c r="B16" s="186" t="s">
        <v>325</v>
      </c>
      <c r="C16" s="114"/>
      <c r="D16" s="234"/>
      <c r="E16" s="234"/>
    </row>
    <row r="17" spans="1:5" s="184" customFormat="1" ht="12" customHeight="1">
      <c r="A17" s="12" t="s">
        <v>70</v>
      </c>
      <c r="B17" s="186" t="s">
        <v>326</v>
      </c>
      <c r="C17" s="114"/>
      <c r="D17" s="234"/>
      <c r="E17" s="234"/>
    </row>
    <row r="18" spans="1:5" s="184" customFormat="1" ht="12" customHeight="1">
      <c r="A18" s="12" t="s">
        <v>71</v>
      </c>
      <c r="B18" s="186" t="s">
        <v>170</v>
      </c>
      <c r="C18" s="114"/>
      <c r="D18" s="234"/>
      <c r="E18" s="234"/>
    </row>
    <row r="19" spans="1:5" s="184" customFormat="1" ht="12" customHeight="1" thickBot="1">
      <c r="A19" s="14" t="s">
        <v>77</v>
      </c>
      <c r="B19" s="109" t="s">
        <v>171</v>
      </c>
      <c r="C19" s="116"/>
      <c r="D19" s="234"/>
      <c r="E19" s="234"/>
    </row>
    <row r="20" spans="1:5" s="184" customFormat="1" ht="12" customHeight="1" thickBot="1">
      <c r="A20" s="18" t="s">
        <v>11</v>
      </c>
      <c r="B20" s="19" t="s">
        <v>172</v>
      </c>
      <c r="C20" s="112">
        <f>+C21+C22+C23+C24+C25</f>
        <v>0</v>
      </c>
      <c r="D20" s="112">
        <f>+D21+D22+D23+D24+D25</f>
        <v>0</v>
      </c>
      <c r="E20" s="112">
        <f>+E21+E22+E23+E24+E25</f>
        <v>0</v>
      </c>
    </row>
    <row r="21" spans="1:5" s="184" customFormat="1" ht="12" customHeight="1">
      <c r="A21" s="13" t="s">
        <v>50</v>
      </c>
      <c r="B21" s="185" t="s">
        <v>173</v>
      </c>
      <c r="C21" s="115"/>
      <c r="D21" s="234"/>
      <c r="E21" s="234"/>
    </row>
    <row r="22" spans="1:5" s="184" customFormat="1" ht="12" customHeight="1">
      <c r="A22" s="12" t="s">
        <v>51</v>
      </c>
      <c r="B22" s="186" t="s">
        <v>174</v>
      </c>
      <c r="C22" s="114"/>
      <c r="D22" s="234"/>
      <c r="E22" s="234"/>
    </row>
    <row r="23" spans="1:5" s="184" customFormat="1" ht="12" customHeight="1">
      <c r="A23" s="12" t="s">
        <v>52</v>
      </c>
      <c r="B23" s="186" t="s">
        <v>327</v>
      </c>
      <c r="C23" s="114"/>
      <c r="D23" s="234"/>
      <c r="E23" s="234"/>
    </row>
    <row r="24" spans="1:5" s="184" customFormat="1" ht="12" customHeight="1">
      <c r="A24" s="12" t="s">
        <v>53</v>
      </c>
      <c r="B24" s="186" t="s">
        <v>328</v>
      </c>
      <c r="C24" s="114"/>
      <c r="D24" s="234"/>
      <c r="E24" s="234"/>
    </row>
    <row r="25" spans="1:5" s="184" customFormat="1" ht="12" customHeight="1">
      <c r="A25" s="12" t="s">
        <v>110</v>
      </c>
      <c r="B25" s="186" t="s">
        <v>175</v>
      </c>
      <c r="C25" s="114"/>
      <c r="D25" s="234"/>
      <c r="E25" s="234"/>
    </row>
    <row r="26" spans="1:5" s="184" customFormat="1" ht="12" customHeight="1" thickBot="1">
      <c r="A26" s="14" t="s">
        <v>111</v>
      </c>
      <c r="B26" s="187" t="s">
        <v>176</v>
      </c>
      <c r="C26" s="116"/>
      <c r="D26" s="234"/>
      <c r="E26" s="234"/>
    </row>
    <row r="27" spans="1:5" s="184" customFormat="1" ht="12" customHeight="1" thickBot="1">
      <c r="A27" s="18" t="s">
        <v>112</v>
      </c>
      <c r="B27" s="19" t="s">
        <v>425</v>
      </c>
      <c r="C27" s="118">
        <f>+C28+C32+C33+C34</f>
        <v>0</v>
      </c>
      <c r="D27" s="118">
        <f>+D28+D32+D33+D34</f>
        <v>0</v>
      </c>
      <c r="E27" s="118">
        <f>+E28+E32+E33+E34</f>
        <v>0</v>
      </c>
    </row>
    <row r="28" spans="1:5" s="184" customFormat="1" ht="12" customHeight="1">
      <c r="A28" s="13" t="s">
        <v>177</v>
      </c>
      <c r="B28" s="185" t="s">
        <v>418</v>
      </c>
      <c r="C28" s="180">
        <f>+C29+C30+C31</f>
        <v>0</v>
      </c>
      <c r="D28" s="234"/>
      <c r="E28" s="234"/>
    </row>
    <row r="29" spans="1:5" s="184" customFormat="1" ht="12" customHeight="1">
      <c r="A29" s="12" t="s">
        <v>178</v>
      </c>
      <c r="B29" s="186" t="s">
        <v>419</v>
      </c>
      <c r="C29" s="114"/>
      <c r="D29" s="234"/>
      <c r="E29" s="234"/>
    </row>
    <row r="30" spans="1:5" s="184" customFormat="1" ht="12" customHeight="1">
      <c r="A30" s="12" t="s">
        <v>179</v>
      </c>
      <c r="B30" s="186" t="s">
        <v>420</v>
      </c>
      <c r="C30" s="114"/>
      <c r="D30" s="234"/>
      <c r="E30" s="234"/>
    </row>
    <row r="31" spans="1:5" s="184" customFormat="1" ht="12" customHeight="1">
      <c r="A31" s="12" t="s">
        <v>180</v>
      </c>
      <c r="B31" s="186" t="s">
        <v>421</v>
      </c>
      <c r="C31" s="114"/>
      <c r="D31" s="234"/>
      <c r="E31" s="234"/>
    </row>
    <row r="32" spans="1:5" s="184" customFormat="1" ht="12" customHeight="1">
      <c r="A32" s="12" t="s">
        <v>415</v>
      </c>
      <c r="B32" s="186" t="s">
        <v>181</v>
      </c>
      <c r="C32" s="114"/>
      <c r="D32" s="234"/>
      <c r="E32" s="234"/>
    </row>
    <row r="33" spans="1:5" s="184" customFormat="1" ht="12" customHeight="1">
      <c r="A33" s="12" t="s">
        <v>416</v>
      </c>
      <c r="B33" s="186" t="s">
        <v>182</v>
      </c>
      <c r="C33" s="114"/>
      <c r="D33" s="234"/>
      <c r="E33" s="234"/>
    </row>
    <row r="34" spans="1:5" s="184" customFormat="1" ht="12" customHeight="1" thickBot="1">
      <c r="A34" s="14" t="s">
        <v>417</v>
      </c>
      <c r="B34" s="187" t="s">
        <v>183</v>
      </c>
      <c r="C34" s="116"/>
      <c r="D34" s="234"/>
      <c r="E34" s="234"/>
    </row>
    <row r="35" spans="1:5" s="184" customFormat="1" ht="12" customHeight="1" thickBot="1">
      <c r="A35" s="18" t="s">
        <v>13</v>
      </c>
      <c r="B35" s="19" t="s">
        <v>335</v>
      </c>
      <c r="C35" s="112">
        <f>SUM(C36:C46)</f>
        <v>0</v>
      </c>
      <c r="D35" s="112">
        <f>SUM(D36:D46)</f>
        <v>0</v>
      </c>
      <c r="E35" s="112">
        <f>SUM(E36:E46)</f>
        <v>0</v>
      </c>
    </row>
    <row r="36" spans="1:5" s="184" customFormat="1" ht="12" customHeight="1">
      <c r="A36" s="13" t="s">
        <v>54</v>
      </c>
      <c r="B36" s="185" t="s">
        <v>186</v>
      </c>
      <c r="C36" s="115"/>
      <c r="D36" s="234"/>
      <c r="E36" s="234"/>
    </row>
    <row r="37" spans="1:5" s="184" customFormat="1" ht="12" customHeight="1">
      <c r="A37" s="12" t="s">
        <v>55</v>
      </c>
      <c r="B37" s="186" t="s">
        <v>187</v>
      </c>
      <c r="C37" s="114"/>
      <c r="D37" s="234"/>
      <c r="E37" s="234"/>
    </row>
    <row r="38" spans="1:5" s="184" customFormat="1" ht="12" customHeight="1">
      <c r="A38" s="12" t="s">
        <v>56</v>
      </c>
      <c r="B38" s="186" t="s">
        <v>188</v>
      </c>
      <c r="C38" s="114"/>
      <c r="D38" s="234"/>
      <c r="E38" s="234"/>
    </row>
    <row r="39" spans="1:5" s="184" customFormat="1" ht="12" customHeight="1">
      <c r="A39" s="12" t="s">
        <v>114</v>
      </c>
      <c r="B39" s="186" t="s">
        <v>189</v>
      </c>
      <c r="C39" s="114"/>
      <c r="D39" s="234"/>
      <c r="E39" s="234"/>
    </row>
    <row r="40" spans="1:5" s="184" customFormat="1" ht="12" customHeight="1">
      <c r="A40" s="12" t="s">
        <v>115</v>
      </c>
      <c r="B40" s="186" t="s">
        <v>190</v>
      </c>
      <c r="C40" s="114"/>
      <c r="D40" s="234"/>
      <c r="E40" s="234"/>
    </row>
    <row r="41" spans="1:5" s="184" customFormat="1" ht="12" customHeight="1">
      <c r="A41" s="12" t="s">
        <v>116</v>
      </c>
      <c r="B41" s="186" t="s">
        <v>191</v>
      </c>
      <c r="C41" s="114"/>
      <c r="D41" s="234"/>
      <c r="E41" s="234"/>
    </row>
    <row r="42" spans="1:5" s="184" customFormat="1" ht="12" customHeight="1">
      <c r="A42" s="12" t="s">
        <v>117</v>
      </c>
      <c r="B42" s="186" t="s">
        <v>192</v>
      </c>
      <c r="C42" s="114"/>
      <c r="D42" s="234"/>
      <c r="E42" s="234"/>
    </row>
    <row r="43" spans="1:5" s="184" customFormat="1" ht="12" customHeight="1">
      <c r="A43" s="12" t="s">
        <v>118</v>
      </c>
      <c r="B43" s="186" t="s">
        <v>193</v>
      </c>
      <c r="C43" s="114"/>
      <c r="D43" s="234"/>
      <c r="E43" s="234"/>
    </row>
    <row r="44" spans="1:5" s="184" customFormat="1" ht="12" customHeight="1">
      <c r="A44" s="12" t="s">
        <v>184</v>
      </c>
      <c r="B44" s="186" t="s">
        <v>194</v>
      </c>
      <c r="C44" s="117"/>
      <c r="D44" s="234"/>
      <c r="E44" s="234"/>
    </row>
    <row r="45" spans="1:5" s="184" customFormat="1" ht="12" customHeight="1">
      <c r="A45" s="14" t="s">
        <v>185</v>
      </c>
      <c r="B45" s="187" t="s">
        <v>337</v>
      </c>
      <c r="C45" s="173"/>
      <c r="D45" s="234"/>
      <c r="E45" s="234"/>
    </row>
    <row r="46" spans="1:5" s="184" customFormat="1" ht="12" customHeight="1" thickBot="1">
      <c r="A46" s="14" t="s">
        <v>336</v>
      </c>
      <c r="B46" s="109" t="s">
        <v>195</v>
      </c>
      <c r="C46" s="173"/>
      <c r="D46" s="234"/>
      <c r="E46" s="234"/>
    </row>
    <row r="47" spans="1:5" s="184" customFormat="1" ht="12" customHeight="1" thickBot="1">
      <c r="A47" s="18" t="s">
        <v>14</v>
      </c>
      <c r="B47" s="19" t="s">
        <v>196</v>
      </c>
      <c r="C47" s="112">
        <f>SUM(C48:C52)</f>
        <v>0</v>
      </c>
      <c r="D47" s="112">
        <f>SUM(D48:D52)</f>
        <v>0</v>
      </c>
      <c r="E47" s="112">
        <f>SUM(E48:E52)</f>
        <v>0</v>
      </c>
    </row>
    <row r="48" spans="1:5" s="184" customFormat="1" ht="12" customHeight="1">
      <c r="A48" s="13" t="s">
        <v>57</v>
      </c>
      <c r="B48" s="185" t="s">
        <v>200</v>
      </c>
      <c r="C48" s="217"/>
      <c r="D48" s="234"/>
      <c r="E48" s="234"/>
    </row>
    <row r="49" spans="1:5" s="184" customFormat="1" ht="12" customHeight="1">
      <c r="A49" s="12" t="s">
        <v>58</v>
      </c>
      <c r="B49" s="186" t="s">
        <v>201</v>
      </c>
      <c r="C49" s="117"/>
      <c r="D49" s="234"/>
      <c r="E49" s="234"/>
    </row>
    <row r="50" spans="1:5" s="184" customFormat="1" ht="12" customHeight="1">
      <c r="A50" s="12" t="s">
        <v>197</v>
      </c>
      <c r="B50" s="186" t="s">
        <v>202</v>
      </c>
      <c r="C50" s="117"/>
      <c r="D50" s="234"/>
      <c r="E50" s="234"/>
    </row>
    <row r="51" spans="1:5" s="184" customFormat="1" ht="12" customHeight="1">
      <c r="A51" s="12" t="s">
        <v>198</v>
      </c>
      <c r="B51" s="186" t="s">
        <v>203</v>
      </c>
      <c r="C51" s="117"/>
      <c r="D51" s="234"/>
      <c r="E51" s="234"/>
    </row>
    <row r="52" spans="1:5" s="184" customFormat="1" ht="12" customHeight="1" thickBot="1">
      <c r="A52" s="14" t="s">
        <v>199</v>
      </c>
      <c r="B52" s="109" t="s">
        <v>204</v>
      </c>
      <c r="C52" s="173"/>
      <c r="D52" s="234"/>
      <c r="E52" s="234"/>
    </row>
    <row r="53" spans="1:5" s="184" customFormat="1" ht="12" customHeight="1" thickBot="1">
      <c r="A53" s="18" t="s">
        <v>119</v>
      </c>
      <c r="B53" s="19" t="s">
        <v>205</v>
      </c>
      <c r="C53" s="112">
        <f>SUM(C54:C56)</f>
        <v>0</v>
      </c>
      <c r="D53" s="112">
        <f>SUM(D54:D56)</f>
        <v>0</v>
      </c>
      <c r="E53" s="112">
        <f>SUM(E54:E56)</f>
        <v>0</v>
      </c>
    </row>
    <row r="54" spans="1:5" s="184" customFormat="1" ht="12" customHeight="1">
      <c r="A54" s="13" t="s">
        <v>59</v>
      </c>
      <c r="B54" s="185" t="s">
        <v>206</v>
      </c>
      <c r="C54" s="115"/>
      <c r="D54" s="234"/>
      <c r="E54" s="234"/>
    </row>
    <row r="55" spans="1:5" s="184" customFormat="1" ht="12" customHeight="1">
      <c r="A55" s="12" t="s">
        <v>60</v>
      </c>
      <c r="B55" s="186" t="s">
        <v>329</v>
      </c>
      <c r="C55" s="114"/>
      <c r="D55" s="234"/>
      <c r="E55" s="234"/>
    </row>
    <row r="56" spans="1:5" s="184" customFormat="1" ht="12" customHeight="1">
      <c r="A56" s="12" t="s">
        <v>209</v>
      </c>
      <c r="B56" s="186" t="s">
        <v>207</v>
      </c>
      <c r="C56" s="114"/>
      <c r="D56" s="234"/>
      <c r="E56" s="234"/>
    </row>
    <row r="57" spans="1:5" s="184" customFormat="1" ht="12" customHeight="1" thickBot="1">
      <c r="A57" s="14" t="s">
        <v>210</v>
      </c>
      <c r="B57" s="109" t="s">
        <v>208</v>
      </c>
      <c r="C57" s="116"/>
      <c r="D57" s="234"/>
      <c r="E57" s="234"/>
    </row>
    <row r="58" spans="1:5" s="184" customFormat="1" ht="12" customHeight="1" thickBot="1">
      <c r="A58" s="18" t="s">
        <v>16</v>
      </c>
      <c r="B58" s="107" t="s">
        <v>211</v>
      </c>
      <c r="C58" s="112">
        <f>SUM(C59:C61)</f>
        <v>0</v>
      </c>
      <c r="D58" s="112">
        <f>SUM(D59:D61)</f>
        <v>0</v>
      </c>
      <c r="E58" s="112">
        <f>SUM(E59:E61)</f>
        <v>0</v>
      </c>
    </row>
    <row r="59" spans="1:5" s="184" customFormat="1" ht="12" customHeight="1">
      <c r="A59" s="13" t="s">
        <v>120</v>
      </c>
      <c r="B59" s="185" t="s">
        <v>213</v>
      </c>
      <c r="C59" s="117"/>
      <c r="D59" s="234"/>
      <c r="E59" s="234"/>
    </row>
    <row r="60" spans="1:5" s="184" customFormat="1" ht="12" customHeight="1">
      <c r="A60" s="12" t="s">
        <v>121</v>
      </c>
      <c r="B60" s="186" t="s">
        <v>330</v>
      </c>
      <c r="C60" s="117"/>
      <c r="D60" s="234"/>
      <c r="E60" s="234"/>
    </row>
    <row r="61" spans="1:5" s="184" customFormat="1" ht="12" customHeight="1">
      <c r="A61" s="12" t="s">
        <v>142</v>
      </c>
      <c r="B61" s="186" t="s">
        <v>214</v>
      </c>
      <c r="C61" s="117"/>
      <c r="D61" s="234"/>
      <c r="E61" s="234"/>
    </row>
    <row r="62" spans="1:5" s="184" customFormat="1" ht="12" customHeight="1" thickBot="1">
      <c r="A62" s="14" t="s">
        <v>212</v>
      </c>
      <c r="B62" s="109" t="s">
        <v>215</v>
      </c>
      <c r="C62" s="117"/>
      <c r="D62" s="234"/>
      <c r="E62" s="234"/>
    </row>
    <row r="63" spans="1:5" s="184" customFormat="1" ht="12" customHeight="1" thickBot="1">
      <c r="A63" s="227" t="s">
        <v>377</v>
      </c>
      <c r="B63" s="19" t="s">
        <v>216</v>
      </c>
      <c r="C63" s="118">
        <f>+C6+C13+C20+C27+C35+C47+C53+C58</f>
        <v>0</v>
      </c>
      <c r="D63" s="118">
        <f>+D6+D13+D20+D27+D35+D47+D53+D58</f>
        <v>0</v>
      </c>
      <c r="E63" s="118">
        <f>+E6+E13+E20+E27+E35+E47+E53+E58</f>
        <v>0</v>
      </c>
    </row>
    <row r="64" spans="1:5" s="184" customFormat="1" ht="12" customHeight="1" thickBot="1">
      <c r="A64" s="219" t="s">
        <v>217</v>
      </c>
      <c r="B64" s="107" t="s">
        <v>218</v>
      </c>
      <c r="C64" s="112">
        <f>SUM(C65:C67)</f>
        <v>0</v>
      </c>
      <c r="D64" s="112">
        <f>SUM(D65:D67)</f>
        <v>0</v>
      </c>
      <c r="E64" s="112">
        <f>SUM(E65:E67)</f>
        <v>0</v>
      </c>
    </row>
    <row r="65" spans="1:5" s="184" customFormat="1" ht="12" customHeight="1">
      <c r="A65" s="13" t="s">
        <v>248</v>
      </c>
      <c r="B65" s="185" t="s">
        <v>219</v>
      </c>
      <c r="C65" s="117"/>
      <c r="D65" s="234"/>
      <c r="E65" s="234"/>
    </row>
    <row r="66" spans="1:5" s="184" customFormat="1" ht="12" customHeight="1">
      <c r="A66" s="12" t="s">
        <v>257</v>
      </c>
      <c r="B66" s="186" t="s">
        <v>220</v>
      </c>
      <c r="C66" s="117"/>
      <c r="D66" s="234"/>
      <c r="E66" s="234"/>
    </row>
    <row r="67" spans="1:5" s="184" customFormat="1" ht="12" customHeight="1" thickBot="1">
      <c r="A67" s="14" t="s">
        <v>258</v>
      </c>
      <c r="B67" s="221" t="s">
        <v>362</v>
      </c>
      <c r="C67" s="117"/>
      <c r="D67" s="234"/>
      <c r="E67" s="234"/>
    </row>
    <row r="68" spans="1:5" s="184" customFormat="1" ht="12" customHeight="1" thickBot="1">
      <c r="A68" s="219" t="s">
        <v>221</v>
      </c>
      <c r="B68" s="107" t="s">
        <v>222</v>
      </c>
      <c r="C68" s="112">
        <f>SUM(C69:C72)</f>
        <v>0</v>
      </c>
      <c r="D68" s="112">
        <f>SUM(D69:D72)</f>
        <v>0</v>
      </c>
      <c r="E68" s="112">
        <f>SUM(E69:E72)</f>
        <v>0</v>
      </c>
    </row>
    <row r="69" spans="1:5" s="184" customFormat="1" ht="12" customHeight="1">
      <c r="A69" s="13" t="s">
        <v>89</v>
      </c>
      <c r="B69" s="185" t="s">
        <v>223</v>
      </c>
      <c r="C69" s="117"/>
      <c r="D69" s="234"/>
      <c r="E69" s="234"/>
    </row>
    <row r="70" spans="1:5" s="184" customFormat="1" ht="12" customHeight="1">
      <c r="A70" s="12" t="s">
        <v>90</v>
      </c>
      <c r="B70" s="186" t="s">
        <v>224</v>
      </c>
      <c r="C70" s="117"/>
      <c r="D70" s="234"/>
      <c r="E70" s="234"/>
    </row>
    <row r="71" spans="1:5" s="184" customFormat="1" ht="12" customHeight="1">
      <c r="A71" s="12" t="s">
        <v>249</v>
      </c>
      <c r="B71" s="186" t="s">
        <v>225</v>
      </c>
      <c r="C71" s="117"/>
      <c r="D71" s="234"/>
      <c r="E71" s="234"/>
    </row>
    <row r="72" spans="1:5" s="184" customFormat="1" ht="12" customHeight="1" thickBot="1">
      <c r="A72" s="14" t="s">
        <v>250</v>
      </c>
      <c r="B72" s="109" t="s">
        <v>226</v>
      </c>
      <c r="C72" s="117"/>
      <c r="D72" s="234"/>
      <c r="E72" s="234"/>
    </row>
    <row r="73" spans="1:5" s="184" customFormat="1" ht="12" customHeight="1" thickBot="1">
      <c r="A73" s="219" t="s">
        <v>227</v>
      </c>
      <c r="B73" s="107" t="s">
        <v>228</v>
      </c>
      <c r="C73" s="112">
        <f>SUM(C74:C75)</f>
        <v>0</v>
      </c>
      <c r="D73" s="112">
        <f>SUM(D74:D75)</f>
        <v>0</v>
      </c>
      <c r="E73" s="112">
        <f>SUM(E74:E75)</f>
        <v>0</v>
      </c>
    </row>
    <row r="74" spans="1:5" s="184" customFormat="1" ht="12" customHeight="1">
      <c r="A74" s="13" t="s">
        <v>251</v>
      </c>
      <c r="B74" s="185" t="s">
        <v>229</v>
      </c>
      <c r="C74" s="117"/>
      <c r="D74" s="234"/>
      <c r="E74" s="234"/>
    </row>
    <row r="75" spans="1:5" s="184" customFormat="1" ht="12" customHeight="1" thickBot="1">
      <c r="A75" s="14" t="s">
        <v>252</v>
      </c>
      <c r="B75" s="109" t="s">
        <v>230</v>
      </c>
      <c r="C75" s="117"/>
      <c r="D75" s="234"/>
      <c r="E75" s="234"/>
    </row>
    <row r="76" spans="1:5" s="184" customFormat="1" ht="12" customHeight="1" thickBot="1">
      <c r="A76" s="219" t="s">
        <v>231</v>
      </c>
      <c r="B76" s="107" t="s">
        <v>232</v>
      </c>
      <c r="C76" s="112">
        <f>SUM(C77:C79)</f>
        <v>0</v>
      </c>
      <c r="D76" s="112">
        <f>SUM(D77:D79)</f>
        <v>0</v>
      </c>
      <c r="E76" s="112">
        <f>SUM(E77:E79)</f>
        <v>0</v>
      </c>
    </row>
    <row r="77" spans="1:5" s="184" customFormat="1" ht="12" customHeight="1">
      <c r="A77" s="13" t="s">
        <v>253</v>
      </c>
      <c r="B77" s="185" t="s">
        <v>233</v>
      </c>
      <c r="C77" s="117"/>
      <c r="D77" s="234"/>
      <c r="E77" s="234"/>
    </row>
    <row r="78" spans="1:5" s="184" customFormat="1" ht="12" customHeight="1">
      <c r="A78" s="12" t="s">
        <v>254</v>
      </c>
      <c r="B78" s="186" t="s">
        <v>234</v>
      </c>
      <c r="C78" s="117"/>
      <c r="D78" s="234"/>
      <c r="E78" s="234"/>
    </row>
    <row r="79" spans="1:5" s="184" customFormat="1" ht="12" customHeight="1" thickBot="1">
      <c r="A79" s="14" t="s">
        <v>255</v>
      </c>
      <c r="B79" s="109" t="s">
        <v>235</v>
      </c>
      <c r="C79" s="117"/>
      <c r="D79" s="234"/>
      <c r="E79" s="234"/>
    </row>
    <row r="80" spans="1:5" s="184" customFormat="1" ht="12" customHeight="1" thickBot="1">
      <c r="A80" s="219" t="s">
        <v>236</v>
      </c>
      <c r="B80" s="107" t="s">
        <v>256</v>
      </c>
      <c r="C80" s="112">
        <f>SUM(C81:C84)</f>
        <v>0</v>
      </c>
      <c r="D80" s="112">
        <f>SUM(D81:D84)</f>
        <v>0</v>
      </c>
      <c r="E80" s="112">
        <f>SUM(E81:E84)</f>
        <v>0</v>
      </c>
    </row>
    <row r="81" spans="1:5" s="184" customFormat="1" ht="12" customHeight="1">
      <c r="A81" s="188" t="s">
        <v>237</v>
      </c>
      <c r="B81" s="185" t="s">
        <v>238</v>
      </c>
      <c r="C81" s="117"/>
      <c r="D81" s="234"/>
      <c r="E81" s="234"/>
    </row>
    <row r="82" spans="1:5" s="184" customFormat="1" ht="12" customHeight="1">
      <c r="A82" s="189" t="s">
        <v>239</v>
      </c>
      <c r="B82" s="186" t="s">
        <v>240</v>
      </c>
      <c r="C82" s="117"/>
      <c r="D82" s="234"/>
      <c r="E82" s="234"/>
    </row>
    <row r="83" spans="1:5" s="184" customFormat="1" ht="12" customHeight="1">
      <c r="A83" s="189" t="s">
        <v>241</v>
      </c>
      <c r="B83" s="186" t="s">
        <v>242</v>
      </c>
      <c r="C83" s="117"/>
      <c r="D83" s="234"/>
      <c r="E83" s="234"/>
    </row>
    <row r="84" spans="1:5" s="184" customFormat="1" ht="12" customHeight="1" thickBot="1">
      <c r="A84" s="190" t="s">
        <v>243</v>
      </c>
      <c r="B84" s="109" t="s">
        <v>244</v>
      </c>
      <c r="C84" s="117"/>
      <c r="D84" s="256"/>
      <c r="E84" s="256"/>
    </row>
    <row r="85" spans="1:5" s="184" customFormat="1" ht="12" customHeight="1" thickBot="1">
      <c r="A85" s="219" t="s">
        <v>245</v>
      </c>
      <c r="B85" s="107" t="s">
        <v>376</v>
      </c>
      <c r="C85" s="218"/>
      <c r="D85" s="257"/>
      <c r="E85" s="257"/>
    </row>
    <row r="86" spans="1:5" s="184" customFormat="1" ht="13.5" customHeight="1" thickBot="1">
      <c r="A86" s="219" t="s">
        <v>247</v>
      </c>
      <c r="B86" s="107" t="s">
        <v>246</v>
      </c>
      <c r="C86" s="218"/>
      <c r="D86" s="255"/>
      <c r="E86" s="255"/>
    </row>
    <row r="87" spans="1:5" s="184" customFormat="1" ht="15.75" customHeight="1" thickBot="1">
      <c r="A87" s="219" t="s">
        <v>259</v>
      </c>
      <c r="B87" s="191" t="s">
        <v>379</v>
      </c>
      <c r="C87" s="118">
        <f>+C64+C68+C73+C76+C80+C86+C85</f>
        <v>0</v>
      </c>
      <c r="D87" s="118">
        <f>+D64+D68+D73+D76+D80+D86+D85</f>
        <v>0</v>
      </c>
      <c r="E87" s="118">
        <f>+E64+E68+E73+E76+E80+E86+E85</f>
        <v>0</v>
      </c>
    </row>
    <row r="88" spans="1:5" s="184" customFormat="1" ht="16.5" customHeight="1" thickBot="1">
      <c r="A88" s="220" t="s">
        <v>378</v>
      </c>
      <c r="B88" s="192" t="s">
        <v>380</v>
      </c>
      <c r="C88" s="118">
        <f>+C63+C87</f>
        <v>0</v>
      </c>
      <c r="D88" s="118">
        <f>+D63+D87</f>
        <v>0</v>
      </c>
      <c r="E88" s="118">
        <f>+E63+E87</f>
        <v>0</v>
      </c>
    </row>
    <row r="89" spans="1:3" s="184" customFormat="1" ht="18" customHeight="1">
      <c r="A89" s="3"/>
      <c r="B89" s="4"/>
      <c r="C89" s="119"/>
    </row>
    <row r="90" spans="1:3" ht="16.5" customHeight="1">
      <c r="A90" s="824" t="s">
        <v>37</v>
      </c>
      <c r="B90" s="824"/>
      <c r="C90" s="824"/>
    </row>
    <row r="91" spans="1:3" s="193" customFormat="1" ht="16.5" customHeight="1" thickBot="1">
      <c r="A91" s="826" t="s">
        <v>93</v>
      </c>
      <c r="B91" s="826"/>
      <c r="C91" s="64" t="s">
        <v>426</v>
      </c>
    </row>
    <row r="92" spans="1:5" ht="37.5" customHeight="1" thickBot="1">
      <c r="A92" s="21" t="s">
        <v>49</v>
      </c>
      <c r="B92" s="22" t="s">
        <v>38</v>
      </c>
      <c r="C92" s="31" t="str">
        <f>+C4</f>
        <v>2019. évi előirányzat</v>
      </c>
      <c r="D92" s="237" t="s">
        <v>773</v>
      </c>
      <c r="E92" s="289" t="s">
        <v>774</v>
      </c>
    </row>
    <row r="93" spans="1:5" s="183" customFormat="1" ht="12" customHeight="1" thickBot="1">
      <c r="A93" s="25" t="s">
        <v>394</v>
      </c>
      <c r="B93" s="26" t="s">
        <v>395</v>
      </c>
      <c r="C93" s="27" t="s">
        <v>396</v>
      </c>
      <c r="D93" s="247" t="s">
        <v>398</v>
      </c>
      <c r="E93" s="323"/>
    </row>
    <row r="94" spans="1:5" ht="12" customHeight="1" thickBot="1">
      <c r="A94" s="20" t="s">
        <v>9</v>
      </c>
      <c r="B94" s="24" t="s">
        <v>338</v>
      </c>
      <c r="C94" s="111">
        <f>C95+C96+C97+C98+C99+C112</f>
        <v>0</v>
      </c>
      <c r="D94" s="324">
        <f>D95+D96+D97+D98+D99+D112</f>
        <v>0</v>
      </c>
      <c r="E94" s="112">
        <f>E95+E96+E97+E98+E99+E112</f>
        <v>0</v>
      </c>
    </row>
    <row r="95" spans="1:5" ht="12" customHeight="1">
      <c r="A95" s="15" t="s">
        <v>61</v>
      </c>
      <c r="B95" s="8" t="s">
        <v>39</v>
      </c>
      <c r="C95" s="113"/>
      <c r="D95" s="246"/>
      <c r="E95" s="246"/>
    </row>
    <row r="96" spans="1:5" ht="12" customHeight="1">
      <c r="A96" s="12" t="s">
        <v>62</v>
      </c>
      <c r="B96" s="6" t="s">
        <v>122</v>
      </c>
      <c r="C96" s="114"/>
      <c r="D96" s="244"/>
      <c r="E96" s="244"/>
    </row>
    <row r="97" spans="1:5" ht="12" customHeight="1">
      <c r="A97" s="12" t="s">
        <v>63</v>
      </c>
      <c r="B97" s="6" t="s">
        <v>87</v>
      </c>
      <c r="C97" s="116"/>
      <c r="D97" s="244"/>
      <c r="E97" s="244"/>
    </row>
    <row r="98" spans="1:5" ht="12" customHeight="1">
      <c r="A98" s="12" t="s">
        <v>64</v>
      </c>
      <c r="B98" s="9" t="s">
        <v>123</v>
      </c>
      <c r="C98" s="116"/>
      <c r="D98" s="244"/>
      <c r="E98" s="244"/>
    </row>
    <row r="99" spans="1:5" ht="12" customHeight="1">
      <c r="A99" s="12" t="s">
        <v>72</v>
      </c>
      <c r="B99" s="17" t="s">
        <v>124</v>
      </c>
      <c r="C99" s="116"/>
      <c r="D99" s="244"/>
      <c r="E99" s="244"/>
    </row>
    <row r="100" spans="1:5" ht="12" customHeight="1">
      <c r="A100" s="12" t="s">
        <v>65</v>
      </c>
      <c r="B100" s="6" t="s">
        <v>343</v>
      </c>
      <c r="C100" s="116"/>
      <c r="D100" s="244"/>
      <c r="E100" s="244"/>
    </row>
    <row r="101" spans="1:5" ht="12" customHeight="1">
      <c r="A101" s="12" t="s">
        <v>66</v>
      </c>
      <c r="B101" s="69" t="s">
        <v>342</v>
      </c>
      <c r="C101" s="116"/>
      <c r="D101" s="244"/>
      <c r="E101" s="244"/>
    </row>
    <row r="102" spans="1:5" ht="12" customHeight="1">
      <c r="A102" s="12" t="s">
        <v>73</v>
      </c>
      <c r="B102" s="69" t="s">
        <v>341</v>
      </c>
      <c r="C102" s="116"/>
      <c r="D102" s="244"/>
      <c r="E102" s="244"/>
    </row>
    <row r="103" spans="1:5" ht="12" customHeight="1">
      <c r="A103" s="12" t="s">
        <v>74</v>
      </c>
      <c r="B103" s="67" t="s">
        <v>262</v>
      </c>
      <c r="C103" s="116"/>
      <c r="D103" s="244"/>
      <c r="E103" s="244"/>
    </row>
    <row r="104" spans="1:5" ht="12" customHeight="1">
      <c r="A104" s="12" t="s">
        <v>75</v>
      </c>
      <c r="B104" s="68" t="s">
        <v>263</v>
      </c>
      <c r="C104" s="116"/>
      <c r="D104" s="244"/>
      <c r="E104" s="244"/>
    </row>
    <row r="105" spans="1:5" ht="12" customHeight="1">
      <c r="A105" s="12" t="s">
        <v>76</v>
      </c>
      <c r="B105" s="68" t="s">
        <v>264</v>
      </c>
      <c r="C105" s="116"/>
      <c r="D105" s="244"/>
      <c r="E105" s="244"/>
    </row>
    <row r="106" spans="1:5" ht="12" customHeight="1">
      <c r="A106" s="12" t="s">
        <v>78</v>
      </c>
      <c r="B106" s="67" t="s">
        <v>265</v>
      </c>
      <c r="C106" s="116"/>
      <c r="D106" s="244"/>
      <c r="E106" s="244"/>
    </row>
    <row r="107" spans="1:5" ht="12" customHeight="1">
      <c r="A107" s="12" t="s">
        <v>125</v>
      </c>
      <c r="B107" s="67" t="s">
        <v>266</v>
      </c>
      <c r="C107" s="116"/>
      <c r="D107" s="244"/>
      <c r="E107" s="244"/>
    </row>
    <row r="108" spans="1:5" ht="12" customHeight="1">
      <c r="A108" s="12" t="s">
        <v>260</v>
      </c>
      <c r="B108" s="68" t="s">
        <v>267</v>
      </c>
      <c r="C108" s="116"/>
      <c r="D108" s="244"/>
      <c r="E108" s="244"/>
    </row>
    <row r="109" spans="1:5" ht="12" customHeight="1">
      <c r="A109" s="11" t="s">
        <v>261</v>
      </c>
      <c r="B109" s="69" t="s">
        <v>268</v>
      </c>
      <c r="C109" s="116"/>
      <c r="D109" s="244"/>
      <c r="E109" s="244"/>
    </row>
    <row r="110" spans="1:5" ht="12" customHeight="1">
      <c r="A110" s="12" t="s">
        <v>339</v>
      </c>
      <c r="B110" s="69" t="s">
        <v>269</v>
      </c>
      <c r="C110" s="116"/>
      <c r="D110" s="244"/>
      <c r="E110" s="244"/>
    </row>
    <row r="111" spans="1:5" ht="12" customHeight="1">
      <c r="A111" s="14" t="s">
        <v>340</v>
      </c>
      <c r="B111" s="69" t="s">
        <v>270</v>
      </c>
      <c r="C111" s="116"/>
      <c r="D111" s="244"/>
      <c r="E111" s="244"/>
    </row>
    <row r="112" spans="1:5" ht="12" customHeight="1">
      <c r="A112" s="12" t="s">
        <v>344</v>
      </c>
      <c r="B112" s="9" t="s">
        <v>40</v>
      </c>
      <c r="C112" s="114"/>
      <c r="D112" s="244"/>
      <c r="E112" s="244"/>
    </row>
    <row r="113" spans="1:5" ht="12" customHeight="1">
      <c r="A113" s="12" t="s">
        <v>345</v>
      </c>
      <c r="B113" s="6" t="s">
        <v>347</v>
      </c>
      <c r="C113" s="114"/>
      <c r="D113" s="244"/>
      <c r="E113" s="244"/>
    </row>
    <row r="114" spans="1:5" ht="12" customHeight="1" thickBot="1">
      <c r="A114" s="16" t="s">
        <v>346</v>
      </c>
      <c r="B114" s="225" t="s">
        <v>348</v>
      </c>
      <c r="C114" s="120"/>
      <c r="D114" s="248"/>
      <c r="E114" s="248"/>
    </row>
    <row r="115" spans="1:5" ht="12" customHeight="1" thickBot="1">
      <c r="A115" s="222" t="s">
        <v>10</v>
      </c>
      <c r="B115" s="223" t="s">
        <v>271</v>
      </c>
      <c r="C115" s="224">
        <f>+C116+C118+C120</f>
        <v>0</v>
      </c>
      <c r="D115" s="324">
        <f>+D116+D118+D120</f>
        <v>0</v>
      </c>
      <c r="E115" s="112">
        <f>+E116+E118+E120</f>
        <v>0</v>
      </c>
    </row>
    <row r="116" spans="1:5" ht="12" customHeight="1">
      <c r="A116" s="13" t="s">
        <v>67</v>
      </c>
      <c r="B116" s="6" t="s">
        <v>141</v>
      </c>
      <c r="C116" s="115"/>
      <c r="D116" s="244"/>
      <c r="E116" s="244"/>
    </row>
    <row r="117" spans="1:5" ht="12" customHeight="1">
      <c r="A117" s="13" t="s">
        <v>68</v>
      </c>
      <c r="B117" s="10" t="s">
        <v>275</v>
      </c>
      <c r="C117" s="115"/>
      <c r="D117" s="244"/>
      <c r="E117" s="244"/>
    </row>
    <row r="118" spans="1:5" ht="12" customHeight="1">
      <c r="A118" s="13" t="s">
        <v>69</v>
      </c>
      <c r="B118" s="10" t="s">
        <v>126</v>
      </c>
      <c r="C118" s="114"/>
      <c r="D118" s="244"/>
      <c r="E118" s="244"/>
    </row>
    <row r="119" spans="1:5" ht="12" customHeight="1">
      <c r="A119" s="13" t="s">
        <v>70</v>
      </c>
      <c r="B119" s="10" t="s">
        <v>276</v>
      </c>
      <c r="C119" s="105"/>
      <c r="D119" s="244"/>
      <c r="E119" s="244"/>
    </row>
    <row r="120" spans="1:5" ht="12" customHeight="1">
      <c r="A120" s="13" t="s">
        <v>71</v>
      </c>
      <c r="B120" s="109" t="s">
        <v>143</v>
      </c>
      <c r="C120" s="105"/>
      <c r="D120" s="244"/>
      <c r="E120" s="244"/>
    </row>
    <row r="121" spans="1:5" ht="12" customHeight="1">
      <c r="A121" s="13" t="s">
        <v>77</v>
      </c>
      <c r="B121" s="108" t="s">
        <v>331</v>
      </c>
      <c r="C121" s="105"/>
      <c r="D121" s="244"/>
      <c r="E121" s="244"/>
    </row>
    <row r="122" spans="1:5" ht="12" customHeight="1">
      <c r="A122" s="13" t="s">
        <v>79</v>
      </c>
      <c r="B122" s="181" t="s">
        <v>281</v>
      </c>
      <c r="C122" s="105"/>
      <c r="D122" s="244"/>
      <c r="E122" s="244"/>
    </row>
    <row r="123" spans="1:5" ht="15">
      <c r="A123" s="13" t="s">
        <v>127</v>
      </c>
      <c r="B123" s="68" t="s">
        <v>264</v>
      </c>
      <c r="C123" s="105"/>
      <c r="D123" s="244"/>
      <c r="E123" s="244"/>
    </row>
    <row r="124" spans="1:5" ht="12" customHeight="1">
      <c r="A124" s="13" t="s">
        <v>128</v>
      </c>
      <c r="B124" s="68" t="s">
        <v>280</v>
      </c>
      <c r="C124" s="105"/>
      <c r="D124" s="244"/>
      <c r="E124" s="244"/>
    </row>
    <row r="125" spans="1:5" ht="12" customHeight="1">
      <c r="A125" s="13" t="s">
        <v>129</v>
      </c>
      <c r="B125" s="68" t="s">
        <v>279</v>
      </c>
      <c r="C125" s="105"/>
      <c r="D125" s="244"/>
      <c r="E125" s="244"/>
    </row>
    <row r="126" spans="1:5" ht="12" customHeight="1">
      <c r="A126" s="13" t="s">
        <v>272</v>
      </c>
      <c r="B126" s="68" t="s">
        <v>267</v>
      </c>
      <c r="C126" s="105"/>
      <c r="D126" s="244"/>
      <c r="E126" s="244"/>
    </row>
    <row r="127" spans="1:5" ht="12" customHeight="1">
      <c r="A127" s="13" t="s">
        <v>273</v>
      </c>
      <c r="B127" s="68" t="s">
        <v>278</v>
      </c>
      <c r="C127" s="105"/>
      <c r="D127" s="244"/>
      <c r="E127" s="244"/>
    </row>
    <row r="128" spans="1:5" ht="15.75" thickBot="1">
      <c r="A128" s="11" t="s">
        <v>274</v>
      </c>
      <c r="B128" s="68" t="s">
        <v>277</v>
      </c>
      <c r="C128" s="106"/>
      <c r="D128" s="244"/>
      <c r="E128" s="244"/>
    </row>
    <row r="129" spans="1:5" ht="12" customHeight="1" thickBot="1">
      <c r="A129" s="18" t="s">
        <v>11</v>
      </c>
      <c r="B129" s="56" t="s">
        <v>349</v>
      </c>
      <c r="C129" s="112">
        <f>+C94+C115</f>
        <v>0</v>
      </c>
      <c r="D129" s="112">
        <f>+D94+D115</f>
        <v>0</v>
      </c>
      <c r="E129" s="112">
        <f>+E94+E115</f>
        <v>0</v>
      </c>
    </row>
    <row r="130" spans="1:5" ht="12" customHeight="1" thickBot="1">
      <c r="A130" s="18" t="s">
        <v>12</v>
      </c>
      <c r="B130" s="56" t="s">
        <v>350</v>
      </c>
      <c r="C130" s="112">
        <f>+C131+C132+C133</f>
        <v>0</v>
      </c>
      <c r="D130" s="112">
        <f>+D131+D132+D133</f>
        <v>0</v>
      </c>
      <c r="E130" s="112">
        <f>+E131+E132+E133</f>
        <v>0</v>
      </c>
    </row>
    <row r="131" spans="1:5" ht="12" customHeight="1">
      <c r="A131" s="13" t="s">
        <v>177</v>
      </c>
      <c r="B131" s="10" t="s">
        <v>357</v>
      </c>
      <c r="C131" s="105"/>
      <c r="D131" s="244"/>
      <c r="E131" s="244"/>
    </row>
    <row r="132" spans="1:5" ht="12" customHeight="1">
      <c r="A132" s="13" t="s">
        <v>178</v>
      </c>
      <c r="B132" s="10" t="s">
        <v>358</v>
      </c>
      <c r="C132" s="105"/>
      <c r="D132" s="244"/>
      <c r="E132" s="244"/>
    </row>
    <row r="133" spans="1:5" ht="12" customHeight="1" thickBot="1">
      <c r="A133" s="11" t="s">
        <v>179</v>
      </c>
      <c r="B133" s="10" t="s">
        <v>359</v>
      </c>
      <c r="C133" s="105"/>
      <c r="D133" s="244"/>
      <c r="E133" s="244"/>
    </row>
    <row r="134" spans="1:5" ht="12" customHeight="1" thickBot="1">
      <c r="A134" s="18" t="s">
        <v>13</v>
      </c>
      <c r="B134" s="56" t="s">
        <v>351</v>
      </c>
      <c r="C134" s="112">
        <f>SUM(C135:C140)</f>
        <v>0</v>
      </c>
      <c r="D134" s="112">
        <f>SUM(D135:D140)</f>
        <v>0</v>
      </c>
      <c r="E134" s="112">
        <f>SUM(E135:E140)</f>
        <v>0</v>
      </c>
    </row>
    <row r="135" spans="1:5" ht="12" customHeight="1">
      <c r="A135" s="13" t="s">
        <v>54</v>
      </c>
      <c r="B135" s="7" t="s">
        <v>360</v>
      </c>
      <c r="C135" s="105"/>
      <c r="D135" s="244"/>
      <c r="E135" s="244"/>
    </row>
    <row r="136" spans="1:5" ht="12" customHeight="1">
      <c r="A136" s="13" t="s">
        <v>55</v>
      </c>
      <c r="B136" s="7" t="s">
        <v>352</v>
      </c>
      <c r="C136" s="105"/>
      <c r="D136" s="244"/>
      <c r="E136" s="244"/>
    </row>
    <row r="137" spans="1:5" ht="12" customHeight="1">
      <c r="A137" s="13" t="s">
        <v>56</v>
      </c>
      <c r="B137" s="7" t="s">
        <v>353</v>
      </c>
      <c r="C137" s="105"/>
      <c r="D137" s="244"/>
      <c r="E137" s="244"/>
    </row>
    <row r="138" spans="1:5" ht="12" customHeight="1">
      <c r="A138" s="13" t="s">
        <v>114</v>
      </c>
      <c r="B138" s="7" t="s">
        <v>354</v>
      </c>
      <c r="C138" s="105"/>
      <c r="D138" s="244"/>
      <c r="E138" s="244"/>
    </row>
    <row r="139" spans="1:5" ht="12" customHeight="1">
      <c r="A139" s="13" t="s">
        <v>115</v>
      </c>
      <c r="B139" s="7" t="s">
        <v>355</v>
      </c>
      <c r="C139" s="105"/>
      <c r="D139" s="244"/>
      <c r="E139" s="244"/>
    </row>
    <row r="140" spans="1:5" ht="12" customHeight="1" thickBot="1">
      <c r="A140" s="11" t="s">
        <v>116</v>
      </c>
      <c r="B140" s="7" t="s">
        <v>356</v>
      </c>
      <c r="C140" s="105"/>
      <c r="D140" s="244"/>
      <c r="E140" s="244"/>
    </row>
    <row r="141" spans="1:5" ht="12" customHeight="1" thickBot="1">
      <c r="A141" s="18" t="s">
        <v>14</v>
      </c>
      <c r="B141" s="56" t="s">
        <v>364</v>
      </c>
      <c r="C141" s="118">
        <f>+C142+C143+C144+C145</f>
        <v>0</v>
      </c>
      <c r="D141" s="118">
        <f>+D142+D143+D144+D145</f>
        <v>0</v>
      </c>
      <c r="E141" s="118">
        <f>+E142+E143+E144+E145</f>
        <v>0</v>
      </c>
    </row>
    <row r="142" spans="1:5" ht="12" customHeight="1">
      <c r="A142" s="13" t="s">
        <v>57</v>
      </c>
      <c r="B142" s="7" t="s">
        <v>282</v>
      </c>
      <c r="C142" s="105"/>
      <c r="D142" s="244"/>
      <c r="E142" s="244"/>
    </row>
    <row r="143" spans="1:5" ht="12" customHeight="1">
      <c r="A143" s="13" t="s">
        <v>58</v>
      </c>
      <c r="B143" s="7" t="s">
        <v>283</v>
      </c>
      <c r="C143" s="105"/>
      <c r="D143" s="244"/>
      <c r="E143" s="244"/>
    </row>
    <row r="144" spans="1:5" ht="12" customHeight="1">
      <c r="A144" s="13" t="s">
        <v>197</v>
      </c>
      <c r="B144" s="7" t="s">
        <v>365</v>
      </c>
      <c r="C144" s="105"/>
      <c r="D144" s="244"/>
      <c r="E144" s="244"/>
    </row>
    <row r="145" spans="1:5" ht="12" customHeight="1" thickBot="1">
      <c r="A145" s="11" t="s">
        <v>198</v>
      </c>
      <c r="B145" s="5" t="s">
        <v>300</v>
      </c>
      <c r="C145" s="105"/>
      <c r="D145" s="244"/>
      <c r="E145" s="244"/>
    </row>
    <row r="146" spans="1:5" ht="12" customHeight="1" thickBot="1">
      <c r="A146" s="18" t="s">
        <v>15</v>
      </c>
      <c r="B146" s="56" t="s">
        <v>366</v>
      </c>
      <c r="C146" s="121">
        <f>SUM(C147:C151)</f>
        <v>0</v>
      </c>
      <c r="D146" s="121">
        <f>SUM(D147:D151)</f>
        <v>0</v>
      </c>
      <c r="E146" s="121">
        <f>SUM(E147:E151)</f>
        <v>0</v>
      </c>
    </row>
    <row r="147" spans="1:5" ht="12" customHeight="1">
      <c r="A147" s="13" t="s">
        <v>59</v>
      </c>
      <c r="B147" s="7" t="s">
        <v>361</v>
      </c>
      <c r="C147" s="105"/>
      <c r="D147" s="244"/>
      <c r="E147" s="244"/>
    </row>
    <row r="148" spans="1:5" ht="12" customHeight="1">
      <c r="A148" s="13" t="s">
        <v>60</v>
      </c>
      <c r="B148" s="7" t="s">
        <v>368</v>
      </c>
      <c r="C148" s="105"/>
      <c r="D148" s="244"/>
      <c r="E148" s="244"/>
    </row>
    <row r="149" spans="1:5" ht="12" customHeight="1">
      <c r="A149" s="13" t="s">
        <v>209</v>
      </c>
      <c r="B149" s="7" t="s">
        <v>363</v>
      </c>
      <c r="C149" s="105"/>
      <c r="D149" s="244"/>
      <c r="E149" s="244"/>
    </row>
    <row r="150" spans="1:5" ht="12" customHeight="1">
      <c r="A150" s="13" t="s">
        <v>210</v>
      </c>
      <c r="B150" s="7" t="s">
        <v>369</v>
      </c>
      <c r="C150" s="105"/>
      <c r="D150" s="244"/>
      <c r="E150" s="244"/>
    </row>
    <row r="151" spans="1:5" ht="12" customHeight="1" thickBot="1">
      <c r="A151" s="13" t="s">
        <v>367</v>
      </c>
      <c r="B151" s="7" t="s">
        <v>370</v>
      </c>
      <c r="C151" s="105"/>
      <c r="D151" s="248"/>
      <c r="E151" s="248"/>
    </row>
    <row r="152" spans="1:5" ht="12" customHeight="1" thickBot="1">
      <c r="A152" s="18" t="s">
        <v>16</v>
      </c>
      <c r="B152" s="56" t="s">
        <v>371</v>
      </c>
      <c r="C152" s="226"/>
      <c r="D152" s="249"/>
      <c r="E152" s="249"/>
    </row>
    <row r="153" spans="1:5" ht="12" customHeight="1" thickBot="1">
      <c r="A153" s="18" t="s">
        <v>17</v>
      </c>
      <c r="B153" s="56" t="s">
        <v>372</v>
      </c>
      <c r="C153" s="226"/>
      <c r="D153" s="246"/>
      <c r="E153" s="246"/>
    </row>
    <row r="154" spans="1:9" ht="15" customHeight="1" thickBot="1">
      <c r="A154" s="18" t="s">
        <v>18</v>
      </c>
      <c r="B154" s="56" t="s">
        <v>374</v>
      </c>
      <c r="C154" s="194">
        <f>+C130+C134+C141+C146+C152+C153</f>
        <v>0</v>
      </c>
      <c r="D154" s="194">
        <f>+D130+D134+D141+D146+D152+D153</f>
        <v>0</v>
      </c>
      <c r="E154" s="194">
        <f>+E130+E134+E141+E146+E152+E153</f>
        <v>0</v>
      </c>
      <c r="F154" s="195"/>
      <c r="G154" s="196"/>
      <c r="H154" s="196"/>
      <c r="I154" s="196"/>
    </row>
    <row r="155" spans="1:5" s="184" customFormat="1" ht="12.75" customHeight="1" thickBot="1">
      <c r="A155" s="110" t="s">
        <v>19</v>
      </c>
      <c r="B155" s="166" t="s">
        <v>373</v>
      </c>
      <c r="C155" s="194">
        <f>+C129+C154</f>
        <v>0</v>
      </c>
      <c r="D155" s="194">
        <f>+D129+D154</f>
        <v>0</v>
      </c>
      <c r="E155" s="194">
        <f>+E129+E154</f>
        <v>0</v>
      </c>
    </row>
    <row r="156" ht="7.5" customHeight="1"/>
    <row r="157" spans="1:3" ht="15">
      <c r="A157" s="827" t="s">
        <v>284</v>
      </c>
      <c r="B157" s="827"/>
      <c r="C157" s="827"/>
    </row>
    <row r="158" spans="1:5" ht="15" customHeight="1" thickBot="1">
      <c r="A158" s="825" t="s">
        <v>94</v>
      </c>
      <c r="B158" s="825"/>
      <c r="C158" s="837" t="s">
        <v>426</v>
      </c>
      <c r="D158" s="837"/>
      <c r="E158" s="837"/>
    </row>
    <row r="159" spans="1:5" ht="13.5" customHeight="1" thickBot="1">
      <c r="A159" s="18">
        <v>1</v>
      </c>
      <c r="B159" s="23" t="s">
        <v>375</v>
      </c>
      <c r="C159" s="112">
        <f>+C63-C129</f>
        <v>0</v>
      </c>
      <c r="D159" s="249"/>
      <c r="E159" s="249"/>
    </row>
    <row r="160" spans="1:5" ht="27.75" customHeight="1" thickBot="1">
      <c r="A160" s="18" t="s">
        <v>10</v>
      </c>
      <c r="B160" s="23" t="s">
        <v>381</v>
      </c>
      <c r="C160" s="112">
        <f>+C87-C154</f>
        <v>0</v>
      </c>
      <c r="D160" s="249"/>
      <c r="E160" s="249"/>
    </row>
  </sheetData>
  <sheetProtection/>
  <mergeCells count="9">
    <mergeCell ref="A158:B158"/>
    <mergeCell ref="A1:C1"/>
    <mergeCell ref="A2:C2"/>
    <mergeCell ref="A3:B3"/>
    <mergeCell ref="A90:C90"/>
    <mergeCell ref="A91:B91"/>
    <mergeCell ref="A157:C157"/>
    <mergeCell ref="C3:E3"/>
    <mergeCell ref="C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Csengerújfalu Község Önkormányzat
2019. ÉVI ZÁRSZÁMADÁSÁNAK
ÁLLAMI (ÁLLAMIGAZGATÁSI) FELADATOK MÉRLEGE
&amp;R&amp;"Times New Roman CE,Félkövér dőlt"&amp;11 6. melléklet a ........./2020. (.......) önkormányzati rendelethez</oddHeader>
  </headerFooter>
  <rowBreaks count="2" manualBreakCount="2">
    <brk id="88" max="255" man="1"/>
    <brk id="89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D28"/>
  <sheetViews>
    <sheetView view="pageLayout" zoomScaleNormal="80" workbookViewId="0" topLeftCell="A1">
      <selection activeCell="C9" sqref="C9"/>
    </sheetView>
  </sheetViews>
  <sheetFormatPr defaultColWidth="9.00390625" defaultRowHeight="12.75"/>
  <cols>
    <col min="1" max="1" width="60.00390625" style="0" customWidth="1"/>
    <col min="2" max="2" width="18.00390625" style="0" customWidth="1"/>
    <col min="3" max="3" width="16.25390625" style="0" customWidth="1"/>
    <col min="4" max="4" width="16.75390625" style="0" customWidth="1"/>
  </cols>
  <sheetData>
    <row r="3" spans="1:4" ht="15">
      <c r="A3" s="838" t="s">
        <v>463</v>
      </c>
      <c r="B3" s="838"/>
      <c r="C3" s="838"/>
      <c r="D3" s="838"/>
    </row>
    <row r="4" spans="1:4" ht="15">
      <c r="A4" s="838" t="s">
        <v>813</v>
      </c>
      <c r="B4" s="838"/>
      <c r="C4" s="838"/>
      <c r="D4" s="838"/>
    </row>
    <row r="5" ht="15">
      <c r="A5" s="394"/>
    </row>
    <row r="6" ht="12" customHeight="1" thickBot="1">
      <c r="A6" s="394"/>
    </row>
    <row r="7" spans="1:4" ht="34.5" customHeight="1" thickBot="1">
      <c r="A7" s="75" t="s">
        <v>459</v>
      </c>
      <c r="B7" s="76" t="s">
        <v>792</v>
      </c>
      <c r="C7" s="76" t="s">
        <v>773</v>
      </c>
      <c r="D7" s="76" t="s">
        <v>774</v>
      </c>
    </row>
    <row r="8" spans="1:4" ht="13.5" thickBot="1">
      <c r="A8" s="399" t="s">
        <v>394</v>
      </c>
      <c r="B8" s="400" t="s">
        <v>397</v>
      </c>
      <c r="C8" s="400" t="s">
        <v>399</v>
      </c>
      <c r="D8" s="400" t="s">
        <v>400</v>
      </c>
    </row>
    <row r="9" spans="1:4" ht="15">
      <c r="A9" s="748" t="s">
        <v>775</v>
      </c>
      <c r="B9" s="749">
        <v>7353300</v>
      </c>
      <c r="C9" s="750">
        <v>7486650</v>
      </c>
      <c r="D9" s="750">
        <v>7486650</v>
      </c>
    </row>
    <row r="10" spans="1:4" ht="15">
      <c r="A10" s="748"/>
      <c r="B10" s="749"/>
      <c r="C10" s="401"/>
      <c r="D10" s="401"/>
    </row>
    <row r="11" spans="1:4" ht="15">
      <c r="A11" s="748" t="s">
        <v>776</v>
      </c>
      <c r="B11" s="749">
        <v>1922551</v>
      </c>
      <c r="C11" s="750">
        <v>1489201</v>
      </c>
      <c r="D11" s="750">
        <f>SUM(D12:D15)</f>
        <v>1409045</v>
      </c>
    </row>
    <row r="12" spans="1:4" ht="12.75">
      <c r="A12" s="751" t="s">
        <v>785</v>
      </c>
      <c r="B12" s="752"/>
      <c r="C12" s="752">
        <v>254000</v>
      </c>
      <c r="D12" s="752">
        <v>254000</v>
      </c>
    </row>
    <row r="13" spans="1:4" ht="12.75">
      <c r="A13" s="753" t="s">
        <v>784</v>
      </c>
      <c r="B13" s="752"/>
      <c r="C13" s="752">
        <v>762000</v>
      </c>
      <c r="D13" s="752">
        <v>762000</v>
      </c>
    </row>
    <row r="14" spans="1:4" ht="12.75">
      <c r="A14" s="751" t="s">
        <v>783</v>
      </c>
      <c r="B14" s="752"/>
      <c r="C14" s="752">
        <v>330200</v>
      </c>
      <c r="D14" s="752">
        <v>330200</v>
      </c>
    </row>
    <row r="15" spans="1:4" ht="12.75">
      <c r="A15" s="753" t="s">
        <v>786</v>
      </c>
      <c r="B15" s="752"/>
      <c r="C15" s="752">
        <v>62845</v>
      </c>
      <c r="D15" s="752">
        <v>62845</v>
      </c>
    </row>
    <row r="16" spans="1:4" ht="15">
      <c r="A16" s="754"/>
      <c r="B16" s="750"/>
      <c r="C16" s="750"/>
      <c r="D16" s="750"/>
    </row>
    <row r="17" spans="1:4" ht="15">
      <c r="A17" s="754" t="s">
        <v>787</v>
      </c>
      <c r="B17" s="750"/>
      <c r="C17" s="750">
        <v>300000</v>
      </c>
      <c r="D17" s="750">
        <v>300000</v>
      </c>
    </row>
    <row r="18" spans="1:4" ht="15">
      <c r="A18" s="754"/>
      <c r="B18" s="750"/>
      <c r="C18" s="750"/>
      <c r="D18" s="750"/>
    </row>
    <row r="19" spans="1:4" ht="15">
      <c r="A19" s="754" t="s">
        <v>788</v>
      </c>
      <c r="B19" s="750"/>
      <c r="C19" s="757">
        <v>7169227</v>
      </c>
      <c r="D19" s="758"/>
    </row>
    <row r="20" spans="1:4" ht="15">
      <c r="A20" s="754"/>
      <c r="B20" s="750"/>
      <c r="C20" s="750"/>
      <c r="D20" s="750"/>
    </row>
    <row r="21" spans="1:4" ht="15">
      <c r="A21" s="756"/>
      <c r="B21" s="750"/>
      <c r="C21" s="750"/>
      <c r="D21" s="750"/>
    </row>
    <row r="22" spans="1:4" ht="15">
      <c r="A22" s="756"/>
      <c r="B22" s="750"/>
      <c r="C22" s="750"/>
      <c r="D22" s="750"/>
    </row>
    <row r="23" spans="1:4" ht="15">
      <c r="A23" s="756"/>
      <c r="B23" s="750"/>
      <c r="C23" s="750"/>
      <c r="D23" s="750"/>
    </row>
    <row r="24" spans="1:4" ht="15">
      <c r="A24" s="756"/>
      <c r="B24" s="750"/>
      <c r="C24" s="750"/>
      <c r="D24" s="750"/>
    </row>
    <row r="25" spans="1:4" ht="15">
      <c r="A25" s="756"/>
      <c r="B25" s="750"/>
      <c r="C25" s="750"/>
      <c r="D25" s="750"/>
    </row>
    <row r="26" spans="1:4" ht="15">
      <c r="A26" s="756"/>
      <c r="B26" s="750"/>
      <c r="C26" s="750"/>
      <c r="D26" s="750"/>
    </row>
    <row r="27" spans="1:4" ht="13.5" thickBot="1">
      <c r="A27" s="37"/>
      <c r="B27" s="402"/>
      <c r="C27" s="402"/>
      <c r="D27" s="402"/>
    </row>
    <row r="28" spans="1:4" ht="13.5" thickBot="1">
      <c r="A28" s="403" t="s">
        <v>462</v>
      </c>
      <c r="B28" s="404">
        <f>SUM(B9:B27)</f>
        <v>9275851</v>
      </c>
      <c r="C28" s="404">
        <f>C9+C11+C17+C19</f>
        <v>16445078</v>
      </c>
      <c r="D28" s="404">
        <f>D9+D11+D17</f>
        <v>9195695</v>
      </c>
    </row>
  </sheetData>
  <sheetProtection/>
  <mergeCells count="2">
    <mergeCell ref="A4:D4"/>
    <mergeCell ref="A3:D3"/>
  </mergeCells>
  <printOptions/>
  <pageMargins left="0.7" right="0.7" top="0.75" bottom="0.75" header="0.3" footer="0.3"/>
  <pageSetup horizontalDpi="600" verticalDpi="600" orientation="portrait" paperSize="9" scale="63" r:id="rId1"/>
  <headerFooter>
    <oddHeader>&amp;R7. sz. melléklet a .../2020. (...).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Layout" workbookViewId="0" topLeftCell="A5">
      <selection activeCell="E27" sqref="E27"/>
    </sheetView>
  </sheetViews>
  <sheetFormatPr defaultColWidth="9.00390625" defaultRowHeight="12.75"/>
  <cols>
    <col min="1" max="1" width="81.00390625" style="0" customWidth="1"/>
    <col min="2" max="2" width="14.75390625" style="0" customWidth="1"/>
    <col min="3" max="3" width="11.375" style="0" customWidth="1"/>
    <col min="4" max="4" width="13.375" style="0" customWidth="1"/>
    <col min="5" max="5" width="13.75390625" style="0" customWidth="1"/>
    <col min="6" max="6" width="14.25390625" style="0" customWidth="1"/>
  </cols>
  <sheetData>
    <row r="1" spans="1:6" ht="15">
      <c r="A1" s="839" t="s">
        <v>464</v>
      </c>
      <c r="B1" s="839"/>
      <c r="C1" s="839"/>
      <c r="D1" s="839"/>
      <c r="E1" s="839"/>
      <c r="F1" s="839"/>
    </row>
    <row r="2" spans="1:5" ht="15">
      <c r="A2" s="839"/>
      <c r="B2" s="839"/>
      <c r="C2" s="839"/>
      <c r="D2" s="839"/>
      <c r="E2" s="405"/>
    </row>
    <row r="3" spans="1:5" ht="13.5" thickBot="1">
      <c r="A3" s="74"/>
      <c r="B3" s="36"/>
      <c r="C3" s="36"/>
      <c r="D3" s="36"/>
      <c r="E3" s="405"/>
    </row>
    <row r="4" spans="1:6" ht="42.75" customHeight="1" thickBot="1">
      <c r="A4" s="75" t="s">
        <v>465</v>
      </c>
      <c r="B4" s="76" t="s">
        <v>460</v>
      </c>
      <c r="C4" s="76" t="s">
        <v>461</v>
      </c>
      <c r="D4" s="76" t="s">
        <v>772</v>
      </c>
      <c r="E4" s="76" t="s">
        <v>773</v>
      </c>
      <c r="F4" s="76" t="s">
        <v>774</v>
      </c>
    </row>
    <row r="5" spans="1:6" ht="13.5" thickBot="1">
      <c r="A5" s="399" t="s">
        <v>394</v>
      </c>
      <c r="B5" s="400" t="s">
        <v>395</v>
      </c>
      <c r="C5" s="400" t="s">
        <v>396</v>
      </c>
      <c r="D5" s="400" t="s">
        <v>397</v>
      </c>
      <c r="E5" s="400" t="s">
        <v>399</v>
      </c>
      <c r="F5" s="400" t="s">
        <v>400</v>
      </c>
    </row>
    <row r="6" spans="1:6" ht="15">
      <c r="A6" s="759" t="s">
        <v>775</v>
      </c>
      <c r="B6" s="760">
        <v>41777980</v>
      </c>
      <c r="C6" s="755"/>
      <c r="D6" s="760">
        <v>41777980</v>
      </c>
      <c r="E6" s="750">
        <v>41777980</v>
      </c>
      <c r="F6" s="750">
        <v>41777727</v>
      </c>
    </row>
    <row r="7" spans="1:6" ht="15">
      <c r="A7" s="761" t="s">
        <v>777</v>
      </c>
      <c r="B7" s="760">
        <v>53280000</v>
      </c>
      <c r="C7" s="755"/>
      <c r="D7" s="760">
        <v>53280000</v>
      </c>
      <c r="E7" s="750">
        <v>53280000</v>
      </c>
      <c r="F7" s="750">
        <v>53269516</v>
      </c>
    </row>
    <row r="8" spans="1:6" ht="15">
      <c r="A8" s="759" t="s">
        <v>789</v>
      </c>
      <c r="B8" s="750"/>
      <c r="C8" s="755"/>
      <c r="D8" s="750"/>
      <c r="E8" s="750">
        <v>17647059</v>
      </c>
      <c r="F8" s="750">
        <v>17647059</v>
      </c>
    </row>
    <row r="9" spans="1:6" ht="15">
      <c r="A9" s="754" t="s">
        <v>788</v>
      </c>
      <c r="B9" s="750"/>
      <c r="C9" s="755"/>
      <c r="D9" s="750"/>
      <c r="E9" s="750">
        <v>22726596</v>
      </c>
      <c r="F9" s="750"/>
    </row>
    <row r="10" spans="1:6" ht="15">
      <c r="A10" s="762"/>
      <c r="B10" s="750"/>
      <c r="C10" s="755"/>
      <c r="D10" s="750"/>
      <c r="E10" s="750"/>
      <c r="F10" s="750"/>
    </row>
    <row r="11" spans="1:6" ht="15">
      <c r="A11" s="762"/>
      <c r="B11" s="750"/>
      <c r="C11" s="755"/>
      <c r="D11" s="750"/>
      <c r="E11" s="750"/>
      <c r="F11" s="750"/>
    </row>
    <row r="12" spans="1:6" ht="15">
      <c r="A12" s="762"/>
      <c r="B12" s="750"/>
      <c r="C12" s="755"/>
      <c r="D12" s="750"/>
      <c r="E12" s="750"/>
      <c r="F12" s="750"/>
    </row>
    <row r="13" spans="1:6" ht="15">
      <c r="A13" s="762"/>
      <c r="B13" s="750"/>
      <c r="C13" s="755"/>
      <c r="D13" s="750"/>
      <c r="E13" s="750"/>
      <c r="F13" s="750"/>
    </row>
    <row r="14" spans="1:6" ht="15">
      <c r="A14" s="762"/>
      <c r="B14" s="750"/>
      <c r="C14" s="755"/>
      <c r="D14" s="750"/>
      <c r="E14" s="750"/>
      <c r="F14" s="750"/>
    </row>
    <row r="15" spans="1:6" ht="15">
      <c r="A15" s="762"/>
      <c r="B15" s="750"/>
      <c r="C15" s="755"/>
      <c r="D15" s="750"/>
      <c r="E15" s="750"/>
      <c r="F15" s="750"/>
    </row>
    <row r="16" spans="1:6" ht="15">
      <c r="A16" s="762"/>
      <c r="B16" s="750"/>
      <c r="C16" s="755"/>
      <c r="D16" s="750"/>
      <c r="E16" s="750"/>
      <c r="F16" s="750"/>
    </row>
    <row r="17" spans="1:6" ht="15">
      <c r="A17" s="762"/>
      <c r="B17" s="750"/>
      <c r="C17" s="755"/>
      <c r="D17" s="750"/>
      <c r="E17" s="750"/>
      <c r="F17" s="750"/>
    </row>
    <row r="18" spans="1:6" ht="15">
      <c r="A18" s="762"/>
      <c r="B18" s="750"/>
      <c r="C18" s="755"/>
      <c r="D18" s="750"/>
      <c r="E18" s="750"/>
      <c r="F18" s="750"/>
    </row>
    <row r="19" spans="1:6" ht="15">
      <c r="A19" s="762"/>
      <c r="B19" s="750"/>
      <c r="C19" s="755"/>
      <c r="D19" s="750"/>
      <c r="E19" s="750"/>
      <c r="F19" s="750"/>
    </row>
    <row r="20" spans="1:6" ht="15">
      <c r="A20" s="762"/>
      <c r="B20" s="750"/>
      <c r="C20" s="755"/>
      <c r="D20" s="750"/>
      <c r="E20" s="750"/>
      <c r="F20" s="750"/>
    </row>
    <row r="21" spans="1:6" ht="12.75">
      <c r="A21" s="408"/>
      <c r="B21" s="406"/>
      <c r="C21" s="407"/>
      <c r="D21" s="406"/>
      <c r="E21" s="406"/>
      <c r="F21" s="406"/>
    </row>
    <row r="22" spans="1:6" ht="12.75">
      <c r="A22" s="408"/>
      <c r="B22" s="406"/>
      <c r="C22" s="407"/>
      <c r="D22" s="406"/>
      <c r="E22" s="406"/>
      <c r="F22" s="406"/>
    </row>
    <row r="23" spans="1:6" ht="12.75">
      <c r="A23" s="408"/>
      <c r="B23" s="406"/>
      <c r="C23" s="407"/>
      <c r="D23" s="406"/>
      <c r="E23" s="406"/>
      <c r="F23" s="406"/>
    </row>
    <row r="24" spans="1:6" ht="13.5" thickBot="1">
      <c r="A24" s="409"/>
      <c r="B24" s="410"/>
      <c r="C24" s="411"/>
      <c r="D24" s="410"/>
      <c r="E24" s="410"/>
      <c r="F24" s="410"/>
    </row>
    <row r="25" spans="1:6" ht="13.5" thickBot="1">
      <c r="A25" s="403" t="s">
        <v>462</v>
      </c>
      <c r="B25" s="287">
        <f>SUM(B6:B24)</f>
        <v>95057980</v>
      </c>
      <c r="C25" s="412"/>
      <c r="D25" s="287">
        <f>SUM(D6:D24)</f>
        <v>95057980</v>
      </c>
      <c r="E25" s="287">
        <f>SUM(E6:E24)</f>
        <v>135431635</v>
      </c>
      <c r="F25" s="287">
        <f>SUM(F6:F24)</f>
        <v>112694302</v>
      </c>
    </row>
    <row r="27" ht="12.75">
      <c r="E27" s="814"/>
    </row>
  </sheetData>
  <sheetProtection/>
  <mergeCells count="2">
    <mergeCell ref="A2:D2"/>
    <mergeCell ref="A1:F1"/>
  </mergeCells>
  <printOptions/>
  <pageMargins left="0.7" right="0.7" top="0.75" bottom="0.75" header="0.3" footer="0.3"/>
  <pageSetup horizontalDpi="600" verticalDpi="600" orientation="portrait" paperSize="9" scale="63" r:id="rId1"/>
  <headerFooter>
    <oddHeader>&amp;C8. sz. melléklet a .../2020 (...). ön 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ZsigaFerenc</cp:lastModifiedBy>
  <cp:lastPrinted>2020-07-23T09:02:33Z</cp:lastPrinted>
  <dcterms:created xsi:type="dcterms:W3CDTF">1999-10-30T10:30:45Z</dcterms:created>
  <dcterms:modified xsi:type="dcterms:W3CDTF">2020-09-15T08:46:48Z</dcterms:modified>
  <cp:category/>
  <cp:version/>
  <cp:contentType/>
  <cp:contentStatus/>
</cp:coreProperties>
</file>