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65" windowWidth="5940" windowHeight="5295" tabRatio="598" firstSheet="7" activeTab="14"/>
  </bookViews>
  <sheets>
    <sheet name="bor." sheetId="1" r:id="rId1"/>
    <sheet name="1. Mérleg " sheetId="2" r:id="rId2"/>
    <sheet name="2. Bevételek" sheetId="3" r:id="rId3"/>
    <sheet name="3. Köt.önként v. bevétel " sheetId="4" r:id="rId4"/>
    <sheet name="4. Korm.funkciók " sheetId="5" r:id="rId5"/>
    <sheet name="5. Köt. önként v. kiadás" sheetId="6" r:id="rId6"/>
    <sheet name="6. ellátottak juttatásai " sheetId="7" r:id="rId7"/>
    <sheet name="7. Pe. átadások" sheetId="8" r:id="rId8"/>
    <sheet name="8.beruházás" sheetId="9" r:id="rId9"/>
    <sheet name="9.felújítás" sheetId="10" r:id="rId10"/>
    <sheet name="10.közgazd. mérleg" sheetId="11" r:id="rId11"/>
    <sheet name="11.előirányzat felh.ü." sheetId="12" r:id="rId12"/>
    <sheet name="12.részvények" sheetId="13" r:id="rId13"/>
    <sheet name="13.Közvtett tám." sheetId="14" r:id="rId14"/>
    <sheet name="14.Adósságot" sheetId="15" r:id="rId15"/>
  </sheets>
  <externalReferences>
    <externalReference r:id="rId18"/>
  </externalReferences>
  <definedNames>
    <definedName name="_xlnm.Print_Area" localSheetId="3">'3. Köt.önként v. bevétel '!$A$1:$G$25</definedName>
    <definedName name="_xlnm.Print_Area" localSheetId="0">'bor.'!$A$1:$U$46</definedName>
  </definedNames>
  <calcPr fullCalcOnLoad="1"/>
</workbook>
</file>

<file path=xl/sharedStrings.xml><?xml version="1.0" encoding="utf-8"?>
<sst xmlns="http://schemas.openxmlformats.org/spreadsheetml/2006/main" count="894" uniqueCount="508">
  <si>
    <t>tervezett</t>
  </si>
  <si>
    <t>%-a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</si>
  <si>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</si>
  <si>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</si>
  <si>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</si>
  <si>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</si>
  <si>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</si>
  <si>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</si>
  <si>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</si>
  <si>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</si>
  <si>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</si>
  <si>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</si>
  <si>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</si>
  <si>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</si>
  <si>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</si>
  <si>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</si>
  <si>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</si>
  <si>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</si>
  <si>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</si>
  <si>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</si>
  <si>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</si>
  <si>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</si>
  <si>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</si>
  <si>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</si>
  <si>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</si>
  <si>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</si>
  <si>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</si>
  <si>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</si>
  <si>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</si>
  <si>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</si>
  <si>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</si>
  <si>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</si>
  <si>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</si>
  <si>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</si>
  <si>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</si>
  <si>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</si>
  <si>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</si>
  <si>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</si>
  <si>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</si>
  <si>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</si>
  <si>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</si>
  <si>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</si>
  <si>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</si>
  <si>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</si>
  <si>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</si>
  <si>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</si>
  <si>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</si>
  <si>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</si>
  <si>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</si>
  <si>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</si>
  <si>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</si>
  <si>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</si>
  <si>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</si>
  <si>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</si>
  <si>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</si>
  <si>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</si>
  <si>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</si>
  <si>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</si>
  <si>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</si>
  <si>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</si>
  <si>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</si>
  <si>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</si>
  <si>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</si>
  <si>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</si>
  <si>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</si>
  <si>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</si>
  <si>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</si>
  <si>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</si>
  <si>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</si>
  <si>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</si>
  <si>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</si>
  <si>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</si>
  <si>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</si>
  <si>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</si>
  <si>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</si>
  <si>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</si>
  <si>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</si>
  <si>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</si>
  <si>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</si>
  <si>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</si>
  <si>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</si>
  <si>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</si>
  <si>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</si>
  <si>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</si>
  <si>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</si>
  <si>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</si>
  <si>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</si>
  <si>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</si>
  <si>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</si>
  <si>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</si>
  <si>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</si>
  <si>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</si>
  <si>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</si>
  <si>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</si>
  <si>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</si>
  <si>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</si>
  <si>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</si>
  <si>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</si>
  <si>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</si>
  <si>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</si>
  <si>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</si>
  <si>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</si>
  <si>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</si>
  <si>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</si>
  <si>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</si>
  <si>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</si>
  <si>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</si>
  <si>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</si>
  <si>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</si>
  <si>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</si>
  <si>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</si>
  <si>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</si>
  <si>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</si>
  <si>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</si>
  <si>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</si>
  <si>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</si>
  <si>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</si>
  <si>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</si>
  <si>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</si>
  <si>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</si>
  <si>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</si>
  <si>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</si>
  <si>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</si>
  <si>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</si>
  <si>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</si>
  <si>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</si>
  <si>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</si>
  <si>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</si>
  <si>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</si>
  <si>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</si>
  <si>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</si>
  <si>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</si>
  <si>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</si>
  <si>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</si>
  <si>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</si>
  <si>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</si>
  <si>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</si>
  <si>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</si>
  <si>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</si>
  <si>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</si>
  <si>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</si>
  <si>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</si>
  <si>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</si>
  <si>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</si>
  <si>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</si>
  <si>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</si>
  <si>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</si>
  <si>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</si>
  <si>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</si>
  <si>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</si>
  <si>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</si>
  <si>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</si>
  <si>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</si>
  <si>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</si>
  <si>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</si>
  <si>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</si>
  <si>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</si>
  <si>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</si>
  <si>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</si>
  <si>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</si>
  <si>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</si>
  <si>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</si>
  <si>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</si>
  <si>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</si>
  <si>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</si>
  <si>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</si>
  <si>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</si>
  <si>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</si>
  <si>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</si>
  <si>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</si>
  <si>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</si>
  <si>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</si>
  <si>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</si>
  <si>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</si>
  <si>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</si>
  <si>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</si>
  <si>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</si>
  <si>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</si>
  <si>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</si>
  <si>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</si>
  <si>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</si>
  <si>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</si>
  <si>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</si>
  <si>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</si>
  <si>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</si>
  <si>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</si>
  <si>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</si>
  <si>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</si>
  <si>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</si>
  <si>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</si>
  <si>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</si>
  <si>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</si>
  <si>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</si>
  <si>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</si>
  <si>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</si>
  <si>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</si>
  <si>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</si>
  <si>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</si>
  <si>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</si>
  <si>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</si>
  <si>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</si>
  <si>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</si>
  <si>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</si>
  <si>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</si>
  <si>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</si>
  <si>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</si>
  <si>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</si>
  <si>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</si>
  <si>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</si>
  <si>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</si>
  <si>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</si>
  <si>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</si>
  <si>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</si>
  <si>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</si>
  <si>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</si>
  <si>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</si>
  <si>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</si>
  <si>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</si>
  <si>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</si>
  <si>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</si>
  <si>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</si>
  <si>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</si>
  <si>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</si>
  <si>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</si>
  <si>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</si>
  <si>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</si>
  <si>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</si>
  <si>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</si>
  <si>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</si>
  <si>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</si>
  <si>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</si>
  <si>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</si>
  <si>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</si>
  <si>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</si>
  <si>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</si>
  <si>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</si>
  <si>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</si>
  <si>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</si>
  <si>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</si>
  <si>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</si>
  <si>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</si>
  <si>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</si>
  <si>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</si>
  <si>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</si>
  <si>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</si>
  <si>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</si>
  <si>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</si>
  <si>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</si>
  <si>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</si>
  <si>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</si>
  <si>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</si>
  <si>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</si>
  <si>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</si>
  <si>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</si>
  <si>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</si>
  <si>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</si>
  <si>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</si>
  <si>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</si>
  <si>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</si>
  <si>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</si>
  <si>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</si>
  <si>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</si>
  <si>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</si>
  <si>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</si>
  <si>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</si>
  <si>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</si>
  <si>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</si>
  <si>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</si>
  <si>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</si>
  <si>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</si>
  <si>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</si>
  <si>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</si>
  <si>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</si>
  <si>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</si>
  <si>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</si>
  <si>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</si>
  <si>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</si>
  <si>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</si>
  <si>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</si>
  <si>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</si>
  <si>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</si>
  <si>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</si>
  <si>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</si>
  <si>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</si>
  <si>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</si>
  <si>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</si>
  <si>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</si>
  <si>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</si>
  <si>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</si>
  <si>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</si>
  <si>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</si>
  <si>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</si>
  <si>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</si>
  <si>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</si>
  <si>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</si>
  <si>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</si>
  <si>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</si>
  <si>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</si>
  <si>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</si>
  <si>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</si>
  <si>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</si>
  <si>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</si>
  <si>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</si>
  <si>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</si>
  <si>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</si>
  <si>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</si>
  <si>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</si>
  <si>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</si>
  <si>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</si>
  <si>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</si>
  <si>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</si>
  <si>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</si>
  <si>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</si>
  <si>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</si>
  <si>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</si>
  <si>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</si>
  <si>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</si>
  <si>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</si>
  <si>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</si>
  <si>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</si>
  <si>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</si>
  <si>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</si>
  <si>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</si>
  <si>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</si>
  <si>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</si>
  <si>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</si>
  <si>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</si>
  <si>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</si>
  <si>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</si>
  <si>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</si>
  <si>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</si>
  <si>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</si>
  <si>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</si>
  <si>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</si>
  <si>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</si>
  <si>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</si>
  <si>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</si>
  <si>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</si>
  <si>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</si>
  <si>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</si>
  <si>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</si>
  <si>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</si>
  <si>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</si>
  <si>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</si>
  <si>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</si>
  <si>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</si>
  <si>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</si>
  <si>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</si>
  <si>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</si>
  <si>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</si>
  <si>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</si>
  <si>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</si>
  <si>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</si>
  <si>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Civil szervezetek támogatása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</si>
  <si>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</si>
  <si>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</si>
  <si>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</si>
  <si>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</si>
  <si>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megnevezés</t>
  </si>
  <si>
    <t>Saját bevétel és adósságot keletkeztető ügyletből eredő fizetési kötelezettség összegei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</si>
  <si>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</si>
  <si>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</si>
  <si>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</si>
  <si>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</si>
  <si>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</si>
  <si>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önkormányzat saját bevételei:</t>
  </si>
  <si>
    <t>saját bevételek  50 %-a</t>
  </si>
  <si>
    <t>fizetési kötelezettség összesen</t>
  </si>
  <si>
    <t xml:space="preserve"> -    </t>
  </si>
  <si>
    <t>Fizetési kötelezettséggel csökkentett saját bevétel összege</t>
  </si>
  <si>
    <t>év</t>
  </si>
  <si>
    <t>sor-            szám</t>
  </si>
  <si>
    <t>Porpác község Önkormányzat saját bevételeinek, valamint az adósságot keletkeztető ügyleteiből eredő</t>
  </si>
  <si>
    <t>fizetési kötezettségeinek bemutatása</t>
  </si>
  <si>
    <t>kezesség- illetve garancia vállalással kapcsolatos megtérülések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</si>
  <si>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</si>
  <si>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</si>
  <si>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</si>
  <si>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</si>
  <si>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</si>
  <si>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 xml:space="preserve"> háromszázhatvanöt nap időtartamú halasztott fizetés, részletfizetés,</t>
  </si>
  <si>
    <t xml:space="preserve"> Ft </t>
  </si>
  <si>
    <t>2017. év</t>
  </si>
  <si>
    <t>adatok  Ft-ban</t>
  </si>
  <si>
    <t>(  Ft-ban)</t>
  </si>
  <si>
    <t>( Ft-ban)</t>
  </si>
  <si>
    <t>Települési tanévkedési támogatás</t>
  </si>
  <si>
    <t>Gyermekek egyszeri támogatása ( év végi)</t>
  </si>
  <si>
    <t>Időskorúak egyszeri támogatása( év végi)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</si>
  <si>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</si>
  <si>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</si>
  <si>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</si>
  <si>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</si>
  <si>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</si>
  <si>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BERUHÁZÁSI KIADÁSOK</t>
  </si>
  <si>
    <t>sorszám</t>
  </si>
  <si>
    <t>tervezett  előirányzat    ( Ft)</t>
  </si>
  <si>
    <t>063020 Víztermelés-,  kezelés-, ellátás</t>
  </si>
  <si>
    <t>Porpác,Bögöt ívóvízminőség-javtása pályázat építési munkák költségei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</si>
  <si>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</si>
  <si>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</si>
  <si>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</si>
  <si>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</si>
  <si>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</si>
  <si>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FELÚJÍTÁSI KIADÁSOK</t>
  </si>
  <si>
    <t>045160 Közutak, hidak, alagutak üzemeltetése fenntartása</t>
  </si>
  <si>
    <t>Egyéb építméy felújítása</t>
  </si>
  <si>
    <t>1.1.1.1.</t>
  </si>
  <si>
    <t>Felújítási célú előzetesen felszámított le nem vonható általános forgalmi adó</t>
  </si>
  <si>
    <t>FELÚJÍTÁSOK ÖSSZESEN:</t>
  </si>
  <si>
    <t>1.1</t>
  </si>
  <si>
    <t>1.1.1.</t>
  </si>
  <si>
    <t>1.1.</t>
  </si>
  <si>
    <t>066020 Város és községgazdálkodási egyéb szolgáltatások</t>
  </si>
  <si>
    <t>2.2.</t>
  </si>
  <si>
    <t>Kisértékű tárgyieszköz beszerzés: papírpréselőgép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</si>
  <si>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</si>
  <si>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</si>
  <si>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</si>
  <si>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</si>
  <si>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</si>
  <si>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</si>
  <si>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</si>
  <si>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</si>
  <si>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</si>
  <si>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</si>
  <si>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</si>
  <si>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</si>
  <si>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</si>
  <si>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</si>
  <si>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</si>
  <si>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</si>
  <si>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</si>
  <si>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</si>
  <si>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</si>
  <si>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</si>
  <si>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</si>
  <si>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</si>
  <si>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</si>
  <si>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</si>
  <si>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</si>
  <si>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</si>
  <si>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</si>
  <si>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</si>
  <si>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</si>
  <si>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</si>
  <si>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</si>
  <si>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</si>
  <si>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</si>
  <si>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</si>
  <si>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 xml:space="preserve">  Kistérségi tagdíj</t>
  </si>
  <si>
    <t xml:space="preserve">  Sághegy LEADER tagdíj</t>
  </si>
  <si>
    <t>1.7.</t>
  </si>
  <si>
    <t>1.6.</t>
  </si>
  <si>
    <t>1.5.</t>
  </si>
  <si>
    <t xml:space="preserve">2018. évi </t>
  </si>
  <si>
    <t>2018. évre</t>
  </si>
  <si>
    <t>2018. év</t>
  </si>
  <si>
    <t>2018.év</t>
  </si>
  <si>
    <t xml:space="preserve"> 2018. évi előirányzat-felhasználási ütemterve</t>
  </si>
  <si>
    <t>2017. december 31.</t>
  </si>
  <si>
    <t>2019-2021. év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</si>
  <si>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</si>
  <si>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</si>
  <si>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</si>
  <si>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2068/2017.(XII.28.) Korm.hat. Működési célú kiegészítő támogatás</t>
  </si>
  <si>
    <t>041233</t>
  </si>
  <si>
    <t>Hosszabb időtartamú közfoglalkoztatás</t>
  </si>
  <si>
    <t>BURSA Hungarica ösztöndíj pályázat támogatása</t>
  </si>
  <si>
    <t>Ingatlan vásárlás (Művelődési ház) Önkormányzatok  alacsony összegű fejlesztéseinek támogatása pályázatból</t>
  </si>
  <si>
    <t>Az önkormányzati feladatellátást szolgáló fejlesztési támogatás 2068/2017.(XII.28.) Korm.hat. alapján</t>
  </si>
  <si>
    <t>Kossuth utca burkolatfelújítás</t>
  </si>
  <si>
    <t>1. sz. melléklet a 2/2018.(II.14.) önkormányzati rendelethez</t>
  </si>
  <si>
    <t>2. sz. melléklet a 2/2018.(II.14.) önkormányzati rendelethez</t>
  </si>
  <si>
    <t>3. sz. melléklet a 2/2018.(II.14.) önkormányzati rendelethez</t>
  </si>
  <si>
    <t>4. sz. melléklet  a 2/2018.( II.14.) önkormányzati rendelethez</t>
  </si>
  <si>
    <t>5. sz. melléklet a 2/2018.(II.14.) sz. önkormányzati rendelethez</t>
  </si>
  <si>
    <t>6. sz. melléklet a 2/2018. (II.14.) sz. önkormányzati rendelethez</t>
  </si>
  <si>
    <t>7. sz . melléklet a 2/2018.(II.14.) sz. önkormányzati rendelethez</t>
  </si>
  <si>
    <t>8 sz. melléklet a 2/2018.(II.14.) sz. önkormányzati rendelethez</t>
  </si>
  <si>
    <t>10. melléklet a 2/2018.(II.14.) sz. önkormányzati rendelethez</t>
  </si>
  <si>
    <t>11. melléklet a 2/2018. (II.14.) önkormányzati rendelethez</t>
  </si>
  <si>
    <t>Porpác Község Önkormányzata</t>
  </si>
  <si>
    <t>12. melléklet a 2/2018. (II.14.)  önkormányzati rendelethez</t>
  </si>
  <si>
    <t>13. melléklet  a  2/2018. (II.14.) önkormányzati rendelethez</t>
  </si>
  <si>
    <t>14. melléklet  a 2/2018. (II.14.) önkormányzati rendelethez</t>
  </si>
  <si>
    <t>Jóváhagyta:</t>
  </si>
  <si>
    <t>Módosította:</t>
  </si>
  <si>
    <t>2/2018. (II.14.) ÖR.</t>
  </si>
  <si>
    <t>7/2018. (V.30.) ÖR.</t>
  </si>
  <si>
    <t>2.1.6.</t>
  </si>
  <si>
    <t>-3-</t>
  </si>
  <si>
    <t>Működési célú költségvetési és kiegészítő támogatása</t>
  </si>
  <si>
    <t>Szociális célú tűzifavásárlás támogatása</t>
  </si>
  <si>
    <t>Működési célú költségvetési és kiegészítő támogatás</t>
  </si>
  <si>
    <t>Szociális ágazati összevont pótlék</t>
  </si>
  <si>
    <t>tervezett  előirányzat              ( Ft)</t>
  </si>
  <si>
    <t>9 sz. melléklet a 2/20178.(II.14.) sz. önkormányzati rendelethez</t>
  </si>
  <si>
    <t>9/2018. (IX.26.) ÖR.</t>
  </si>
  <si>
    <t xml:space="preserve">3. </t>
  </si>
  <si>
    <t>nyári diákmunka támogatás</t>
  </si>
  <si>
    <t>kirándulás pályázati támogatása</t>
  </si>
  <si>
    <t>EGYÉB MŰKÖDÉSI CÉLÚ TÁMOGATÁSOK ÁLLAMHÁZTARTÁSON BELÜLRE</t>
  </si>
  <si>
    <t>2017. évi állami támogatások elszámolás utáni visszafizetési kötelezettség</t>
  </si>
  <si>
    <t>EGYÉB MŰKÖDÉSI CÉLÚ TÁMOGATÁSOK ÁLLAMHÁZTARTÁSON BELÜLRE ÖSSZESEN:</t>
  </si>
  <si>
    <t>2.1.2.2.</t>
  </si>
  <si>
    <t>2.1.2.3.</t>
  </si>
  <si>
    <t>Szent Miklós Plébánia működési támogatása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</si>
</sst>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8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i/>
      <sz val="11"/>
      <name val="Arial Narrow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Bold Italic"/>
      <family val="1"/>
    </font>
    <font>
      <sz val="12"/>
      <name val="Times Bold Italic"/>
      <family val="1"/>
    </font>
    <font>
      <sz val="12"/>
      <color indexed="8"/>
      <name val="Times Bold Italic"/>
      <family val="1"/>
    </font>
    <font>
      <i/>
      <sz val="12"/>
      <name val="Times Bold Ital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0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5" applyFont="1">
      <alignment/>
      <protection/>
    </xf>
    <xf numFmtId="0" fontId="8" fillId="0" borderId="0" xfId="65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7" applyFont="1" applyAlignment="1">
      <alignment/>
      <protection/>
    </xf>
    <xf numFmtId="0" fontId="16" fillId="0" borderId="0" xfId="0" applyFont="1" applyAlignment="1">
      <alignment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59" applyFont="1">
      <alignment/>
      <protection/>
    </xf>
    <xf numFmtId="0" fontId="16" fillId="0" borderId="0" xfId="59" applyFont="1">
      <alignment/>
      <protection/>
    </xf>
    <xf numFmtId="0" fontId="9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27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Border="1" applyAlignment="1">
      <alignment horizontal="left" vertical="center"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67" applyFont="1">
      <alignment/>
      <protection/>
    </xf>
    <xf numFmtId="0" fontId="18" fillId="0" borderId="0" xfId="67" applyFont="1">
      <alignment/>
      <protection/>
    </xf>
    <xf numFmtId="0" fontId="19" fillId="0" borderId="0" xfId="67" applyFont="1" applyAlignment="1">
      <alignment horizontal="center"/>
      <protection/>
    </xf>
    <xf numFmtId="0" fontId="16" fillId="0" borderId="0" xfId="67" applyFont="1">
      <alignment/>
      <protection/>
    </xf>
    <xf numFmtId="0" fontId="8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11" fillId="0" borderId="0" xfId="67" applyFont="1" applyBorder="1">
      <alignment/>
      <protection/>
    </xf>
    <xf numFmtId="0" fontId="12" fillId="0" borderId="0" xfId="67" applyFont="1">
      <alignment/>
      <protection/>
    </xf>
    <xf numFmtId="0" fontId="4" fillId="0" borderId="0" xfId="65" applyFont="1">
      <alignment/>
      <protection/>
    </xf>
    <xf numFmtId="168" fontId="8" fillId="0" borderId="0" xfId="65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5" applyFont="1" applyAlignment="1">
      <alignment wrapText="1"/>
      <protection/>
    </xf>
    <xf numFmtId="0" fontId="8" fillId="0" borderId="0" xfId="65" applyFont="1" applyAlignment="1">
      <alignment wrapText="1"/>
      <protection/>
    </xf>
    <xf numFmtId="0" fontId="16" fillId="0" borderId="0" xfId="59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2" fillId="0" borderId="0" xfId="40" applyNumberFormat="1" applyFont="1" applyAlignment="1">
      <alignment horizontal="center"/>
    </xf>
    <xf numFmtId="168" fontId="33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14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24" fillId="0" borderId="0" xfId="58" applyFont="1" applyAlignment="1">
      <alignment/>
      <protection/>
    </xf>
    <xf numFmtId="41" fontId="14" fillId="0" borderId="0" xfId="58" applyNumberFormat="1" applyFont="1" applyAlignment="1">
      <alignment horizontal="centerContinuous"/>
      <protection/>
    </xf>
    <xf numFmtId="0" fontId="34" fillId="0" borderId="0" xfId="58" applyFont="1" applyAlignment="1">
      <alignment/>
      <protection/>
    </xf>
    <xf numFmtId="41" fontId="19" fillId="0" borderId="0" xfId="58" applyNumberFormat="1" applyFont="1" applyAlignment="1">
      <alignment horizontal="centerContinuous"/>
      <protection/>
    </xf>
    <xf numFmtId="0" fontId="18" fillId="0" borderId="0" xfId="58" applyFont="1">
      <alignment/>
      <protection/>
    </xf>
    <xf numFmtId="41" fontId="35" fillId="0" borderId="0" xfId="58" applyNumberFormat="1" applyFont="1">
      <alignment/>
      <protection/>
    </xf>
    <xf numFmtId="41" fontId="14" fillId="0" borderId="0" xfId="58" applyNumberFormat="1" applyFont="1">
      <alignment/>
      <protection/>
    </xf>
    <xf numFmtId="0" fontId="24" fillId="0" borderId="0" xfId="58" applyFont="1">
      <alignment/>
      <protection/>
    </xf>
    <xf numFmtId="41" fontId="35" fillId="0" borderId="0" xfId="58" applyNumberFormat="1" applyFont="1" applyBorder="1">
      <alignment/>
      <protection/>
    </xf>
    <xf numFmtId="0" fontId="8" fillId="0" borderId="0" xfId="58" applyFont="1">
      <alignment/>
      <protection/>
    </xf>
    <xf numFmtId="0" fontId="1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2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32" fillId="0" borderId="25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9" applyFont="1" applyAlignment="1">
      <alignment horizontal="center" vertical="center"/>
      <protection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37" fillId="0" borderId="20" xfId="0" applyFont="1" applyBorder="1" applyAlignment="1">
      <alignment horizontal="center"/>
    </xf>
    <xf numFmtId="0" fontId="0" fillId="0" borderId="26" xfId="0" applyBorder="1" applyAlignment="1">
      <alignment/>
    </xf>
    <xf numFmtId="0" fontId="37" fillId="0" borderId="26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68" fontId="8" fillId="0" borderId="14" xfId="40" applyNumberFormat="1" applyFont="1" applyBorder="1" applyAlignment="1">
      <alignment/>
    </xf>
    <xf numFmtId="168" fontId="8" fillId="0" borderId="0" xfId="4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14" xfId="0" applyNumberFormat="1" applyBorder="1" applyAlignment="1">
      <alignment/>
    </xf>
    <xf numFmtId="41" fontId="38" fillId="0" borderId="0" xfId="0" applyNumberFormat="1" applyFont="1" applyAlignment="1">
      <alignment/>
    </xf>
    <xf numFmtId="41" fontId="39" fillId="0" borderId="0" xfId="0" applyNumberFormat="1" applyFont="1" applyAlignment="1">
      <alignment/>
    </xf>
    <xf numFmtId="41" fontId="39" fillId="0" borderId="0" xfId="0" applyNumberFormat="1" applyFont="1" applyAlignment="1">
      <alignment horizontal="center"/>
    </xf>
    <xf numFmtId="41" fontId="0" fillId="0" borderId="27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0" fontId="37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/>
    </xf>
    <xf numFmtId="3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49" fontId="11" fillId="0" borderId="0" xfId="67" applyNumberFormat="1" applyFont="1">
      <alignment/>
      <protection/>
    </xf>
    <xf numFmtId="49" fontId="8" fillId="0" borderId="0" xfId="67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7" applyNumberFormat="1" applyFont="1" applyAlignment="1">
      <alignment horizontal="center" vertical="center"/>
      <protection/>
    </xf>
    <xf numFmtId="49" fontId="11" fillId="0" borderId="0" xfId="67" applyNumberFormat="1" applyFont="1" applyBorder="1" applyAlignment="1">
      <alignment horizontal="center" vertical="center"/>
      <protection/>
    </xf>
    <xf numFmtId="49" fontId="12" fillId="0" borderId="0" xfId="67" applyNumberFormat="1" applyFont="1" applyAlignment="1">
      <alignment horizontal="center" vertical="center"/>
      <protection/>
    </xf>
    <xf numFmtId="49" fontId="16" fillId="0" borderId="0" xfId="58" applyNumberFormat="1" applyFont="1">
      <alignment/>
      <protection/>
    </xf>
    <xf numFmtId="49" fontId="14" fillId="0" borderId="0" xfId="58" applyNumberFormat="1" applyFont="1" applyAlignment="1">
      <alignment horizontal="center" vertical="center"/>
      <protection/>
    </xf>
    <xf numFmtId="49" fontId="19" fillId="0" borderId="0" xfId="58" applyNumberFormat="1" applyFont="1" applyAlignment="1">
      <alignment horizontal="center" vertical="center"/>
      <protection/>
    </xf>
    <xf numFmtId="49" fontId="16" fillId="0" borderId="0" xfId="58" applyNumberFormat="1" applyFont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4" fillId="0" borderId="0" xfId="61" applyFont="1">
      <alignment/>
      <protection/>
    </xf>
    <xf numFmtId="168" fontId="4" fillId="0" borderId="0" xfId="42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 wrapText="1"/>
      <protection/>
    </xf>
    <xf numFmtId="0" fontId="8" fillId="0" borderId="0" xfId="61" applyFont="1">
      <alignment/>
      <protection/>
    </xf>
    <xf numFmtId="168" fontId="8" fillId="0" borderId="0" xfId="42" applyNumberFormat="1" applyFont="1" applyAlignment="1">
      <alignment/>
    </xf>
    <xf numFmtId="168" fontId="8" fillId="0" borderId="0" xfId="42" applyNumberFormat="1" applyFont="1" applyAlignment="1">
      <alignment horizontal="right"/>
    </xf>
    <xf numFmtId="0" fontId="8" fillId="0" borderId="0" xfId="59" applyFont="1">
      <alignment/>
      <protection/>
    </xf>
    <xf numFmtId="168" fontId="4" fillId="0" borderId="0" xfId="42" applyNumberFormat="1" applyFont="1" applyAlignment="1">
      <alignment horizontal="right"/>
    </xf>
    <xf numFmtId="0" fontId="4" fillId="0" borderId="0" xfId="59" applyFont="1">
      <alignment/>
      <protection/>
    </xf>
    <xf numFmtId="0" fontId="8" fillId="0" borderId="0" xfId="66" applyFont="1">
      <alignment/>
      <protection/>
    </xf>
    <xf numFmtId="0" fontId="41" fillId="0" borderId="0" xfId="61" applyFont="1">
      <alignment/>
      <protection/>
    </xf>
    <xf numFmtId="0" fontId="8" fillId="0" borderId="0" xfId="61" applyFont="1" applyAlignment="1">
      <alignment wrapText="1"/>
      <protection/>
    </xf>
    <xf numFmtId="168" fontId="8" fillId="0" borderId="0" xfId="42" applyNumberFormat="1" applyFont="1" applyAlignment="1">
      <alignment wrapText="1"/>
    </xf>
    <xf numFmtId="0" fontId="8" fillId="0" borderId="0" xfId="61" applyFont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68" fontId="11" fillId="0" borderId="0" xfId="42" applyNumberFormat="1" applyFont="1" applyAlignment="1">
      <alignment wrapText="1"/>
    </xf>
    <xf numFmtId="168" fontId="11" fillId="0" borderId="0" xfId="42" applyNumberFormat="1" applyFont="1" applyBorder="1" applyAlignment="1">
      <alignment horizontal="center"/>
    </xf>
    <xf numFmtId="168" fontId="11" fillId="0" borderId="12" xfId="42" applyNumberFormat="1" applyFont="1" applyBorder="1" applyAlignment="1">
      <alignment horizontal="center"/>
    </xf>
    <xf numFmtId="168" fontId="11" fillId="0" borderId="11" xfId="42" applyNumberFormat="1" applyFont="1" applyBorder="1" applyAlignment="1">
      <alignment horizontal="center"/>
    </xf>
    <xf numFmtId="168" fontId="11" fillId="0" borderId="10" xfId="42" applyNumberFormat="1" applyFont="1" applyBorder="1" applyAlignment="1">
      <alignment horizontal="center"/>
    </xf>
    <xf numFmtId="168" fontId="11" fillId="0" borderId="0" xfId="42" applyNumberFormat="1" applyFont="1" applyAlignment="1">
      <alignment/>
    </xf>
    <xf numFmtId="168" fontId="9" fillId="0" borderId="0" xfId="42" applyNumberFormat="1" applyFont="1" applyAlignment="1">
      <alignment/>
    </xf>
    <xf numFmtId="168" fontId="9" fillId="0" borderId="0" xfId="42" applyNumberFormat="1" applyFont="1" applyBorder="1" applyAlignment="1">
      <alignment horizontal="center"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vertical="justify"/>
      <protection/>
    </xf>
    <xf numFmtId="0" fontId="11" fillId="0" borderId="0" xfId="62" applyFont="1" applyAlignment="1">
      <alignment horizontal="left"/>
      <protection/>
    </xf>
    <xf numFmtId="168" fontId="9" fillId="0" borderId="0" xfId="42" applyNumberFormat="1" applyFont="1" applyAlignment="1">
      <alignment wrapText="1"/>
    </xf>
    <xf numFmtId="0" fontId="0" fillId="0" borderId="0" xfId="64" applyBorder="1">
      <alignment/>
      <protection/>
    </xf>
    <xf numFmtId="0" fontId="0" fillId="0" borderId="0" xfId="64">
      <alignment/>
      <protection/>
    </xf>
    <xf numFmtId="0" fontId="16" fillId="0" borderId="0" xfId="64" applyFont="1" applyBorder="1">
      <alignment/>
      <protection/>
    </xf>
    <xf numFmtId="0" fontId="16" fillId="0" borderId="0" xfId="64" applyFont="1">
      <alignment/>
      <protection/>
    </xf>
    <xf numFmtId="0" fontId="16" fillId="0" borderId="0" xfId="66" applyFont="1" applyBorder="1">
      <alignment/>
      <protection/>
    </xf>
    <xf numFmtId="0" fontId="17" fillId="0" borderId="0" xfId="66" applyFont="1" applyBorder="1">
      <alignment/>
      <protection/>
    </xf>
    <xf numFmtId="0" fontId="16" fillId="0" borderId="0" xfId="66" applyFont="1">
      <alignment/>
      <protection/>
    </xf>
    <xf numFmtId="0" fontId="16" fillId="0" borderId="0" xfId="64" applyFont="1" applyAlignment="1">
      <alignment horizontal="left" indent="14"/>
      <protection/>
    </xf>
    <xf numFmtId="0" fontId="16" fillId="0" borderId="0" xfId="66" applyFont="1" applyBorder="1" applyAlignment="1">
      <alignment horizontal="right"/>
      <protection/>
    </xf>
    <xf numFmtId="0" fontId="17" fillId="0" borderId="0" xfId="66" applyFont="1" applyBorder="1" applyAlignment="1">
      <alignment horizontal="right"/>
      <protection/>
    </xf>
    <xf numFmtId="41" fontId="4" fillId="0" borderId="28" xfId="66" applyNumberFormat="1" applyFont="1" applyBorder="1" applyAlignment="1">
      <alignment horizontal="right"/>
      <protection/>
    </xf>
    <xf numFmtId="41" fontId="4" fillId="0" borderId="23" xfId="66" applyNumberFormat="1" applyFont="1" applyBorder="1" applyAlignment="1">
      <alignment horizontal="right"/>
      <protection/>
    </xf>
    <xf numFmtId="41" fontId="4" fillId="0" borderId="29" xfId="66" applyNumberFormat="1" applyFont="1" applyBorder="1" applyAlignment="1">
      <alignment horizontal="right"/>
      <protection/>
    </xf>
    <xf numFmtId="0" fontId="4" fillId="0" borderId="23" xfId="66" applyFont="1" applyBorder="1">
      <alignment/>
      <protection/>
    </xf>
    <xf numFmtId="0" fontId="8" fillId="0" borderId="25" xfId="66" applyFont="1" applyBorder="1">
      <alignment/>
      <protection/>
    </xf>
    <xf numFmtId="0" fontId="5" fillId="0" borderId="23" xfId="0" applyFont="1" applyBorder="1" applyAlignment="1">
      <alignment horizontal="center" vertical="center"/>
    </xf>
    <xf numFmtId="41" fontId="8" fillId="0" borderId="30" xfId="66" applyNumberFormat="1" applyFont="1" applyBorder="1" applyAlignment="1">
      <alignment horizontal="right" vertical="center"/>
      <protection/>
    </xf>
    <xf numFmtId="41" fontId="8" fillId="0" borderId="31" xfId="66" applyNumberFormat="1" applyFont="1" applyBorder="1" applyAlignment="1">
      <alignment horizontal="right" vertical="center"/>
      <protection/>
    </xf>
    <xf numFmtId="41" fontId="8" fillId="0" borderId="32" xfId="66" applyNumberFormat="1" applyFont="1" applyBorder="1" applyAlignment="1">
      <alignment horizontal="right" vertical="center"/>
      <protection/>
    </xf>
    <xf numFmtId="41" fontId="8" fillId="0" borderId="33" xfId="66" applyNumberFormat="1" applyFont="1" applyBorder="1" applyAlignment="1">
      <alignment horizontal="right" vertical="center"/>
      <protection/>
    </xf>
    <xf numFmtId="0" fontId="8" fillId="0" borderId="31" xfId="66" applyFont="1" applyBorder="1" applyAlignment="1">
      <alignment horizontal="left" wrapText="1"/>
      <protection/>
    </xf>
    <xf numFmtId="0" fontId="8" fillId="0" borderId="34" xfId="66" applyFont="1" applyBorder="1" applyAlignment="1" quotePrefix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1" fontId="8" fillId="0" borderId="35" xfId="66" applyNumberFormat="1" applyFont="1" applyBorder="1" applyAlignment="1">
      <alignment horizontal="right" vertical="center"/>
      <protection/>
    </xf>
    <xf numFmtId="0" fontId="8" fillId="0" borderId="33" xfId="66" applyFont="1" applyBorder="1" applyAlignment="1" quotePrefix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11" fillId="0" borderId="31" xfId="66" applyFont="1" applyBorder="1">
      <alignment/>
      <protection/>
    </xf>
    <xf numFmtId="0" fontId="11" fillId="0" borderId="34" xfId="66" applyFont="1" applyBorder="1" applyAlignment="1" quotePrefix="1">
      <alignment horizontal="center" vertical="center" wrapText="1"/>
      <protection/>
    </xf>
    <xf numFmtId="0" fontId="16" fillId="0" borderId="0" xfId="66" applyFont="1" applyBorder="1" applyAlignment="1">
      <alignment/>
      <protection/>
    </xf>
    <xf numFmtId="41" fontId="8" fillId="0" borderId="36" xfId="66" applyNumberFormat="1" applyFont="1" applyBorder="1" applyAlignment="1">
      <alignment horizontal="right" vertical="center"/>
      <protection/>
    </xf>
    <xf numFmtId="41" fontId="8" fillId="0" borderId="37" xfId="66" applyNumberFormat="1" applyFont="1" applyBorder="1" applyAlignment="1">
      <alignment horizontal="right" vertical="center"/>
      <protection/>
    </xf>
    <xf numFmtId="41" fontId="8" fillId="0" borderId="38" xfId="66" applyNumberFormat="1" applyFont="1" applyBorder="1" applyAlignment="1">
      <alignment horizontal="right" vertical="center"/>
      <protection/>
    </xf>
    <xf numFmtId="0" fontId="11" fillId="0" borderId="37" xfId="66" applyFont="1" applyBorder="1" applyAlignment="1">
      <alignment horizontal="left" wrapText="1"/>
      <protection/>
    </xf>
    <xf numFmtId="0" fontId="11" fillId="0" borderId="39" xfId="66" applyFont="1" applyBorder="1" applyAlignment="1" quotePrefix="1">
      <alignment horizontal="center" vertical="center" wrapText="1"/>
      <protection/>
    </xf>
    <xf numFmtId="41" fontId="8" fillId="0" borderId="40" xfId="66" applyNumberFormat="1" applyFont="1" applyBorder="1" applyAlignment="1">
      <alignment horizontal="right" vertical="center"/>
      <protection/>
    </xf>
    <xf numFmtId="41" fontId="8" fillId="0" borderId="41" xfId="66" applyNumberFormat="1" applyFont="1" applyBorder="1" applyAlignment="1">
      <alignment horizontal="right" vertical="center"/>
      <protection/>
    </xf>
    <xf numFmtId="0" fontId="8" fillId="0" borderId="41" xfId="66" applyFont="1" applyBorder="1" applyAlignment="1">
      <alignment horizontal="left" wrapText="1"/>
      <protection/>
    </xf>
    <xf numFmtId="0" fontId="8" fillId="0" borderId="42" xfId="66" applyFont="1" applyBorder="1" applyAlignment="1" quotePrefix="1">
      <alignment horizontal="center" vertical="center" wrapText="1"/>
      <protection/>
    </xf>
    <xf numFmtId="0" fontId="5" fillId="0" borderId="41" xfId="0" applyFont="1" applyBorder="1" applyAlignment="1">
      <alignment horizontal="center" vertical="center"/>
    </xf>
    <xf numFmtId="0" fontId="16" fillId="0" borderId="0" xfId="66" applyFont="1" applyAlignment="1">
      <alignment horizontal="center"/>
      <protection/>
    </xf>
    <xf numFmtId="0" fontId="17" fillId="0" borderId="0" xfId="66" applyFont="1" applyAlignment="1">
      <alignment horizontal="center"/>
      <protection/>
    </xf>
    <xf numFmtId="0" fontId="8" fillId="0" borderId="0" xfId="66" applyFont="1" applyAlignment="1">
      <alignment horizontal="right"/>
      <protection/>
    </xf>
    <xf numFmtId="0" fontId="8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6" fillId="0" borderId="0" xfId="66" applyFont="1" applyAlignment="1">
      <alignment horizontal="center" vertical="center"/>
      <protection/>
    </xf>
    <xf numFmtId="0" fontId="8" fillId="0" borderId="0" xfId="64" applyFont="1" applyAlignment="1">
      <alignment horizontal="right"/>
      <protection/>
    </xf>
    <xf numFmtId="0" fontId="25" fillId="0" borderId="0" xfId="66" applyFont="1" applyFill="1" applyBorder="1">
      <alignment/>
      <protection/>
    </xf>
    <xf numFmtId="3" fontId="4" fillId="0" borderId="23" xfId="0" applyNumberFormat="1" applyFont="1" applyBorder="1" applyAlignment="1">
      <alignment/>
    </xf>
    <xf numFmtId="3" fontId="4" fillId="0" borderId="25" xfId="66" applyNumberFormat="1" applyFont="1" applyBorder="1" applyAlignment="1">
      <alignment horizontal="right"/>
      <protection/>
    </xf>
    <xf numFmtId="3" fontId="30" fillId="0" borderId="23" xfId="66" applyNumberFormat="1" applyFont="1" applyBorder="1">
      <alignment/>
      <protection/>
    </xf>
    <xf numFmtId="3" fontId="4" fillId="0" borderId="28" xfId="66" applyNumberFormat="1" applyFont="1" applyBorder="1" applyAlignment="1">
      <alignment horizontal="right"/>
      <protection/>
    </xf>
    <xf numFmtId="0" fontId="4" fillId="0" borderId="12" xfId="66" applyFont="1" applyBorder="1">
      <alignment/>
      <protection/>
    </xf>
    <xf numFmtId="0" fontId="8" fillId="0" borderId="17" xfId="66" applyFont="1" applyBorder="1">
      <alignment/>
      <protection/>
    </xf>
    <xf numFmtId="3" fontId="5" fillId="0" borderId="35" xfId="0" applyNumberFormat="1" applyFont="1" applyBorder="1" applyAlignment="1">
      <alignment/>
    </xf>
    <xf numFmtId="3" fontId="11" fillId="0" borderId="34" xfId="66" applyNumberFormat="1" applyFont="1" applyBorder="1">
      <alignment/>
      <protection/>
    </xf>
    <xf numFmtId="3" fontId="11" fillId="0" borderId="43" xfId="66" applyNumberFormat="1" applyFont="1" applyBorder="1">
      <alignment/>
      <protection/>
    </xf>
    <xf numFmtId="3" fontId="11" fillId="0" borderId="20" xfId="66" applyNumberFormat="1" applyFont="1" applyBorder="1">
      <alignment/>
      <protection/>
    </xf>
    <xf numFmtId="3" fontId="26" fillId="0" borderId="44" xfId="66" applyNumberFormat="1" applyFont="1" applyBorder="1">
      <alignment/>
      <protection/>
    </xf>
    <xf numFmtId="3" fontId="27" fillId="0" borderId="45" xfId="66" applyNumberFormat="1" applyFont="1" applyBorder="1">
      <alignment/>
      <protection/>
    </xf>
    <xf numFmtId="3" fontId="11" fillId="0" borderId="26" xfId="66" applyNumberFormat="1" applyFont="1" applyBorder="1">
      <alignment/>
      <protection/>
    </xf>
    <xf numFmtId="3" fontId="11" fillId="0" borderId="46" xfId="66" applyNumberFormat="1" applyFont="1" applyBorder="1">
      <alignment/>
      <protection/>
    </xf>
    <xf numFmtId="3" fontId="11" fillId="0" borderId="26" xfId="66" applyNumberFormat="1" applyFont="1" applyBorder="1" applyAlignment="1">
      <alignment horizontal="right"/>
      <protection/>
    </xf>
    <xf numFmtId="3" fontId="11" fillId="0" borderId="46" xfId="66" applyNumberFormat="1" applyFont="1" applyBorder="1" applyAlignment="1">
      <alignment horizontal="right"/>
      <protection/>
    </xf>
    <xf numFmtId="3" fontId="9" fillId="0" borderId="27" xfId="66" applyNumberFormat="1" applyFont="1" applyBorder="1" applyAlignment="1">
      <alignment horizontal="right"/>
      <protection/>
    </xf>
    <xf numFmtId="0" fontId="11" fillId="0" borderId="32" xfId="66" applyFont="1" applyBorder="1" applyAlignment="1">
      <alignment wrapText="1"/>
      <protection/>
    </xf>
    <xf numFmtId="0" fontId="11" fillId="0" borderId="47" xfId="66" applyFont="1" applyBorder="1" applyAlignment="1" quotePrefix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3" fontId="27" fillId="0" borderId="48" xfId="66" applyNumberFormat="1" applyFont="1" applyBorder="1">
      <alignment/>
      <protection/>
    </xf>
    <xf numFmtId="3" fontId="11" fillId="0" borderId="22" xfId="66" applyNumberFormat="1" applyFont="1" applyBorder="1">
      <alignment/>
      <protection/>
    </xf>
    <xf numFmtId="3" fontId="11" fillId="0" borderId="21" xfId="66" applyNumberFormat="1" applyFont="1" applyBorder="1">
      <alignment/>
      <protection/>
    </xf>
    <xf numFmtId="3" fontId="11" fillId="0" borderId="22" xfId="66" applyNumberFormat="1" applyFont="1" applyBorder="1" applyAlignment="1">
      <alignment horizontal="right"/>
      <protection/>
    </xf>
    <xf numFmtId="3" fontId="11" fillId="0" borderId="21" xfId="66" applyNumberFormat="1" applyFont="1" applyBorder="1" applyAlignment="1">
      <alignment horizontal="right"/>
      <protection/>
    </xf>
    <xf numFmtId="3" fontId="9" fillId="0" borderId="33" xfId="66" applyNumberFormat="1" applyFont="1" applyBorder="1" applyAlignment="1">
      <alignment horizontal="right"/>
      <protection/>
    </xf>
    <xf numFmtId="0" fontId="11" fillId="0" borderId="31" xfId="66" applyFont="1" applyBorder="1" applyAlignment="1">
      <alignment wrapText="1"/>
      <protection/>
    </xf>
    <xf numFmtId="3" fontId="5" fillId="0" borderId="31" xfId="0" applyNumberFormat="1" applyFont="1" applyBorder="1" applyAlignment="1">
      <alignment/>
    </xf>
    <xf numFmtId="3" fontId="11" fillId="0" borderId="19" xfId="66" applyNumberFormat="1" applyFont="1" applyBorder="1">
      <alignment/>
      <protection/>
    </xf>
    <xf numFmtId="3" fontId="11" fillId="0" borderId="20" xfId="66" applyNumberFormat="1" applyFont="1" applyBorder="1" applyAlignment="1">
      <alignment horizontal="right"/>
      <protection/>
    </xf>
    <xf numFmtId="3" fontId="11" fillId="0" borderId="19" xfId="66" applyNumberFormat="1" applyFont="1" applyBorder="1" applyAlignment="1">
      <alignment horizontal="right"/>
      <protection/>
    </xf>
    <xf numFmtId="3" fontId="26" fillId="0" borderId="33" xfId="66" applyNumberFormat="1" applyFont="1" applyBorder="1">
      <alignment/>
      <protection/>
    </xf>
    <xf numFmtId="0" fontId="11" fillId="0" borderId="31" xfId="66" applyFont="1" applyBorder="1" applyAlignment="1">
      <alignment horizontal="left" wrapText="1"/>
      <protection/>
    </xf>
    <xf numFmtId="3" fontId="5" fillId="0" borderId="31" xfId="0" applyNumberFormat="1" applyFont="1" applyBorder="1" applyAlignment="1">
      <alignment vertical="center"/>
    </xf>
    <xf numFmtId="3" fontId="11" fillId="0" borderId="34" xfId="66" applyNumberFormat="1" applyFont="1" applyBorder="1" applyAlignment="1">
      <alignment vertical="center"/>
      <protection/>
    </xf>
    <xf numFmtId="3" fontId="11" fillId="0" borderId="43" xfId="66" applyNumberFormat="1" applyFont="1" applyBorder="1" applyAlignment="1">
      <alignment vertical="center"/>
      <protection/>
    </xf>
    <xf numFmtId="3" fontId="26" fillId="0" borderId="33" xfId="66" applyNumberFormat="1" applyFont="1" applyBorder="1" applyAlignment="1">
      <alignment vertical="center"/>
      <protection/>
    </xf>
    <xf numFmtId="3" fontId="27" fillId="0" borderId="48" xfId="66" applyNumberFormat="1" applyFont="1" applyBorder="1" applyAlignment="1">
      <alignment vertical="center"/>
      <protection/>
    </xf>
    <xf numFmtId="3" fontId="11" fillId="0" borderId="20" xfId="66" applyNumberFormat="1" applyFont="1" applyBorder="1" applyAlignment="1">
      <alignment vertical="center"/>
      <protection/>
    </xf>
    <xf numFmtId="3" fontId="11" fillId="0" borderId="19" xfId="66" applyNumberFormat="1" applyFont="1" applyBorder="1" applyAlignment="1">
      <alignment vertical="center"/>
      <protection/>
    </xf>
    <xf numFmtId="3" fontId="11" fillId="0" borderId="20" xfId="66" applyNumberFormat="1" applyFont="1" applyBorder="1" applyAlignment="1">
      <alignment horizontal="right" vertical="center"/>
      <protection/>
    </xf>
    <xf numFmtId="3" fontId="11" fillId="0" borderId="19" xfId="66" applyNumberFormat="1" applyFont="1" applyBorder="1" applyAlignment="1">
      <alignment horizontal="right" vertical="center"/>
      <protection/>
    </xf>
    <xf numFmtId="3" fontId="9" fillId="0" borderId="33" xfId="66" applyNumberFormat="1" applyFont="1" applyBorder="1" applyAlignment="1">
      <alignment horizontal="right" vertical="center"/>
      <protection/>
    </xf>
    <xf numFmtId="0" fontId="11" fillId="0" borderId="31" xfId="66" applyFont="1" applyBorder="1" applyAlignment="1">
      <alignment horizontal="left" vertical="center" wrapText="1"/>
      <protection/>
    </xf>
    <xf numFmtId="0" fontId="82" fillId="0" borderId="31" xfId="0" applyFont="1" applyBorder="1" applyAlignment="1">
      <alignment horizontal="center" vertical="center"/>
    </xf>
    <xf numFmtId="3" fontId="11" fillId="0" borderId="39" xfId="66" applyNumberFormat="1" applyFont="1" applyBorder="1">
      <alignment/>
      <protection/>
    </xf>
    <xf numFmtId="3" fontId="11" fillId="0" borderId="42" xfId="66" applyNumberFormat="1" applyFont="1" applyBorder="1">
      <alignment/>
      <protection/>
    </xf>
    <xf numFmtId="3" fontId="9" fillId="0" borderId="14" xfId="66" applyNumberFormat="1" applyFont="1" applyBorder="1" applyAlignment="1">
      <alignment horizontal="right"/>
      <protection/>
    </xf>
    <xf numFmtId="0" fontId="11" fillId="0" borderId="41" xfId="66" applyFont="1" applyBorder="1" applyAlignment="1">
      <alignment horizontal="left" wrapText="1"/>
      <protection/>
    </xf>
    <xf numFmtId="0" fontId="11" fillId="0" borderId="42" xfId="66" applyFont="1" applyBorder="1" applyAlignment="1" quotePrefix="1">
      <alignment horizontal="center" vertical="center" wrapText="1"/>
      <protection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/>
      <protection/>
    </xf>
    <xf numFmtId="0" fontId="26" fillId="0" borderId="0" xfId="66" applyFont="1" applyAlignment="1">
      <alignment horizontal="center"/>
      <protection/>
    </xf>
    <xf numFmtId="41" fontId="4" fillId="0" borderId="25" xfId="66" applyNumberFormat="1" applyFont="1" applyBorder="1" applyAlignment="1">
      <alignment horizontal="right"/>
      <protection/>
    </xf>
    <xf numFmtId="0" fontId="4" fillId="0" borderId="25" xfId="66" applyFont="1" applyBorder="1">
      <alignment/>
      <protection/>
    </xf>
    <xf numFmtId="41" fontId="8" fillId="0" borderId="49" xfId="66" applyNumberFormat="1" applyFont="1" applyBorder="1" applyAlignment="1">
      <alignment horizontal="right"/>
      <protection/>
    </xf>
    <xf numFmtId="41" fontId="8" fillId="0" borderId="22" xfId="66" applyNumberFormat="1" applyFont="1" applyBorder="1" applyAlignment="1">
      <alignment horizontal="right"/>
      <protection/>
    </xf>
    <xf numFmtId="41" fontId="8" fillId="0" borderId="50" xfId="66" applyNumberFormat="1" applyFont="1" applyBorder="1" applyAlignment="1">
      <alignment horizontal="right"/>
      <protection/>
    </xf>
    <xf numFmtId="41" fontId="8" fillId="0" borderId="32" xfId="66" applyNumberFormat="1" applyFont="1" applyBorder="1" applyAlignment="1">
      <alignment horizontal="right"/>
      <protection/>
    </xf>
    <xf numFmtId="0" fontId="8" fillId="0" borderId="51" xfId="66" applyFont="1" applyBorder="1" applyAlignment="1">
      <alignment horizontal="left" wrapText="1"/>
      <protection/>
    </xf>
    <xf numFmtId="0" fontId="8" fillId="0" borderId="31" xfId="66" applyFont="1" applyBorder="1" applyAlignment="1" quotePrefix="1">
      <alignment horizontal="center" vertical="center" wrapText="1"/>
      <protection/>
    </xf>
    <xf numFmtId="41" fontId="8" fillId="0" borderId="31" xfId="66" applyNumberFormat="1" applyFont="1" applyBorder="1" applyAlignment="1">
      <alignment horizontal="right"/>
      <protection/>
    </xf>
    <xf numFmtId="41" fontId="8" fillId="0" borderId="48" xfId="66" applyNumberFormat="1" applyFont="1" applyBorder="1" applyAlignment="1">
      <alignment horizontal="right"/>
      <protection/>
    </xf>
    <xf numFmtId="41" fontId="8" fillId="0" borderId="20" xfId="66" applyNumberFormat="1" applyFont="1" applyBorder="1" applyAlignment="1">
      <alignment horizontal="right"/>
      <protection/>
    </xf>
    <xf numFmtId="41" fontId="8" fillId="0" borderId="44" xfId="66" applyNumberFormat="1" applyFont="1" applyBorder="1" applyAlignment="1">
      <alignment horizontal="right"/>
      <protection/>
    </xf>
    <xf numFmtId="0" fontId="8" fillId="0" borderId="34" xfId="66" applyFont="1" applyBorder="1" applyAlignment="1">
      <alignment wrapText="1"/>
      <protection/>
    </xf>
    <xf numFmtId="41" fontId="8" fillId="0" borderId="52" xfId="66" applyNumberFormat="1" applyFont="1" applyBorder="1" applyAlignment="1">
      <alignment horizontal="right"/>
      <protection/>
    </xf>
    <xf numFmtId="41" fontId="8" fillId="0" borderId="24" xfId="66" applyNumberFormat="1" applyFont="1" applyBorder="1" applyAlignment="1">
      <alignment horizontal="right"/>
      <protection/>
    </xf>
    <xf numFmtId="41" fontId="8" fillId="0" borderId="53" xfId="66" applyNumberFormat="1" applyFont="1" applyBorder="1" applyAlignment="1">
      <alignment horizontal="right"/>
      <protection/>
    </xf>
    <xf numFmtId="41" fontId="8" fillId="0" borderId="41" xfId="66" applyNumberFormat="1" applyFont="1" applyBorder="1" applyAlignment="1">
      <alignment horizontal="right"/>
      <protection/>
    </xf>
    <xf numFmtId="0" fontId="8" fillId="0" borderId="41" xfId="66" applyFont="1" applyBorder="1" applyAlignment="1" quotePrefix="1">
      <alignment horizontal="center" vertical="center" wrapText="1"/>
      <protection/>
    </xf>
    <xf numFmtId="3" fontId="4" fillId="0" borderId="0" xfId="0" applyNumberFormat="1" applyFont="1" applyAlignment="1">
      <alignment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 quotePrefix="1">
      <alignment/>
    </xf>
    <xf numFmtId="16" fontId="8" fillId="0" borderId="0" xfId="0" applyNumberFormat="1" applyFont="1" applyAlignment="1" quotePrefix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168" fontId="16" fillId="0" borderId="0" xfId="42" applyNumberFormat="1" applyFont="1" applyAlignment="1">
      <alignment/>
    </xf>
    <xf numFmtId="168" fontId="43" fillId="0" borderId="23" xfId="60" applyNumberFormat="1" applyFont="1" applyBorder="1" applyAlignment="1">
      <alignment/>
      <protection/>
    </xf>
    <xf numFmtId="0" fontId="43" fillId="0" borderId="23" xfId="60" applyFont="1" applyBorder="1">
      <alignment/>
      <protection/>
    </xf>
    <xf numFmtId="0" fontId="43" fillId="0" borderId="23" xfId="60" applyFont="1" applyBorder="1" applyAlignment="1">
      <alignment horizontal="right"/>
      <protection/>
    </xf>
    <xf numFmtId="168" fontId="43" fillId="0" borderId="20" xfId="42" applyNumberFormat="1" applyFont="1" applyBorder="1" applyAlignment="1">
      <alignment/>
    </xf>
    <xf numFmtId="0" fontId="43" fillId="0" borderId="20" xfId="59" applyFont="1" applyBorder="1" applyAlignment="1">
      <alignment/>
      <protection/>
    </xf>
    <xf numFmtId="0" fontId="44" fillId="0" borderId="20" xfId="59" applyFont="1" applyBorder="1" applyAlignment="1">
      <alignment horizontal="right"/>
      <protection/>
    </xf>
    <xf numFmtId="168" fontId="44" fillId="0" borderId="20" xfId="42" applyNumberFormat="1" applyFont="1" applyBorder="1" applyAlignment="1">
      <alignment/>
    </xf>
    <xf numFmtId="0" fontId="45" fillId="0" borderId="20" xfId="0" applyFont="1" applyBorder="1" applyAlignment="1">
      <alignment/>
    </xf>
    <xf numFmtId="0" fontId="43" fillId="0" borderId="0" xfId="60" applyFont="1" applyBorder="1" applyAlignment="1">
      <alignment horizontal="center"/>
      <protection/>
    </xf>
    <xf numFmtId="168" fontId="44" fillId="0" borderId="0" xfId="42" applyNumberFormat="1" applyFont="1" applyAlignment="1">
      <alignment/>
    </xf>
    <xf numFmtId="0" fontId="44" fillId="0" borderId="0" xfId="59" applyFont="1">
      <alignment/>
      <protection/>
    </xf>
    <xf numFmtId="168" fontId="43" fillId="0" borderId="0" xfId="42" applyNumberFormat="1" applyFont="1" applyBorder="1" applyAlignment="1">
      <alignment/>
    </xf>
    <xf numFmtId="0" fontId="43" fillId="0" borderId="0" xfId="59" applyFont="1" applyBorder="1">
      <alignment/>
      <protection/>
    </xf>
    <xf numFmtId="0" fontId="43" fillId="0" borderId="0" xfId="59" applyFont="1" applyBorder="1" applyAlignment="1">
      <alignment horizontal="right"/>
      <protection/>
    </xf>
    <xf numFmtId="168" fontId="43" fillId="0" borderId="23" xfId="42" applyNumberFormat="1" applyFont="1" applyBorder="1" applyAlignment="1">
      <alignment/>
    </xf>
    <xf numFmtId="0" fontId="43" fillId="0" borderId="23" xfId="59" applyFont="1" applyBorder="1">
      <alignment/>
      <protection/>
    </xf>
    <xf numFmtId="0" fontId="43" fillId="0" borderId="23" xfId="59" applyFont="1" applyBorder="1" applyAlignment="1">
      <alignment horizontal="right"/>
      <protection/>
    </xf>
    <xf numFmtId="0" fontId="45" fillId="0" borderId="0" xfId="0" applyFont="1" applyAlignment="1" quotePrefix="1">
      <alignment/>
    </xf>
    <xf numFmtId="0" fontId="44" fillId="0" borderId="0" xfId="59" applyFont="1" applyAlignment="1">
      <alignment horizontal="right"/>
      <protection/>
    </xf>
    <xf numFmtId="0" fontId="44" fillId="0" borderId="0" xfId="0" applyFont="1" applyAlignment="1">
      <alignment wrapText="1"/>
    </xf>
    <xf numFmtId="0" fontId="44" fillId="0" borderId="0" xfId="59" applyFont="1" applyBorder="1" applyAlignment="1">
      <alignment wrapText="1"/>
      <protection/>
    </xf>
    <xf numFmtId="0" fontId="44" fillId="0" borderId="0" xfId="59" applyFont="1" applyAlignment="1">
      <alignment/>
      <protection/>
    </xf>
    <xf numFmtId="0" fontId="43" fillId="0" borderId="20" xfId="59" applyFont="1" applyBorder="1" applyAlignment="1">
      <alignment horizontal="right"/>
      <protection/>
    </xf>
    <xf numFmtId="0" fontId="44" fillId="0" borderId="0" xfId="0" applyFont="1" applyAlignment="1">
      <alignment/>
    </xf>
    <xf numFmtId="168" fontId="43" fillId="0" borderId="12" xfId="42" applyNumberFormat="1" applyFont="1" applyBorder="1" applyAlignment="1">
      <alignment horizontal="center"/>
    </xf>
    <xf numFmtId="0" fontId="43" fillId="0" borderId="12" xfId="59" applyFont="1" applyBorder="1" applyAlignment="1">
      <alignment horizontal="center"/>
      <protection/>
    </xf>
    <xf numFmtId="0" fontId="43" fillId="0" borderId="12" xfId="59" applyFont="1" applyBorder="1">
      <alignment/>
      <protection/>
    </xf>
    <xf numFmtId="168" fontId="43" fillId="0" borderId="11" xfId="42" applyNumberFormat="1" applyFont="1" applyBorder="1" applyAlignment="1">
      <alignment horizontal="center"/>
    </xf>
    <xf numFmtId="0" fontId="43" fillId="0" borderId="11" xfId="59" applyFont="1" applyBorder="1" applyAlignment="1">
      <alignment horizontal="center"/>
      <protection/>
    </xf>
    <xf numFmtId="0" fontId="43" fillId="0" borderId="11" xfId="59" applyFont="1" applyBorder="1">
      <alignment/>
      <protection/>
    </xf>
    <xf numFmtId="168" fontId="43" fillId="0" borderId="10" xfId="42" applyNumberFormat="1" applyFont="1" applyBorder="1" applyAlignment="1">
      <alignment horizontal="center"/>
    </xf>
    <xf numFmtId="0" fontId="43" fillId="0" borderId="10" xfId="59" applyFont="1" applyBorder="1" applyAlignment="1">
      <alignment horizontal="center"/>
      <protection/>
    </xf>
    <xf numFmtId="0" fontId="43" fillId="0" borderId="10" xfId="59" applyFont="1" applyBorder="1" applyAlignment="1">
      <alignment/>
      <protection/>
    </xf>
    <xf numFmtId="168" fontId="44" fillId="0" borderId="0" xfId="42" applyNumberFormat="1" applyFont="1" applyBorder="1" applyAlignment="1">
      <alignment/>
    </xf>
    <xf numFmtId="0" fontId="44" fillId="0" borderId="0" xfId="59" applyFont="1" applyBorder="1" applyAlignment="1">
      <alignment/>
      <protection/>
    </xf>
    <xf numFmtId="0" fontId="44" fillId="0" borderId="0" xfId="59" applyFont="1" applyBorder="1" applyAlignment="1">
      <alignment horizontal="right"/>
      <protection/>
    </xf>
    <xf numFmtId="0" fontId="45" fillId="0" borderId="0" xfId="0" applyFont="1" applyAlignment="1">
      <alignment/>
    </xf>
    <xf numFmtId="168" fontId="44" fillId="0" borderId="0" xfId="42" applyNumberFormat="1" applyFont="1" applyAlignment="1">
      <alignment/>
    </xf>
    <xf numFmtId="168" fontId="44" fillId="0" borderId="0" xfId="42" applyNumberFormat="1" applyFont="1" applyAlignment="1">
      <alignment horizontal="right"/>
    </xf>
    <xf numFmtId="0" fontId="43" fillId="0" borderId="0" xfId="59" applyFont="1" applyAlignment="1">
      <alignment/>
      <protection/>
    </xf>
    <xf numFmtId="0" fontId="46" fillId="0" borderId="0" xfId="0" applyFont="1" applyAlignment="1">
      <alignment/>
    </xf>
    <xf numFmtId="168" fontId="8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5" fillId="0" borderId="54" xfId="42" applyNumberFormat="1" applyFont="1" applyBorder="1" applyAlignment="1">
      <alignment/>
    </xf>
    <xf numFmtId="168" fontId="5" fillId="0" borderId="55" xfId="42" applyNumberFormat="1" applyFont="1" applyBorder="1" applyAlignment="1">
      <alignment/>
    </xf>
    <xf numFmtId="168" fontId="32" fillId="0" borderId="23" xfId="42" applyNumberFormat="1" applyFont="1" applyBorder="1" applyAlignment="1">
      <alignment/>
    </xf>
    <xf numFmtId="168" fontId="32" fillId="0" borderId="56" xfId="42" applyNumberFormat="1" applyFont="1" applyBorder="1" applyAlignment="1">
      <alignment/>
    </xf>
    <xf numFmtId="168" fontId="5" fillId="0" borderId="48" xfId="42" applyNumberFormat="1" applyFont="1" applyBorder="1" applyAlignment="1">
      <alignment/>
    </xf>
    <xf numFmtId="168" fontId="5" fillId="0" borderId="20" xfId="42" applyNumberFormat="1" applyFont="1" applyBorder="1" applyAlignment="1">
      <alignment/>
    </xf>
    <xf numFmtId="168" fontId="5" fillId="0" borderId="43" xfId="42" applyNumberFormat="1" applyFont="1" applyBorder="1" applyAlignment="1">
      <alignment/>
    </xf>
    <xf numFmtId="168" fontId="5" fillId="0" borderId="57" xfId="42" applyNumberFormat="1" applyFont="1" applyBorder="1" applyAlignment="1">
      <alignment/>
    </xf>
    <xf numFmtId="168" fontId="5" fillId="0" borderId="20" xfId="42" applyNumberFormat="1" applyFont="1" applyFill="1" applyBorder="1" applyAlignment="1">
      <alignment/>
    </xf>
    <xf numFmtId="168" fontId="5" fillId="0" borderId="43" xfId="42" applyNumberFormat="1" applyFont="1" applyFill="1" applyBorder="1" applyAlignment="1">
      <alignment/>
    </xf>
    <xf numFmtId="168" fontId="0" fillId="0" borderId="43" xfId="42" applyNumberFormat="1" applyFont="1" applyFill="1" applyBorder="1" applyAlignment="1">
      <alignment/>
    </xf>
    <xf numFmtId="168" fontId="0" fillId="0" borderId="20" xfId="42" applyNumberFormat="1" applyFont="1" applyFill="1" applyBorder="1" applyAlignment="1">
      <alignment/>
    </xf>
    <xf numFmtId="168" fontId="5" fillId="0" borderId="20" xfId="42" applyNumberFormat="1" applyFont="1" applyBorder="1" applyAlignment="1">
      <alignment/>
    </xf>
    <xf numFmtId="168" fontId="5" fillId="0" borderId="58" xfId="42" applyNumberFormat="1" applyFont="1" applyBorder="1" applyAlignment="1">
      <alignment/>
    </xf>
    <xf numFmtId="168" fontId="5" fillId="0" borderId="59" xfId="42" applyNumberFormat="1" applyFont="1" applyBorder="1" applyAlignment="1">
      <alignment/>
    </xf>
    <xf numFmtId="168" fontId="5" fillId="0" borderId="60" xfId="42" applyNumberFormat="1" applyFont="1" applyBorder="1" applyAlignment="1">
      <alignment/>
    </xf>
    <xf numFmtId="168" fontId="5" fillId="0" borderId="61" xfId="42" applyNumberFormat="1" applyFont="1" applyBorder="1" applyAlignment="1">
      <alignment/>
    </xf>
    <xf numFmtId="168" fontId="5" fillId="0" borderId="12" xfId="42" applyNumberFormat="1" applyFont="1" applyBorder="1" applyAlignment="1">
      <alignment/>
    </xf>
    <xf numFmtId="168" fontId="5" fillId="0" borderId="62" xfId="42" applyNumberFormat="1" applyFont="1" applyBorder="1" applyAlignment="1">
      <alignment/>
    </xf>
    <xf numFmtId="168" fontId="5" fillId="0" borderId="63" xfId="42" applyNumberFormat="1" applyFont="1" applyBorder="1" applyAlignment="1">
      <alignment/>
    </xf>
    <xf numFmtId="168" fontId="5" fillId="0" borderId="64" xfId="42" applyNumberFormat="1" applyFont="1" applyBorder="1" applyAlignment="1">
      <alignment/>
    </xf>
    <xf numFmtId="168" fontId="32" fillId="0" borderId="11" xfId="42" applyNumberFormat="1" applyFont="1" applyBorder="1" applyAlignment="1">
      <alignment horizontal="center"/>
    </xf>
    <xf numFmtId="168" fontId="5" fillId="0" borderId="59" xfId="42" applyNumberFormat="1" applyFont="1" applyBorder="1" applyAlignment="1">
      <alignment horizontal="center"/>
    </xf>
    <xf numFmtId="168" fontId="5" fillId="0" borderId="60" xfId="42" applyNumberFormat="1" applyFont="1" applyBorder="1" applyAlignment="1">
      <alignment horizontal="center"/>
    </xf>
    <xf numFmtId="168" fontId="5" fillId="0" borderId="61" xfId="42" applyNumberFormat="1" applyFont="1" applyBorder="1" applyAlignment="1">
      <alignment horizontal="center"/>
    </xf>
    <xf numFmtId="168" fontId="5" fillId="0" borderId="11" xfId="42" applyNumberFormat="1" applyFont="1" applyBorder="1" applyAlignment="1">
      <alignment horizontal="center"/>
    </xf>
    <xf numFmtId="168" fontId="5" fillId="0" borderId="10" xfId="42" applyNumberFormat="1" applyFont="1" applyBorder="1" applyAlignment="1">
      <alignment/>
    </xf>
    <xf numFmtId="168" fontId="5" fillId="0" borderId="65" xfId="42" applyNumberFormat="1" applyFont="1" applyBorder="1" applyAlignment="1">
      <alignment/>
    </xf>
    <xf numFmtId="168" fontId="5" fillId="0" borderId="66" xfId="42" applyNumberFormat="1" applyFont="1" applyBorder="1" applyAlignment="1">
      <alignment/>
    </xf>
    <xf numFmtId="168" fontId="32" fillId="0" borderId="66" xfId="42" applyNumberFormat="1" applyFont="1" applyBorder="1" applyAlignment="1">
      <alignment/>
    </xf>
    <xf numFmtId="168" fontId="32" fillId="0" borderId="65" xfId="42" applyNumberFormat="1" applyFont="1" applyBorder="1" applyAlignment="1">
      <alignment/>
    </xf>
    <xf numFmtId="168" fontId="32" fillId="0" borderId="67" xfId="42" applyNumberFormat="1" applyFont="1" applyBorder="1" applyAlignment="1">
      <alignment/>
    </xf>
    <xf numFmtId="168" fontId="32" fillId="0" borderId="10" xfId="42" applyNumberFormat="1" applyFont="1" applyBorder="1" applyAlignment="1">
      <alignment/>
    </xf>
    <xf numFmtId="168" fontId="5" fillId="0" borderId="0" xfId="42" applyNumberFormat="1" applyFont="1" applyAlignment="1">
      <alignment horizontal="center"/>
    </xf>
    <xf numFmtId="168" fontId="32" fillId="0" borderId="0" xfId="42" applyNumberFormat="1" applyFont="1" applyAlignment="1">
      <alignment/>
    </xf>
    <xf numFmtId="168" fontId="32" fillId="0" borderId="0" xfId="42" applyNumberFormat="1" applyFont="1" applyBorder="1" applyAlignment="1">
      <alignment/>
    </xf>
    <xf numFmtId="3" fontId="11" fillId="0" borderId="0" xfId="42" applyNumberFormat="1" applyFont="1" applyAlignment="1">
      <alignment/>
    </xf>
    <xf numFmtId="170" fontId="11" fillId="0" borderId="0" xfId="42" applyNumberFormat="1" applyFont="1" applyAlignment="1">
      <alignment/>
    </xf>
    <xf numFmtId="3" fontId="11" fillId="0" borderId="0" xfId="42" applyNumberFormat="1" applyFont="1" applyBorder="1" applyAlignment="1">
      <alignment/>
    </xf>
    <xf numFmtId="3" fontId="11" fillId="0" borderId="0" xfId="42" applyNumberFormat="1" applyFont="1" applyBorder="1" applyAlignment="1">
      <alignment horizontal="center"/>
    </xf>
    <xf numFmtId="3" fontId="27" fillId="0" borderId="0" xfId="42" applyNumberFormat="1" applyFont="1" applyAlignment="1">
      <alignment wrapText="1"/>
    </xf>
    <xf numFmtId="170" fontId="27" fillId="0" borderId="0" xfId="42" applyNumberFormat="1" applyFont="1" applyAlignment="1">
      <alignment wrapText="1"/>
    </xf>
    <xf numFmtId="3" fontId="9" fillId="0" borderId="0" xfId="42" applyNumberFormat="1" applyFont="1" applyAlignment="1">
      <alignment wrapText="1"/>
    </xf>
    <xf numFmtId="170" fontId="9" fillId="0" borderId="0" xfId="42" applyNumberFormat="1" applyFont="1" applyAlignment="1">
      <alignment wrapText="1"/>
    </xf>
    <xf numFmtId="3" fontId="27" fillId="0" borderId="0" xfId="42" applyNumberFormat="1" applyFont="1" applyAlignment="1">
      <alignment/>
    </xf>
    <xf numFmtId="170" fontId="27" fillId="0" borderId="0" xfId="42" applyNumberFormat="1" applyFont="1" applyAlignment="1">
      <alignment/>
    </xf>
    <xf numFmtId="3" fontId="11" fillId="0" borderId="0" xfId="42" applyNumberFormat="1" applyFont="1" applyAlignment="1">
      <alignment wrapText="1"/>
    </xf>
    <xf numFmtId="170" fontId="11" fillId="0" borderId="0" xfId="42" applyNumberFormat="1" applyFont="1" applyAlignment="1">
      <alignment wrapText="1"/>
    </xf>
    <xf numFmtId="3" fontId="9" fillId="0" borderId="0" xfId="42" applyNumberFormat="1" applyFont="1" applyAlignment="1">
      <alignment/>
    </xf>
    <xf numFmtId="170" fontId="9" fillId="0" borderId="0" xfId="42" applyNumberFormat="1" applyFont="1" applyAlignment="1">
      <alignment/>
    </xf>
    <xf numFmtId="3" fontId="26" fillId="0" borderId="0" xfId="42" applyNumberFormat="1" applyFont="1" applyAlignment="1">
      <alignment/>
    </xf>
    <xf numFmtId="170" fontId="26" fillId="0" borderId="0" xfId="42" applyNumberFormat="1" applyFont="1" applyAlignment="1">
      <alignment/>
    </xf>
    <xf numFmtId="3" fontId="9" fillId="0" borderId="0" xfId="42" applyNumberFormat="1" applyFont="1" applyBorder="1" applyAlignment="1">
      <alignment/>
    </xf>
    <xf numFmtId="170" fontId="9" fillId="0" borderId="0" xfId="42" applyNumberFormat="1" applyFont="1" applyBorder="1" applyAlignment="1">
      <alignment/>
    </xf>
    <xf numFmtId="170" fontId="11" fillId="0" borderId="0" xfId="42" applyNumberFormat="1" applyFont="1" applyBorder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42" applyNumberFormat="1" applyFont="1" applyBorder="1" applyAlignment="1">
      <alignment horizontal="center"/>
    </xf>
    <xf numFmtId="170" fontId="11" fillId="0" borderId="0" xfId="42" applyNumberFormat="1" applyFont="1" applyBorder="1" applyAlignment="1">
      <alignment horizontal="center"/>
    </xf>
    <xf numFmtId="170" fontId="11" fillId="0" borderId="0" xfId="0" applyNumberFormat="1" applyFont="1" applyAlignment="1">
      <alignment/>
    </xf>
    <xf numFmtId="170" fontId="11" fillId="0" borderId="0" xfId="42" applyNumberFormat="1" applyFont="1" applyAlignment="1">
      <alignment/>
    </xf>
    <xf numFmtId="170" fontId="9" fillId="0" borderId="0" xfId="42" applyNumberFormat="1" applyFont="1" applyAlignment="1">
      <alignment/>
    </xf>
    <xf numFmtId="170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8" fillId="0" borderId="0" xfId="64" applyFont="1" applyAlignment="1">
      <alignment horizontal="right" vertical="top"/>
      <protection/>
    </xf>
    <xf numFmtId="0" fontId="5" fillId="0" borderId="0" xfId="0" applyFont="1" applyAlignment="1">
      <alignment horizontal="right"/>
    </xf>
    <xf numFmtId="0" fontId="4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9" fillId="0" borderId="0" xfId="62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62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11" fillId="0" borderId="0" xfId="59" applyFont="1" applyBorder="1" applyAlignment="1">
      <alignment horizontal="left" vertical="center"/>
      <protection/>
    </xf>
    <xf numFmtId="0" fontId="11" fillId="0" borderId="13" xfId="0" applyFont="1" applyBorder="1" applyAlignment="1" quotePrefix="1">
      <alignment horizontal="center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/>
    </xf>
    <xf numFmtId="0" fontId="11" fillId="0" borderId="15" xfId="59" applyFont="1" applyBorder="1" applyAlignment="1">
      <alignment horizontal="center" vertical="center"/>
      <protection/>
    </xf>
    <xf numFmtId="0" fontId="11" fillId="0" borderId="68" xfId="59" applyFont="1" applyBorder="1" applyAlignment="1">
      <alignment horizontal="center" vertical="center"/>
      <protection/>
    </xf>
    <xf numFmtId="0" fontId="11" fillId="0" borderId="69" xfId="59" applyFont="1" applyBorder="1" applyAlignment="1">
      <alignment horizontal="center" vertical="center"/>
      <protection/>
    </xf>
    <xf numFmtId="0" fontId="11" fillId="0" borderId="16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70" xfId="59" applyFont="1" applyBorder="1" applyAlignment="1">
      <alignment horizontal="center" vertical="center"/>
      <protection/>
    </xf>
    <xf numFmtId="0" fontId="11" fillId="0" borderId="17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71" xfId="59" applyFont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9" fillId="0" borderId="0" xfId="59" applyFont="1" applyAlignment="1">
      <alignment horizontal="center"/>
      <protection/>
    </xf>
    <xf numFmtId="0" fontId="11" fillId="0" borderId="13" xfId="59" applyFont="1" applyBorder="1" applyAlignment="1">
      <alignment horizontal="right"/>
      <protection/>
    </xf>
    <xf numFmtId="0" fontId="26" fillId="0" borderId="0" xfId="0" applyFont="1" applyAlignment="1">
      <alignment horizontal="left" wrapText="1"/>
    </xf>
    <xf numFmtId="0" fontId="11" fillId="0" borderId="0" xfId="59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0" xfId="64" applyFont="1" applyAlignment="1">
      <alignment horizontal="right"/>
      <protection/>
    </xf>
    <xf numFmtId="0" fontId="42" fillId="0" borderId="10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center" vertical="center" textRotation="255"/>
    </xf>
    <xf numFmtId="0" fontId="4" fillId="0" borderId="0" xfId="66" applyFont="1" applyAlignment="1">
      <alignment horizontal="center"/>
      <protection/>
    </xf>
    <xf numFmtId="0" fontId="4" fillId="0" borderId="0" xfId="66" applyFont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8" fillId="0" borderId="10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0" xfId="66" applyFont="1" applyBorder="1" applyAlignment="1">
      <alignment horizontal="center" vertical="center"/>
      <protection/>
    </xf>
    <xf numFmtId="0" fontId="8" fillId="0" borderId="11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/>
      <protection/>
    </xf>
    <xf numFmtId="0" fontId="8" fillId="0" borderId="29" xfId="59" applyFont="1" applyBorder="1" applyAlignment="1">
      <alignment horizontal="center"/>
      <protection/>
    </xf>
    <xf numFmtId="0" fontId="8" fillId="0" borderId="28" xfId="59" applyFont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9" fillId="0" borderId="0" xfId="66" applyFont="1" applyAlignment="1">
      <alignment horizontal="center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5" xfId="66" applyFont="1" applyBorder="1" applyAlignment="1">
      <alignment horizontal="center" vertical="center"/>
      <protection/>
    </xf>
    <xf numFmtId="0" fontId="11" fillId="0" borderId="16" xfId="66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7" xfId="59" applyFont="1" applyBorder="1" applyAlignment="1">
      <alignment horizontal="center" vertical="center" wrapText="1"/>
      <protection/>
    </xf>
    <xf numFmtId="0" fontId="11" fillId="0" borderId="25" xfId="59" applyFont="1" applyBorder="1" applyAlignment="1">
      <alignment horizontal="center"/>
      <protection/>
    </xf>
    <xf numFmtId="0" fontId="11" fillId="0" borderId="29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 vertical="center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/>
      <protection/>
    </xf>
    <xf numFmtId="0" fontId="11" fillId="0" borderId="29" xfId="59" applyFont="1" applyBorder="1" applyAlignment="1">
      <alignment horizontal="center" wrapText="1"/>
      <protection/>
    </xf>
    <xf numFmtId="0" fontId="36" fillId="0" borderId="10" xfId="59" applyFont="1" applyBorder="1" applyAlignment="1">
      <alignment horizontal="center" vertical="center" wrapText="1"/>
      <protection/>
    </xf>
    <xf numFmtId="0" fontId="36" fillId="0" borderId="11" xfId="59" applyFont="1" applyBorder="1" applyAlignment="1">
      <alignment horizontal="center" vertical="center" wrapText="1"/>
      <protection/>
    </xf>
    <xf numFmtId="0" fontId="36" fillId="0" borderId="12" xfId="59" applyFont="1" applyBorder="1" applyAlignment="1">
      <alignment horizontal="center" vertical="center" wrapText="1"/>
      <protection/>
    </xf>
    <xf numFmtId="0" fontId="11" fillId="0" borderId="69" xfId="59" applyFont="1" applyBorder="1" applyAlignment="1">
      <alignment horizontal="center" vertical="center" wrapText="1"/>
      <protection/>
    </xf>
    <xf numFmtId="0" fontId="11" fillId="0" borderId="70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36" fillId="0" borderId="11" xfId="63" applyFont="1" applyBorder="1" applyAlignment="1">
      <alignment horizontal="center" vertical="center" wrapText="1"/>
      <protection/>
    </xf>
    <xf numFmtId="0" fontId="36" fillId="0" borderId="12" xfId="63" applyFont="1" applyBorder="1" applyAlignment="1">
      <alignment horizontal="center" vertical="center" wrapText="1"/>
      <protection/>
    </xf>
    <xf numFmtId="0" fontId="11" fillId="0" borderId="0" xfId="66" applyFont="1" applyAlignment="1">
      <alignment horizontal="right"/>
      <protection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6" fillId="0" borderId="15" xfId="59" applyFont="1" applyBorder="1" applyAlignment="1">
      <alignment horizontal="center" vertical="center" wrapText="1"/>
      <protection/>
    </xf>
    <xf numFmtId="0" fontId="36" fillId="0" borderId="16" xfId="59" applyFont="1" applyBorder="1" applyAlignment="1">
      <alignment horizontal="center" vertical="center" wrapText="1"/>
      <protection/>
    </xf>
    <xf numFmtId="0" fontId="36" fillId="0" borderId="17" xfId="5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11" fillId="0" borderId="25" xfId="71" applyFont="1" applyBorder="1" applyAlignment="1">
      <alignment horizontal="center"/>
    </xf>
    <xf numFmtId="44" fontId="11" fillId="0" borderId="29" xfId="71" applyFont="1" applyBorder="1" applyAlignment="1">
      <alignment horizontal="center"/>
    </xf>
    <xf numFmtId="44" fontId="11" fillId="0" borderId="28" xfId="71" applyFont="1" applyBorder="1" applyAlignment="1">
      <alignment horizontal="center"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0" xfId="67" applyNumberFormat="1" applyFont="1" applyBorder="1" applyAlignment="1">
      <alignment horizontal="center" vertical="center"/>
      <protection/>
    </xf>
    <xf numFmtId="49" fontId="9" fillId="0" borderId="11" xfId="67" applyNumberFormat="1" applyFont="1" applyBorder="1" applyAlignment="1">
      <alignment horizontal="center" vertical="center"/>
      <protection/>
    </xf>
    <xf numFmtId="49" fontId="9" fillId="0" borderId="12" xfId="67" applyNumberFormat="1" applyFont="1" applyBorder="1" applyAlignment="1">
      <alignment horizontal="center" vertical="center"/>
      <protection/>
    </xf>
    <xf numFmtId="0" fontId="14" fillId="0" borderId="10" xfId="67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7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7" applyFont="1" applyAlignment="1">
      <alignment horizontal="right"/>
      <protection/>
    </xf>
    <xf numFmtId="0" fontId="14" fillId="0" borderId="0" xfId="67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3" fillId="0" borderId="0" xfId="60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59" applyFont="1" applyAlignment="1">
      <alignment horizontal="right"/>
      <protection/>
    </xf>
    <xf numFmtId="0" fontId="44" fillId="0" borderId="0" xfId="0" applyFont="1" applyAlignment="1">
      <alignment horizontal="right"/>
    </xf>
    <xf numFmtId="0" fontId="44" fillId="0" borderId="0" xfId="59" applyFont="1" applyAlignment="1">
      <alignment horizontal="right"/>
      <protection/>
    </xf>
    <xf numFmtId="0" fontId="43" fillId="0" borderId="68" xfId="59" applyFont="1" applyBorder="1" applyAlignment="1">
      <alignment horizontal="center"/>
      <protection/>
    </xf>
    <xf numFmtId="0" fontId="44" fillId="0" borderId="0" xfId="59" applyFont="1" applyBorder="1" applyAlignment="1">
      <alignment horizontal="center"/>
      <protection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14" fillId="0" borderId="0" xfId="58" applyFont="1" applyAlignment="1">
      <alignment horizontal="center"/>
      <protection/>
    </xf>
    <xf numFmtId="0" fontId="16" fillId="0" borderId="0" xfId="57" applyFont="1" applyAlignment="1">
      <alignment horizontal="right"/>
      <protection/>
    </xf>
    <xf numFmtId="0" fontId="8" fillId="0" borderId="0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8" fontId="8" fillId="0" borderId="60" xfId="40" applyNumberFormat="1" applyFont="1" applyBorder="1" applyAlignment="1">
      <alignment horizontal="center"/>
    </xf>
    <xf numFmtId="168" fontId="8" fillId="0" borderId="15" xfId="40" applyNumberFormat="1" applyFont="1" applyBorder="1" applyAlignment="1">
      <alignment horizontal="center"/>
    </xf>
    <xf numFmtId="168" fontId="8" fillId="0" borderId="69" xfId="40" applyNumberFormat="1" applyFont="1" applyBorder="1" applyAlignment="1">
      <alignment horizontal="center"/>
    </xf>
    <xf numFmtId="168" fontId="8" fillId="0" borderId="17" xfId="40" applyNumberFormat="1" applyFont="1" applyBorder="1" applyAlignment="1">
      <alignment horizontal="center"/>
    </xf>
    <xf numFmtId="168" fontId="8" fillId="0" borderId="71" xfId="40" applyNumberFormat="1" applyFont="1" applyBorder="1" applyAlignment="1">
      <alignment horizontal="center"/>
    </xf>
    <xf numFmtId="168" fontId="4" fillId="0" borderId="15" xfId="40" applyNumberFormat="1" applyFont="1" applyBorder="1" applyAlignment="1">
      <alignment horizontal="center"/>
    </xf>
    <xf numFmtId="168" fontId="4" fillId="0" borderId="69" xfId="40" applyNumberFormat="1" applyFont="1" applyBorder="1" applyAlignment="1">
      <alignment horizontal="center"/>
    </xf>
    <xf numFmtId="168" fontId="4" fillId="0" borderId="17" xfId="40" applyNumberFormat="1" applyFont="1" applyBorder="1" applyAlignment="1">
      <alignment horizontal="center"/>
    </xf>
    <xf numFmtId="168" fontId="4" fillId="0" borderId="71" xfId="40" applyNumberFormat="1" applyFont="1" applyBorder="1" applyAlignment="1">
      <alignment horizontal="center"/>
    </xf>
    <xf numFmtId="168" fontId="8" fillId="0" borderId="72" xfId="40" applyNumberFormat="1" applyFont="1" applyBorder="1" applyAlignment="1">
      <alignment horizontal="center"/>
    </xf>
    <xf numFmtId="168" fontId="8" fillId="0" borderId="73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0" fontId="31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168" fontId="8" fillId="0" borderId="20" xfId="40" applyNumberFormat="1" applyFont="1" applyBorder="1" applyAlignment="1">
      <alignment horizontal="center"/>
    </xf>
    <xf numFmtId="0" fontId="8" fillId="0" borderId="7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wrapText="1"/>
    </xf>
    <xf numFmtId="0" fontId="31" fillId="0" borderId="60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168" fontId="8" fillId="0" borderId="22" xfId="40" applyNumberFormat="1" applyFont="1" applyBorder="1" applyAlignment="1">
      <alignment horizontal="center"/>
    </xf>
    <xf numFmtId="168" fontId="8" fillId="0" borderId="24" xfId="4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7" fillId="0" borderId="76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46" xfId="0" applyFont="1" applyBorder="1" applyAlignment="1">
      <alignment vertical="top" wrapText="1"/>
    </xf>
    <xf numFmtId="41" fontId="39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41" fontId="0" fillId="0" borderId="27" xfId="0" applyNumberFormat="1" applyBorder="1" applyAlignment="1">
      <alignment horizontal="center"/>
    </xf>
    <xf numFmtId="41" fontId="39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68" xfId="0" applyNumberFormat="1" applyBorder="1" applyAlignment="1">
      <alignment horizontal="center"/>
    </xf>
    <xf numFmtId="41" fontId="38" fillId="0" borderId="27" xfId="0" applyNumberFormat="1" applyFont="1" applyBorder="1" applyAlignment="1">
      <alignment horizontal="center"/>
    </xf>
    <xf numFmtId="0" fontId="37" fillId="0" borderId="7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77" xfId="0" applyBorder="1" applyAlignment="1">
      <alignment horizontal="center" wrapText="1"/>
    </xf>
    <xf numFmtId="0" fontId="37" fillId="0" borderId="77" xfId="0" applyFont="1" applyBorder="1" applyAlignment="1">
      <alignment horizontal="center" vertical="center" wrapText="1"/>
    </xf>
    <xf numFmtId="0" fontId="37" fillId="0" borderId="78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4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66" applyFont="1" applyBorder="1" applyAlignment="1">
      <alignment horizontal="center"/>
      <protection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wrapText="1"/>
    </xf>
    <xf numFmtId="3" fontId="37" fillId="0" borderId="0" xfId="0" applyNumberFormat="1" applyFont="1" applyBorder="1" applyAlignment="1">
      <alignment horizontal="right" vertical="center" wrapText="1"/>
    </xf>
    <xf numFmtId="14" fontId="0" fillId="0" borderId="0" xfId="0" applyNumberFormat="1" applyAlignment="1" quotePrefix="1">
      <alignment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Munka1 2" xfId="61"/>
    <cellStyle name="Normál_Munka2 2" xfId="62"/>
    <cellStyle name="Normál_Munka3" xfId="63"/>
    <cellStyle name="Normál_Munka3 2" xfId="64"/>
    <cellStyle name="Normál_PHKV99" xfId="65"/>
    <cellStyle name="Normál_PHKV99 2" xfId="66"/>
    <cellStyle name="Normál_PHKV99_P.2015. évi költségvetés - mellékletek" xfId="67"/>
    <cellStyle name="Összesen" xfId="68"/>
    <cellStyle name="Currency" xfId="69"/>
    <cellStyle name="Currency [0]" xfId="70"/>
    <cellStyle name="Pénznem 2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'2018.%20(IX.26.)%20&#246;r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Mérleg"/>
      <sheetName val="Bevételek"/>
      <sheetName val="Köt.önként v. bevétel "/>
      <sheetName val="Korm.funkciók"/>
      <sheetName val="Köt. önként v. kiadás"/>
      <sheetName val="6.támog."/>
      <sheetName val="7.közgazd. mérleg"/>
      <sheetName val="8.előirányzat felh.ü."/>
      <sheetName val="Munka1"/>
    </sheetNames>
    <sheetDataSet>
      <sheetData sheetId="2">
        <row r="44">
          <cell r="H44">
            <v>14920033</v>
          </cell>
        </row>
        <row r="55">
          <cell r="H55">
            <v>2083786</v>
          </cell>
        </row>
        <row r="60">
          <cell r="H60">
            <v>5697553</v>
          </cell>
        </row>
        <row r="64">
          <cell r="H64">
            <v>34532111</v>
          </cell>
        </row>
        <row r="65">
          <cell r="H65">
            <v>40229664</v>
          </cell>
        </row>
        <row r="76">
          <cell r="H76">
            <v>1320000</v>
          </cell>
        </row>
        <row r="84">
          <cell r="H84">
            <v>11115714</v>
          </cell>
        </row>
        <row r="89">
          <cell r="H89">
            <v>0</v>
          </cell>
        </row>
        <row r="98">
          <cell r="H98">
            <v>15669230</v>
          </cell>
        </row>
        <row r="100">
          <cell r="H100">
            <v>15669230</v>
          </cell>
        </row>
      </sheetData>
      <sheetData sheetId="4">
        <row r="32">
          <cell r="E32">
            <v>8602553</v>
          </cell>
          <cell r="F32">
            <v>1641716</v>
          </cell>
          <cell r="G32">
            <v>16921625</v>
          </cell>
          <cell r="H32">
            <v>1472200</v>
          </cell>
          <cell r="I32">
            <v>11917199</v>
          </cell>
          <cell r="K32">
            <v>37156695</v>
          </cell>
          <cell r="L32">
            <v>7038155</v>
          </cell>
          <cell r="O32">
            <v>588284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view="pageBreakPreview" zoomScale="115" zoomScaleSheetLayoutView="115" zoomScalePageLayoutView="0" workbookViewId="0" topLeftCell="F1">
      <selection activeCell="T48" sqref="T48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5"/>
      <c r="O38" s="25"/>
      <c r="P38" s="25"/>
      <c r="Q38" s="25"/>
      <c r="R38" s="25"/>
      <c r="S38" s="25"/>
      <c r="T38" s="25"/>
      <c r="U38" s="25"/>
    </row>
    <row r="39" spans="9:21" ht="27.75">
      <c r="I39" s="5"/>
      <c r="J39" s="2"/>
      <c r="N39" s="442" t="s">
        <v>482</v>
      </c>
      <c r="O39" s="442"/>
      <c r="P39" s="442"/>
      <c r="Q39" s="442"/>
      <c r="R39" s="442"/>
      <c r="S39" s="442"/>
      <c r="T39" s="442"/>
      <c r="U39" s="442"/>
    </row>
    <row r="40" spans="9:21" ht="2.25" customHeight="1">
      <c r="I40" s="3"/>
      <c r="J40" s="2"/>
      <c r="N40" s="25"/>
      <c r="O40" s="26"/>
      <c r="P40" s="27"/>
      <c r="Q40" s="27"/>
      <c r="R40" s="27"/>
      <c r="S40" s="27"/>
      <c r="T40" s="27"/>
      <c r="U40" s="27"/>
    </row>
    <row r="41" spans="9:21" ht="27.75">
      <c r="I41" s="4"/>
      <c r="J41" s="2"/>
      <c r="N41" s="442" t="s">
        <v>455</v>
      </c>
      <c r="O41" s="442"/>
      <c r="P41" s="442"/>
      <c r="Q41" s="442"/>
      <c r="R41" s="442"/>
      <c r="S41" s="442"/>
      <c r="T41" s="442"/>
      <c r="U41" s="442"/>
    </row>
    <row r="42" spans="9:21" ht="12.75" customHeight="1" hidden="1">
      <c r="I42" s="3"/>
      <c r="J42" s="2"/>
      <c r="N42" s="25"/>
      <c r="O42" s="26"/>
      <c r="P42" s="27"/>
      <c r="Q42" s="27"/>
      <c r="R42" s="27"/>
      <c r="S42" s="27"/>
      <c r="T42" s="27"/>
      <c r="U42" s="27"/>
    </row>
    <row r="43" spans="9:21" ht="27.75">
      <c r="I43" s="4"/>
      <c r="J43" s="2"/>
      <c r="N43" s="442" t="s">
        <v>340</v>
      </c>
      <c r="O43" s="442"/>
      <c r="P43" s="442"/>
      <c r="Q43" s="442"/>
      <c r="R43" s="442"/>
      <c r="S43" s="442"/>
      <c r="T43" s="442"/>
      <c r="U43" s="442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4"/>
      <c r="O44" s="24"/>
      <c r="P44" s="24" t="s">
        <v>486</v>
      </c>
      <c r="Q44" s="24" t="s">
        <v>488</v>
      </c>
      <c r="R44" s="24"/>
      <c r="S44" s="24"/>
      <c r="T44" s="24"/>
      <c r="U44" s="24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4"/>
      <c r="P45" s="24" t="s">
        <v>487</v>
      </c>
      <c r="Q45" s="24" t="s">
        <v>489</v>
      </c>
      <c r="R45" s="24"/>
      <c r="S45" s="24"/>
      <c r="T45" s="24"/>
      <c r="U45" s="24"/>
    </row>
    <row r="46" spans="2:17" ht="27.75">
      <c r="B46" s="2"/>
      <c r="C46" s="2"/>
      <c r="D46" s="2"/>
      <c r="E46" s="2"/>
      <c r="F46" s="2"/>
      <c r="G46" s="2"/>
      <c r="H46" s="2"/>
      <c r="I46" s="2"/>
      <c r="J46" s="2"/>
      <c r="Q46" s="24" t="s">
        <v>498</v>
      </c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3">
    <mergeCell ref="N39:U39"/>
    <mergeCell ref="N41:U41"/>
    <mergeCell ref="N43:U4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25"/>
  <sheetViews>
    <sheetView view="pageBreakPreview" zoomScale="96" zoomScaleSheetLayoutView="96" zoomScalePageLayoutView="0" workbookViewId="0" topLeftCell="A1">
      <selection activeCell="L11" sqref="L11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5.75">
      <c r="A2" s="567"/>
      <c r="B2" s="567"/>
      <c r="C2" s="567"/>
    </row>
    <row r="3" spans="1:3" ht="15.75">
      <c r="A3" s="9"/>
      <c r="B3" s="9"/>
      <c r="C3" s="9"/>
    </row>
    <row r="4" spans="1:3" ht="15.75">
      <c r="A4" s="567" t="s">
        <v>497</v>
      </c>
      <c r="B4" s="567"/>
      <c r="C4" s="567"/>
    </row>
    <row r="5" spans="1:3" ht="12.75">
      <c r="A5" s="191"/>
      <c r="B5" s="191"/>
      <c r="C5" s="191"/>
    </row>
    <row r="6" spans="1:3" ht="15.75">
      <c r="A6" s="564" t="s">
        <v>7</v>
      </c>
      <c r="B6" s="564"/>
      <c r="C6" s="564"/>
    </row>
    <row r="7" spans="1:3" ht="15" customHeight="1">
      <c r="A7" s="564" t="s">
        <v>404</v>
      </c>
      <c r="B7" s="564"/>
      <c r="C7" s="564"/>
    </row>
    <row r="8" spans="1:3" ht="15.75">
      <c r="A8" s="564" t="s">
        <v>382</v>
      </c>
      <c r="B8" s="564"/>
      <c r="C8" s="564"/>
    </row>
    <row r="9" spans="1:3" ht="15.75">
      <c r="A9" s="9"/>
      <c r="B9" s="9"/>
      <c r="C9" s="9"/>
    </row>
    <row r="10" spans="1:3" ht="16.5" thickBot="1">
      <c r="A10" s="9"/>
      <c r="B10" s="9"/>
      <c r="C10" s="9"/>
    </row>
    <row r="11" spans="1:3" ht="47.25" customHeight="1" thickBot="1">
      <c r="A11" s="332" t="s">
        <v>395</v>
      </c>
      <c r="B11" s="331" t="s">
        <v>2</v>
      </c>
      <c r="C11" s="330" t="s">
        <v>496</v>
      </c>
    </row>
    <row r="12" spans="1:3" ht="15.75">
      <c r="A12" s="9"/>
      <c r="B12" s="9"/>
      <c r="C12" s="9"/>
    </row>
    <row r="13" spans="1:3" ht="15.75">
      <c r="A13" s="9"/>
      <c r="B13" s="9"/>
      <c r="C13" s="9"/>
    </row>
    <row r="14" spans="1:3" ht="15.75">
      <c r="A14" s="9" t="s">
        <v>17</v>
      </c>
      <c r="B14" s="14" t="s">
        <v>405</v>
      </c>
      <c r="C14" s="9"/>
    </row>
    <row r="15" spans="1:3" ht="15.75">
      <c r="A15" s="9"/>
      <c r="B15" s="9"/>
      <c r="C15" s="9"/>
    </row>
    <row r="16" spans="1:3" ht="15.75">
      <c r="A16" s="329" t="s">
        <v>410</v>
      </c>
      <c r="B16" s="9" t="s">
        <v>406</v>
      </c>
      <c r="C16" s="9"/>
    </row>
    <row r="17" spans="1:3" ht="29.25" customHeight="1">
      <c r="A17" s="328" t="s">
        <v>411</v>
      </c>
      <c r="B17" s="327" t="s">
        <v>470</v>
      </c>
      <c r="C17" s="9"/>
    </row>
    <row r="18" spans="1:3" ht="20.25" customHeight="1">
      <c r="A18" s="9" t="s">
        <v>407</v>
      </c>
      <c r="B18" s="326" t="s">
        <v>471</v>
      </c>
      <c r="C18" s="325">
        <f>5277956+263898</f>
        <v>5541854</v>
      </c>
    </row>
    <row r="19" spans="1:3" ht="17.25" customHeight="1">
      <c r="A19" s="9"/>
      <c r="B19" s="9" t="s">
        <v>408</v>
      </c>
      <c r="C19" s="324">
        <f>C18*0.27</f>
        <v>1496300.58</v>
      </c>
    </row>
    <row r="20" spans="1:3" ht="17.25" customHeight="1">
      <c r="A20" s="9"/>
      <c r="B20" s="14" t="s">
        <v>400</v>
      </c>
      <c r="C20" s="323">
        <f>C18+C19</f>
        <v>7038154.58</v>
      </c>
    </row>
    <row r="21" spans="1:3" ht="15.75">
      <c r="A21" s="9"/>
      <c r="B21" s="9"/>
      <c r="C21" s="9"/>
    </row>
    <row r="22" spans="1:3" ht="15.75">
      <c r="A22" s="9"/>
      <c r="B22" s="9"/>
      <c r="C22" s="9"/>
    </row>
    <row r="23" spans="1:3" ht="15" customHeight="1">
      <c r="A23" s="9"/>
      <c r="B23" s="14" t="s">
        <v>409</v>
      </c>
      <c r="C23" s="323">
        <f>C20</f>
        <v>7038154.58</v>
      </c>
    </row>
    <row r="24" spans="1:3" ht="12.75">
      <c r="A24" s="191"/>
      <c r="B24" s="191"/>
      <c r="C24" s="191"/>
    </row>
    <row r="25" spans="1:3" ht="12.75">
      <c r="A25" s="191"/>
      <c r="B25" s="191"/>
      <c r="C25" s="191"/>
    </row>
  </sheetData>
  <sheetProtection password="AF00" sheet="1"/>
  <mergeCells count="5">
    <mergeCell ref="A4:C4"/>
    <mergeCell ref="A6:C6"/>
    <mergeCell ref="A7:C7"/>
    <mergeCell ref="A8:C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C88"/>
  <sheetViews>
    <sheetView view="pageBreakPreview" zoomScale="98" zoomScaleSheetLayoutView="98" zoomScalePageLayoutView="0" workbookViewId="0" topLeftCell="A1">
      <selection activeCell="C78" sqref="C78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28"/>
      <c r="B2" s="28"/>
      <c r="C2" s="375"/>
    </row>
    <row r="3" spans="1:3" ht="15.75">
      <c r="A3" s="570"/>
      <c r="B3" s="571"/>
      <c r="C3" s="571"/>
    </row>
    <row r="4" spans="1:3" ht="15.75">
      <c r="A4" s="183"/>
      <c r="B4" s="344"/>
      <c r="C4" s="343"/>
    </row>
    <row r="5" spans="1:3" ht="7.5" customHeight="1">
      <c r="A5" s="572"/>
      <c r="B5" s="572"/>
      <c r="C5" s="572"/>
    </row>
    <row r="6" spans="1:3" ht="15.75">
      <c r="A6" s="570" t="s">
        <v>480</v>
      </c>
      <c r="B6" s="571"/>
      <c r="C6" s="571"/>
    </row>
    <row r="7" spans="1:3" ht="15.75">
      <c r="A7" s="569"/>
      <c r="B7" s="569"/>
      <c r="C7" s="569"/>
    </row>
    <row r="8" spans="1:3" ht="3" customHeight="1">
      <c r="A8" s="374"/>
      <c r="B8" s="373"/>
      <c r="C8" s="373"/>
    </row>
    <row r="9" spans="1:3" ht="6.75" customHeight="1">
      <c r="A9" s="374"/>
      <c r="B9" s="373"/>
      <c r="C9" s="373"/>
    </row>
    <row r="10" spans="1:3" ht="15.75">
      <c r="A10" s="569" t="s">
        <v>7</v>
      </c>
      <c r="B10" s="569"/>
      <c r="C10" s="569"/>
    </row>
    <row r="11" spans="1:3" ht="15.75">
      <c r="A11" s="569" t="s">
        <v>43</v>
      </c>
      <c r="B11" s="569"/>
      <c r="C11" s="569"/>
    </row>
    <row r="12" spans="1:3" ht="15.75">
      <c r="A12" s="569" t="s">
        <v>44</v>
      </c>
      <c r="B12" s="569"/>
      <c r="C12" s="569"/>
    </row>
    <row r="13" spans="1:3" ht="15.75">
      <c r="A13" s="569" t="s">
        <v>457</v>
      </c>
      <c r="B13" s="569"/>
      <c r="C13" s="569"/>
    </row>
    <row r="14" spans="1:3" ht="16.5" thickBot="1">
      <c r="A14" s="344"/>
      <c r="B14" s="344"/>
      <c r="C14" s="343"/>
    </row>
    <row r="15" spans="1:3" ht="15.75">
      <c r="A15" s="366" t="s">
        <v>15</v>
      </c>
      <c r="B15" s="365"/>
      <c r="C15" s="364" t="s">
        <v>0</v>
      </c>
    </row>
    <row r="16" spans="1:3" ht="15.75">
      <c r="A16" s="363"/>
      <c r="B16" s="362" t="s">
        <v>2</v>
      </c>
      <c r="C16" s="361"/>
    </row>
    <row r="17" spans="1:3" ht="16.5" thickBot="1">
      <c r="A17" s="360" t="s">
        <v>16</v>
      </c>
      <c r="B17" s="359"/>
      <c r="C17" s="358" t="s">
        <v>45</v>
      </c>
    </row>
    <row r="18" spans="1:3" ht="20.25" customHeight="1">
      <c r="A18" s="573" t="s">
        <v>46</v>
      </c>
      <c r="B18" s="573"/>
      <c r="C18" s="573"/>
    </row>
    <row r="19" spans="1:3" ht="22.5" customHeight="1">
      <c r="A19" s="369" t="s">
        <v>17</v>
      </c>
      <c r="B19" s="368" t="s">
        <v>47</v>
      </c>
      <c r="C19" s="367"/>
    </row>
    <row r="20" spans="1:3" ht="22.5" customHeight="1">
      <c r="A20" s="369"/>
      <c r="B20" s="357" t="s">
        <v>48</v>
      </c>
      <c r="C20" s="367">
        <f>'[1]Bevételek'!H44</f>
        <v>14920033</v>
      </c>
    </row>
    <row r="21" spans="1:3" ht="39.75" customHeight="1">
      <c r="A21" s="369"/>
      <c r="B21" s="353" t="s">
        <v>49</v>
      </c>
      <c r="C21" s="367">
        <f>'[1]Bevételek'!H55</f>
        <v>2083786</v>
      </c>
    </row>
    <row r="22" spans="1:3" ht="22.5" customHeight="1">
      <c r="A22" s="369" t="s">
        <v>18</v>
      </c>
      <c r="B22" s="368" t="s">
        <v>50</v>
      </c>
      <c r="C22" s="367">
        <f>'[1]Bevételek'!H76</f>
        <v>1320000</v>
      </c>
    </row>
    <row r="23" spans="1:3" ht="22.5" customHeight="1">
      <c r="A23" s="369" t="s">
        <v>19</v>
      </c>
      <c r="B23" s="368" t="s">
        <v>51</v>
      </c>
      <c r="C23" s="367">
        <f>'[1]Bevételek'!H84</f>
        <v>11115714</v>
      </c>
    </row>
    <row r="24" spans="1:3" ht="22.5" customHeight="1">
      <c r="A24" s="369" t="s">
        <v>20</v>
      </c>
      <c r="B24" s="354" t="s">
        <v>23</v>
      </c>
      <c r="C24" s="367"/>
    </row>
    <row r="25" spans="1:3" ht="32.25" customHeight="1">
      <c r="A25" s="369"/>
      <c r="B25" s="353" t="s">
        <v>52</v>
      </c>
      <c r="C25" s="367"/>
    </row>
    <row r="26" spans="1:3" ht="22.5" customHeight="1">
      <c r="A26" s="369"/>
      <c r="B26" s="357" t="s">
        <v>53</v>
      </c>
      <c r="C26" s="367"/>
    </row>
    <row r="27" spans="1:3" ht="28.5" customHeight="1">
      <c r="A27" s="356"/>
      <c r="B27" s="338" t="s">
        <v>54</v>
      </c>
      <c r="C27" s="337">
        <f>SUM(C20:C26)</f>
        <v>29439533</v>
      </c>
    </row>
    <row r="28" spans="1:3" ht="22.5" customHeight="1">
      <c r="A28" s="352" t="s">
        <v>21</v>
      </c>
      <c r="B28" s="368" t="s">
        <v>55</v>
      </c>
      <c r="C28" s="371">
        <f>'[1]Korm.funkciók'!E32</f>
        <v>8602553</v>
      </c>
    </row>
    <row r="29" spans="1:3" ht="22.5" customHeight="1">
      <c r="A29" s="352" t="s">
        <v>22</v>
      </c>
      <c r="B29" s="368" t="s">
        <v>56</v>
      </c>
      <c r="C29" s="371">
        <f>'[1]Korm.funkciók'!F32</f>
        <v>1641716</v>
      </c>
    </row>
    <row r="30" spans="1:3" ht="22.5" customHeight="1">
      <c r="A30" s="352" t="s">
        <v>24</v>
      </c>
      <c r="B30" s="370" t="s">
        <v>57</v>
      </c>
      <c r="C30" s="371">
        <f>'[1]Korm.funkciók'!G32</f>
        <v>16921625</v>
      </c>
    </row>
    <row r="31" spans="1:3" ht="22.5" customHeight="1">
      <c r="A31" s="352" t="s">
        <v>25</v>
      </c>
      <c r="B31" s="370" t="s">
        <v>58</v>
      </c>
      <c r="C31" s="371">
        <f>'[1]Korm.funkciók'!H32</f>
        <v>1472200</v>
      </c>
    </row>
    <row r="32" spans="1:3" ht="22.5" customHeight="1">
      <c r="A32" s="352" t="s">
        <v>26</v>
      </c>
      <c r="B32" s="370" t="s">
        <v>59</v>
      </c>
      <c r="C32" s="371"/>
    </row>
    <row r="33" spans="1:3" ht="22.5" customHeight="1">
      <c r="A33" s="352"/>
      <c r="B33" s="370" t="s">
        <v>60</v>
      </c>
      <c r="C33" s="371"/>
    </row>
    <row r="34" spans="1:3" ht="29.25" customHeight="1">
      <c r="A34" s="352"/>
      <c r="B34" s="353" t="s">
        <v>61</v>
      </c>
      <c r="C34" s="372"/>
    </row>
    <row r="35" spans="1:3" ht="22.5" customHeight="1">
      <c r="A35" s="352"/>
      <c r="B35" s="370" t="s">
        <v>62</v>
      </c>
      <c r="C35" s="371">
        <f>'[1]Korm.funkciók'!I32-C36</f>
        <v>513160</v>
      </c>
    </row>
    <row r="36" spans="1:3" ht="22.5" customHeight="1">
      <c r="A36" s="352"/>
      <c r="B36" s="370" t="s">
        <v>63</v>
      </c>
      <c r="C36" s="343">
        <f>11720759-316720</f>
        <v>11404039</v>
      </c>
    </row>
    <row r="37" spans="1:3" ht="32.25" customHeight="1">
      <c r="A37" s="356"/>
      <c r="B37" s="338" t="s">
        <v>64</v>
      </c>
      <c r="C37" s="337">
        <f>SUM(C28:C36)</f>
        <v>40555293</v>
      </c>
    </row>
    <row r="38" spans="1:3" ht="15.75">
      <c r="A38" s="369"/>
      <c r="B38" s="368"/>
      <c r="C38" s="367"/>
    </row>
    <row r="39" spans="1:3" ht="15.75">
      <c r="A39" s="369"/>
      <c r="B39" s="368"/>
      <c r="C39" s="367"/>
    </row>
    <row r="40" spans="1:3" ht="15.75">
      <c r="A40" s="369"/>
      <c r="B40" s="368"/>
      <c r="C40" s="367"/>
    </row>
    <row r="41" spans="1:3" ht="15.75">
      <c r="A41" s="574">
        <v>2</v>
      </c>
      <c r="B41" s="574"/>
      <c r="C41" s="574"/>
    </row>
    <row r="42" spans="1:3" ht="16.5" thickBot="1">
      <c r="A42" s="369"/>
      <c r="B42" s="368"/>
      <c r="C42" s="367"/>
    </row>
    <row r="43" spans="1:3" ht="15.75">
      <c r="A43" s="366" t="s">
        <v>15</v>
      </c>
      <c r="B43" s="365"/>
      <c r="C43" s="364" t="s">
        <v>0</v>
      </c>
    </row>
    <row r="44" spans="1:3" ht="15.75">
      <c r="A44" s="363"/>
      <c r="B44" s="362" t="s">
        <v>2</v>
      </c>
      <c r="C44" s="361"/>
    </row>
    <row r="45" spans="1:3" ht="16.5" thickBot="1">
      <c r="A45" s="360" t="s">
        <v>16</v>
      </c>
      <c r="B45" s="359"/>
      <c r="C45" s="358" t="s">
        <v>45</v>
      </c>
    </row>
    <row r="46" spans="1:3" ht="15.75">
      <c r="A46" s="573" t="s">
        <v>65</v>
      </c>
      <c r="B46" s="573"/>
      <c r="C46" s="573"/>
    </row>
    <row r="47" spans="1:3" ht="22.5" customHeight="1">
      <c r="A47" s="352" t="s">
        <v>27</v>
      </c>
      <c r="B47" s="355" t="s">
        <v>66</v>
      </c>
      <c r="C47" s="343">
        <f>'[1]Bevételek'!H65</f>
        <v>40229664</v>
      </c>
    </row>
    <row r="48" spans="1:3" ht="22.5" customHeight="1">
      <c r="A48" s="352" t="s">
        <v>29</v>
      </c>
      <c r="B48" s="355" t="s">
        <v>67</v>
      </c>
      <c r="C48" s="343"/>
    </row>
    <row r="49" spans="1:3" ht="22.5" customHeight="1">
      <c r="A49" s="352" t="s">
        <v>30</v>
      </c>
      <c r="B49" s="354" t="s">
        <v>68</v>
      </c>
      <c r="C49" s="343"/>
    </row>
    <row r="50" spans="1:3" ht="31.5" customHeight="1">
      <c r="A50" s="352"/>
      <c r="B50" s="353" t="s">
        <v>69</v>
      </c>
      <c r="C50" s="343">
        <f>'[1]Bevételek'!H89</f>
        <v>0</v>
      </c>
    </row>
    <row r="51" spans="1:3" ht="22.5" customHeight="1">
      <c r="A51" s="352"/>
      <c r="B51" s="357" t="s">
        <v>70</v>
      </c>
      <c r="C51" s="343"/>
    </row>
    <row r="52" spans="1:3" ht="24.75" customHeight="1">
      <c r="A52" s="356"/>
      <c r="B52" s="338" t="s">
        <v>71</v>
      </c>
      <c r="C52" s="337">
        <f>SUM(C47:C51)</f>
        <v>40229664</v>
      </c>
    </row>
    <row r="53" spans="1:3" ht="22.5" customHeight="1">
      <c r="A53" s="352" t="s">
        <v>32</v>
      </c>
      <c r="B53" s="355" t="s">
        <v>72</v>
      </c>
      <c r="C53" s="343">
        <f>'[1]Korm.funkciók'!K32</f>
        <v>37156695</v>
      </c>
    </row>
    <row r="54" spans="1:3" ht="22.5" customHeight="1">
      <c r="A54" s="352" t="s">
        <v>34</v>
      </c>
      <c r="B54" s="355" t="s">
        <v>73</v>
      </c>
      <c r="C54" s="343">
        <f>'[1]Korm.funkciók'!L32</f>
        <v>7038155</v>
      </c>
    </row>
    <row r="55" spans="1:3" ht="22.5" customHeight="1">
      <c r="A55" s="352" t="s">
        <v>35</v>
      </c>
      <c r="B55" s="354" t="s">
        <v>40</v>
      </c>
      <c r="C55" s="343"/>
    </row>
    <row r="56" spans="1:3" ht="33.75" customHeight="1">
      <c r="A56" s="352"/>
      <c r="B56" s="353" t="s">
        <v>74</v>
      </c>
      <c r="C56" s="343"/>
    </row>
    <row r="57" spans="1:3" ht="22.5" customHeight="1">
      <c r="A57" s="352"/>
      <c r="B57" s="351" t="s">
        <v>339</v>
      </c>
      <c r="C57" s="343"/>
    </row>
    <row r="58" spans="1:3" ht="16.5" thickBot="1">
      <c r="A58" s="339"/>
      <c r="B58" s="338" t="s">
        <v>75</v>
      </c>
      <c r="C58" s="337">
        <f>SUM(C53:C57)</f>
        <v>44194850</v>
      </c>
    </row>
    <row r="59" spans="1:3" ht="28.5" customHeight="1" thickBot="1">
      <c r="A59" s="350"/>
      <c r="B59" s="349" t="s">
        <v>76</v>
      </c>
      <c r="C59" s="348">
        <f>C27+C52</f>
        <v>69669197</v>
      </c>
    </row>
    <row r="60" spans="1:3" ht="27" customHeight="1" thickBot="1">
      <c r="A60" s="350"/>
      <c r="B60" s="349" t="s">
        <v>77</v>
      </c>
      <c r="C60" s="348">
        <f>C37+C58</f>
        <v>84750143</v>
      </c>
    </row>
    <row r="61" spans="1:3" ht="15.75">
      <c r="A61" s="347"/>
      <c r="B61" s="346"/>
      <c r="C61" s="345"/>
    </row>
    <row r="62" spans="1:3" ht="15.75">
      <c r="A62" s="344"/>
      <c r="B62" s="344"/>
      <c r="C62" s="343"/>
    </row>
    <row r="63" spans="1:3" ht="15.75">
      <c r="A63" s="568" t="s">
        <v>78</v>
      </c>
      <c r="B63" s="568"/>
      <c r="C63" s="568"/>
    </row>
    <row r="64" spans="1:3" ht="15.75">
      <c r="A64" s="342"/>
      <c r="B64" s="342"/>
      <c r="C64" s="342"/>
    </row>
    <row r="65" spans="1:3" ht="22.5" customHeight="1">
      <c r="A65" s="339" t="s">
        <v>37</v>
      </c>
      <c r="B65" s="341" t="s">
        <v>79</v>
      </c>
      <c r="C65" s="340">
        <f>'[1]Bevételek'!H98</f>
        <v>15669230</v>
      </c>
    </row>
    <row r="66" spans="1:3" ht="22.5" customHeight="1">
      <c r="A66" s="339"/>
      <c r="B66" s="338" t="s">
        <v>80</v>
      </c>
      <c r="C66" s="337">
        <f>C65</f>
        <v>15669230</v>
      </c>
    </row>
    <row r="67" spans="1:3" ht="22.5" customHeight="1">
      <c r="A67" s="339" t="s">
        <v>39</v>
      </c>
      <c r="B67" s="341" t="s">
        <v>355</v>
      </c>
      <c r="C67" s="340">
        <f>'[1]Korm.funkciók'!O32</f>
        <v>588284</v>
      </c>
    </row>
    <row r="68" spans="1:3" ht="22.5" customHeight="1">
      <c r="A68" s="339" t="s">
        <v>41</v>
      </c>
      <c r="B68" s="341" t="s">
        <v>81</v>
      </c>
      <c r="C68" s="340">
        <v>0</v>
      </c>
    </row>
    <row r="69" spans="1:3" ht="22.5" customHeight="1" thickBot="1">
      <c r="A69" s="339"/>
      <c r="B69" s="338" t="s">
        <v>82</v>
      </c>
      <c r="C69" s="337">
        <f>SUM(C67:C68)</f>
        <v>588284</v>
      </c>
    </row>
    <row r="70" spans="1:3" ht="24.75" customHeight="1" thickBot="1">
      <c r="A70" s="336"/>
      <c r="B70" s="335" t="s">
        <v>83</v>
      </c>
      <c r="C70" s="334">
        <f>C59+C66</f>
        <v>85338427</v>
      </c>
    </row>
    <row r="71" spans="1:3" ht="27" customHeight="1" thickBot="1">
      <c r="A71" s="336"/>
      <c r="B71" s="335" t="s">
        <v>84</v>
      </c>
      <c r="C71" s="334">
        <f>C60+C69</f>
        <v>85338427</v>
      </c>
    </row>
    <row r="72" spans="1:3" ht="15.75">
      <c r="A72" s="29"/>
      <c r="B72" s="29"/>
      <c r="C72" s="333"/>
    </row>
    <row r="73" spans="1:3" ht="15.75">
      <c r="A73" s="19"/>
      <c r="B73" s="19"/>
      <c r="C73" s="19"/>
    </row>
    <row r="74" spans="1:3" ht="15.75">
      <c r="A74" s="19"/>
      <c r="B74" s="19"/>
      <c r="C74" s="19"/>
    </row>
    <row r="75" spans="1:3" ht="15.75">
      <c r="A75" s="19"/>
      <c r="B75" s="19"/>
      <c r="C75" s="19"/>
    </row>
    <row r="76" spans="1:3" ht="15.75">
      <c r="A76" s="19"/>
      <c r="B76" s="19"/>
      <c r="C76" s="19"/>
    </row>
    <row r="77" spans="1:3" ht="15.75">
      <c r="A77" s="19"/>
      <c r="B77" s="19"/>
      <c r="C77" s="19"/>
    </row>
    <row r="78" spans="1:3" ht="15.75">
      <c r="A78" s="19"/>
      <c r="B78" s="19"/>
      <c r="C78" s="19"/>
    </row>
    <row r="79" spans="1:3" ht="15.75">
      <c r="A79" s="19"/>
      <c r="B79" s="19"/>
      <c r="C79" s="19"/>
    </row>
    <row r="80" spans="1:3" ht="15.75">
      <c r="A80" s="19"/>
      <c r="B80" s="19"/>
      <c r="C80" s="19"/>
    </row>
    <row r="81" spans="1:3" ht="15.75">
      <c r="A81" s="19"/>
      <c r="B81" s="19"/>
      <c r="C81" s="19"/>
    </row>
    <row r="82" spans="1:3" ht="15.75">
      <c r="A82" s="19"/>
      <c r="B82" s="19"/>
      <c r="C82" s="19"/>
    </row>
    <row r="83" spans="1:3" ht="15.75">
      <c r="A83" s="19"/>
      <c r="B83" s="19"/>
      <c r="C83" s="19"/>
    </row>
    <row r="84" spans="1:3" ht="15.75">
      <c r="A84" s="19"/>
      <c r="B84" s="19"/>
      <c r="C84" s="19"/>
    </row>
    <row r="85" spans="1:3" ht="15.75">
      <c r="A85" s="19"/>
      <c r="B85" s="19"/>
      <c r="C85" s="19"/>
    </row>
    <row r="86" spans="1:3" ht="15.75">
      <c r="A86" s="19"/>
      <c r="B86" s="19"/>
      <c r="C86" s="19"/>
    </row>
    <row r="87" spans="1:3" ht="15.75">
      <c r="A87" s="19"/>
      <c r="B87" s="19"/>
      <c r="C87" s="19"/>
    </row>
    <row r="88" spans="1:3" ht="15.75">
      <c r="A88" s="19"/>
      <c r="B88" s="19"/>
      <c r="C88" s="19"/>
    </row>
  </sheetData>
  <sheetProtection password="AF00" sheet="1"/>
  <mergeCells count="12">
    <mergeCell ref="A3:C3"/>
    <mergeCell ref="A5:C5"/>
    <mergeCell ref="A6:C6"/>
    <mergeCell ref="A7:C7"/>
    <mergeCell ref="A18:C18"/>
    <mergeCell ref="A41:C41"/>
    <mergeCell ref="A46:C46"/>
    <mergeCell ref="A63:C63"/>
    <mergeCell ref="A10:C10"/>
    <mergeCell ref="A11:C11"/>
    <mergeCell ref="A12:C12"/>
    <mergeCell ref="A13:C13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59"/>
  <sheetViews>
    <sheetView view="pageBreakPreview" zoomScale="106" zoomScaleNormal="75" zoomScaleSheetLayoutView="106" zoomScalePageLayoutView="0" workbookViewId="0" topLeftCell="A1">
      <selection activeCell="D55" sqref="D55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0" width="14.00390625" style="0" customWidth="1"/>
    <col min="11" max="11" width="14.375" style="0" customWidth="1"/>
    <col min="12" max="12" width="14.00390625" style="0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1:15" ht="21" customHeight="1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3" spans="1:15" ht="12.75">
      <c r="A3" s="575" t="s">
        <v>481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</row>
    <row r="4" spans="1:15" ht="6" customHeight="1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</row>
    <row r="5" spans="1:15" ht="12.75" customHeight="1" hidden="1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</row>
    <row r="6" spans="1:15" ht="12.75">
      <c r="A6" s="1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</row>
    <row r="7" spans="1:15" ht="12.75">
      <c r="A7" s="1"/>
      <c r="B7" s="577" t="s">
        <v>7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</row>
    <row r="8" spans="1:15" ht="12.75">
      <c r="A8" s="1"/>
      <c r="B8" s="577" t="s">
        <v>459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</row>
    <row r="9" spans="1:15" ht="13.5" thickBot="1">
      <c r="A9" s="1"/>
      <c r="B9" s="1"/>
      <c r="C9" s="411"/>
      <c r="D9" s="411"/>
      <c r="E9" s="411"/>
      <c r="F9" s="412"/>
      <c r="G9" s="411"/>
      <c r="H9" s="411"/>
      <c r="I9" s="411"/>
      <c r="J9" s="411"/>
      <c r="K9" s="376"/>
      <c r="L9" s="376"/>
      <c r="M9" s="376"/>
      <c r="N9" s="376"/>
      <c r="O9" s="410" t="s">
        <v>389</v>
      </c>
    </row>
    <row r="10" spans="1:15" ht="12.75">
      <c r="A10" s="108" t="s">
        <v>15</v>
      </c>
      <c r="B10" s="109"/>
      <c r="C10" s="409"/>
      <c r="D10" s="408"/>
      <c r="E10" s="407"/>
      <c r="F10" s="406"/>
      <c r="G10" s="406"/>
      <c r="H10" s="406"/>
      <c r="I10" s="406"/>
      <c r="J10" s="406"/>
      <c r="K10" s="405"/>
      <c r="L10" s="405"/>
      <c r="M10" s="405"/>
      <c r="N10" s="404"/>
      <c r="O10" s="403"/>
    </row>
    <row r="11" spans="1:15" ht="12.75">
      <c r="A11" s="110"/>
      <c r="B11" s="111" t="s">
        <v>2</v>
      </c>
      <c r="C11" s="402" t="s">
        <v>284</v>
      </c>
      <c r="D11" s="401" t="s">
        <v>285</v>
      </c>
      <c r="E11" s="399" t="s">
        <v>286</v>
      </c>
      <c r="F11" s="400" t="s">
        <v>287</v>
      </c>
      <c r="G11" s="400" t="s">
        <v>288</v>
      </c>
      <c r="H11" s="400" t="s">
        <v>289</v>
      </c>
      <c r="I11" s="400" t="s">
        <v>290</v>
      </c>
      <c r="J11" s="400" t="s">
        <v>291</v>
      </c>
      <c r="K11" s="400" t="s">
        <v>292</v>
      </c>
      <c r="L11" s="400" t="s">
        <v>293</v>
      </c>
      <c r="M11" s="400" t="s">
        <v>294</v>
      </c>
      <c r="N11" s="399" t="s">
        <v>295</v>
      </c>
      <c r="O11" s="398" t="s">
        <v>296</v>
      </c>
    </row>
    <row r="12" spans="1:15" ht="13.5" thickBot="1">
      <c r="A12" s="112" t="s">
        <v>16</v>
      </c>
      <c r="B12" s="113"/>
      <c r="C12" s="394"/>
      <c r="D12" s="397"/>
      <c r="E12" s="395"/>
      <c r="F12" s="396"/>
      <c r="G12" s="396"/>
      <c r="H12" s="396"/>
      <c r="I12" s="396"/>
      <c r="J12" s="396"/>
      <c r="K12" s="396"/>
      <c r="L12" s="396"/>
      <c r="M12" s="396"/>
      <c r="N12" s="395"/>
      <c r="O12" s="394"/>
    </row>
    <row r="13" spans="1:15" ht="12.75">
      <c r="A13" s="114"/>
      <c r="B13" s="115" t="s">
        <v>297</v>
      </c>
      <c r="C13" s="392"/>
      <c r="D13" s="393"/>
      <c r="E13" s="391"/>
      <c r="F13" s="392"/>
      <c r="G13" s="392"/>
      <c r="H13" s="392"/>
      <c r="I13" s="392"/>
      <c r="J13" s="392"/>
      <c r="K13" s="392"/>
      <c r="L13" s="392"/>
      <c r="M13" s="392"/>
      <c r="N13" s="391"/>
      <c r="O13" s="390"/>
    </row>
    <row r="14" spans="1:15" ht="25.5" customHeight="1">
      <c r="A14" s="116" t="s">
        <v>17</v>
      </c>
      <c r="B14" s="117" t="s">
        <v>298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1"/>
    </row>
    <row r="15" spans="1:15" ht="25.5">
      <c r="A15" s="116"/>
      <c r="B15" s="117" t="s">
        <v>299</v>
      </c>
      <c r="C15" s="382">
        <f>1229942-150004+12036</f>
        <v>1091974</v>
      </c>
      <c r="D15" s="382">
        <f>1229942+16000</f>
        <v>1245942</v>
      </c>
      <c r="E15" s="382">
        <f>1229942+16000</f>
        <v>1245942</v>
      </c>
      <c r="F15" s="382">
        <f>1229942+15999+88900</f>
        <v>1334841</v>
      </c>
      <c r="G15" s="382">
        <f>1229942+16000</f>
        <v>1245942</v>
      </c>
      <c r="H15" s="382">
        <f>1229942+15999</f>
        <v>1245941</v>
      </c>
      <c r="I15" s="382">
        <f>1229942+16000</f>
        <v>1245942</v>
      </c>
      <c r="J15" s="382">
        <f>1229942-52200+15999</f>
        <v>1193741</v>
      </c>
      <c r="K15" s="382">
        <v>1229942</v>
      </c>
      <c r="L15" s="382">
        <v>1229942</v>
      </c>
      <c r="M15" s="382">
        <v>1229942</v>
      </c>
      <c r="N15" s="382">
        <f>1229942+150000</f>
        <v>1379942</v>
      </c>
      <c r="O15" s="381">
        <f>SUM(C15:N15)</f>
        <v>14920033</v>
      </c>
    </row>
    <row r="16" spans="1:15" ht="25.5">
      <c r="A16" s="116"/>
      <c r="B16" s="118" t="s">
        <v>300</v>
      </c>
      <c r="C16" s="382"/>
      <c r="D16" s="382"/>
      <c r="E16" s="382"/>
      <c r="F16" s="382">
        <f>536874-178958</f>
        <v>357916</v>
      </c>
      <c r="G16" s="382">
        <f>178958</f>
        <v>178958</v>
      </c>
      <c r="H16" s="382">
        <f>300000+178958</f>
        <v>478958</v>
      </c>
      <c r="I16" s="382">
        <f>56219+178928</f>
        <v>235147</v>
      </c>
      <c r="J16" s="382">
        <f>52200+178958+64775</f>
        <v>295933</v>
      </c>
      <c r="K16" s="382">
        <v>178958</v>
      </c>
      <c r="L16" s="382">
        <v>178958</v>
      </c>
      <c r="M16" s="382">
        <v>178958</v>
      </c>
      <c r="N16" s="382"/>
      <c r="O16" s="381">
        <f>SUM(C16:N16)</f>
        <v>2083786</v>
      </c>
    </row>
    <row r="17" spans="1:15" ht="25.5" customHeight="1">
      <c r="A17" s="116" t="s">
        <v>18</v>
      </c>
      <c r="B17" s="118" t="s">
        <v>301</v>
      </c>
      <c r="C17" s="382">
        <v>5697553</v>
      </c>
      <c r="D17" s="382"/>
      <c r="E17" s="382"/>
      <c r="F17" s="382"/>
      <c r="G17" s="382"/>
      <c r="H17" s="382">
        <v>13735678</v>
      </c>
      <c r="I17" s="382"/>
      <c r="J17" s="382"/>
      <c r="K17" s="382"/>
      <c r="L17" s="382"/>
      <c r="M17" s="382"/>
      <c r="N17" s="382">
        <f>34532111-H17</f>
        <v>20796433</v>
      </c>
      <c r="O17" s="381">
        <f aca="true" t="shared" si="0" ref="O17:O27">SUM(C17:N17)</f>
        <v>40229664</v>
      </c>
    </row>
    <row r="18" spans="1:15" ht="12.75">
      <c r="A18" s="116" t="s">
        <v>19</v>
      </c>
      <c r="B18" s="118" t="s">
        <v>302</v>
      </c>
      <c r="C18" s="389"/>
      <c r="D18" s="389">
        <v>30000</v>
      </c>
      <c r="E18" s="389">
        <v>300000</v>
      </c>
      <c r="F18" s="389">
        <v>100000</v>
      </c>
      <c r="G18" s="389">
        <v>40000</v>
      </c>
      <c r="H18" s="389">
        <v>30000</v>
      </c>
      <c r="I18" s="389">
        <v>40000</v>
      </c>
      <c r="J18" s="389">
        <v>80000</v>
      </c>
      <c r="K18" s="389">
        <v>420000</v>
      </c>
      <c r="L18" s="389">
        <v>90000</v>
      </c>
      <c r="M18" s="389">
        <v>140000</v>
      </c>
      <c r="N18" s="389">
        <v>50000</v>
      </c>
      <c r="O18" s="381">
        <f t="shared" si="0"/>
        <v>1320000</v>
      </c>
    </row>
    <row r="19" spans="1:15" ht="12.75">
      <c r="A19" s="116" t="s">
        <v>20</v>
      </c>
      <c r="B19" s="119" t="s">
        <v>303</v>
      </c>
      <c r="C19" s="389">
        <v>75630</v>
      </c>
      <c r="D19" s="389">
        <v>75630</v>
      </c>
      <c r="E19" s="389">
        <v>75630</v>
      </c>
      <c r="F19" s="389">
        <v>75630</v>
      </c>
      <c r="G19" s="389">
        <f>630000+263418-54531</f>
        <v>838887</v>
      </c>
      <c r="H19" s="389">
        <f>75630+3708633</f>
        <v>3784263</v>
      </c>
      <c r="I19" s="389">
        <v>75630</v>
      </c>
      <c r="J19" s="389">
        <f>75630+46991</f>
        <v>122621</v>
      </c>
      <c r="K19" s="389">
        <v>75630</v>
      </c>
      <c r="L19" s="389">
        <v>75630</v>
      </c>
      <c r="M19" s="389">
        <v>75630</v>
      </c>
      <c r="N19" s="389">
        <f>77630+5689255-1982</f>
        <v>5764903</v>
      </c>
      <c r="O19" s="381">
        <f>SUM(C19:N19)</f>
        <v>11115714</v>
      </c>
    </row>
    <row r="20" spans="1:15" ht="12.75">
      <c r="A20" s="116" t="s">
        <v>21</v>
      </c>
      <c r="B20" s="119" t="s">
        <v>304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1">
        <f t="shared" si="0"/>
        <v>0</v>
      </c>
    </row>
    <row r="21" spans="1:15" ht="12.75">
      <c r="A21" s="116" t="s">
        <v>22</v>
      </c>
      <c r="B21" s="119" t="s">
        <v>23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7"/>
      <c r="O21" s="381">
        <f t="shared" si="0"/>
        <v>0</v>
      </c>
    </row>
    <row r="22" spans="1:15" ht="25.5">
      <c r="A22" s="116"/>
      <c r="B22" s="118" t="s">
        <v>305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6"/>
      <c r="O22" s="381">
        <f t="shared" si="0"/>
        <v>0</v>
      </c>
    </row>
    <row r="23" spans="1:15" ht="12.75">
      <c r="A23" s="116"/>
      <c r="B23" s="118" t="s">
        <v>306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6"/>
      <c r="O23" s="381">
        <f t="shared" si="0"/>
        <v>0</v>
      </c>
    </row>
    <row r="24" spans="1:15" ht="12.75">
      <c r="A24" s="116" t="s">
        <v>24</v>
      </c>
      <c r="B24" s="119" t="s">
        <v>307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6"/>
      <c r="O24" s="381">
        <f t="shared" si="0"/>
        <v>0</v>
      </c>
    </row>
    <row r="25" spans="1:15" ht="25.5">
      <c r="A25" s="116"/>
      <c r="B25" s="118" t="s">
        <v>308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6"/>
      <c r="O25" s="381"/>
    </row>
    <row r="26" spans="1:15" ht="12.75">
      <c r="A26" s="116"/>
      <c r="B26" s="118" t="s">
        <v>309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6"/>
      <c r="O26" s="381">
        <f t="shared" si="0"/>
        <v>0</v>
      </c>
    </row>
    <row r="27" spans="1:15" ht="12.75">
      <c r="A27" s="116" t="s">
        <v>25</v>
      </c>
      <c r="B27" s="119" t="s">
        <v>310</v>
      </c>
      <c r="C27" s="385">
        <v>498541</v>
      </c>
      <c r="D27" s="385">
        <f>2950000-1162090</f>
        <v>1787910</v>
      </c>
      <c r="E27" s="385">
        <v>812190</v>
      </c>
      <c r="F27" s="385"/>
      <c r="G27" s="385">
        <f>335151+300000+11935438</f>
        <v>12570589</v>
      </c>
      <c r="H27" s="385"/>
      <c r="I27" s="385"/>
      <c r="J27" s="385"/>
      <c r="K27" s="385"/>
      <c r="L27" s="385"/>
      <c r="M27" s="385"/>
      <c r="N27" s="386"/>
      <c r="O27" s="381">
        <f t="shared" si="0"/>
        <v>15669230</v>
      </c>
    </row>
    <row r="28" spans="1:15" ht="13.5" thickBot="1">
      <c r="A28" s="120" t="s">
        <v>26</v>
      </c>
      <c r="B28" s="121" t="s">
        <v>311</v>
      </c>
      <c r="C28" s="385"/>
      <c r="D28" s="385">
        <f>C49</f>
        <v>5788671</v>
      </c>
      <c r="E28" s="385">
        <f aca="true" t="shared" si="1" ref="E28:M28">D49</f>
        <v>7652718</v>
      </c>
      <c r="F28" s="385">
        <f t="shared" si="1"/>
        <v>8558443</v>
      </c>
      <c r="G28" s="385">
        <f t="shared" si="1"/>
        <v>8941392</v>
      </c>
      <c r="H28" s="385">
        <f t="shared" si="1"/>
        <v>8543465</v>
      </c>
      <c r="I28" s="385">
        <f t="shared" si="1"/>
        <v>9704019</v>
      </c>
      <c r="J28" s="385">
        <f t="shared" si="1"/>
        <v>1807720</v>
      </c>
      <c r="K28" s="385">
        <f t="shared" si="1"/>
        <v>1006054</v>
      </c>
      <c r="L28" s="385">
        <f t="shared" si="1"/>
        <v>845255</v>
      </c>
      <c r="M28" s="385">
        <f t="shared" si="1"/>
        <v>620071</v>
      </c>
      <c r="N28" s="385">
        <f>M49</f>
        <v>208878</v>
      </c>
      <c r="O28" s="381"/>
    </row>
    <row r="29" spans="1:15" ht="13.5" thickBot="1">
      <c r="A29" s="122"/>
      <c r="B29" s="122" t="s">
        <v>312</v>
      </c>
      <c r="C29" s="380">
        <f>SUM(C15:C28)</f>
        <v>7363698</v>
      </c>
      <c r="D29" s="380">
        <f aca="true" t="shared" si="2" ref="D29:N29">SUM(D15:D28)</f>
        <v>8928153</v>
      </c>
      <c r="E29" s="380">
        <f t="shared" si="2"/>
        <v>10086480</v>
      </c>
      <c r="F29" s="380">
        <f t="shared" si="2"/>
        <v>10426830</v>
      </c>
      <c r="G29" s="380">
        <f t="shared" si="2"/>
        <v>23815768</v>
      </c>
      <c r="H29" s="380">
        <f t="shared" si="2"/>
        <v>27818305</v>
      </c>
      <c r="I29" s="380">
        <f t="shared" si="2"/>
        <v>11300738</v>
      </c>
      <c r="J29" s="380">
        <f t="shared" si="2"/>
        <v>3500015</v>
      </c>
      <c r="K29" s="380">
        <f t="shared" si="2"/>
        <v>2910584</v>
      </c>
      <c r="L29" s="380">
        <f t="shared" si="2"/>
        <v>2419785</v>
      </c>
      <c r="M29" s="380">
        <f t="shared" si="2"/>
        <v>2244601</v>
      </c>
      <c r="N29" s="380">
        <f t="shared" si="2"/>
        <v>28200156</v>
      </c>
      <c r="O29" s="379">
        <f>SUM(O15:O28)</f>
        <v>85338427</v>
      </c>
    </row>
    <row r="30" spans="1:15" ht="12.75">
      <c r="A30" s="123"/>
      <c r="B30" s="124" t="s">
        <v>313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4"/>
    </row>
    <row r="31" spans="1:15" ht="12.75">
      <c r="A31" s="116" t="s">
        <v>27</v>
      </c>
      <c r="B31" s="119" t="s">
        <v>28</v>
      </c>
      <c r="C31" s="382">
        <f>533178+10+12559+20000</f>
        <v>565747</v>
      </c>
      <c r="D31" s="382">
        <f>533178+41457+12559+163061</f>
        <v>750255</v>
      </c>
      <c r="E31" s="382">
        <f>533178+41457+12559+163062</f>
        <v>750256</v>
      </c>
      <c r="F31" s="382">
        <f>533178+41459+12560+163061</f>
        <v>750258</v>
      </c>
      <c r="G31" s="382">
        <f>533178+41457+163060</f>
        <v>737695</v>
      </c>
      <c r="H31" s="382">
        <f>533178+41457+50000+60000</f>
        <v>684635</v>
      </c>
      <c r="I31" s="382">
        <f>533178+41457+163060+47045</f>
        <v>784740</v>
      </c>
      <c r="J31" s="382">
        <f>533178+41457+163060+53552</f>
        <v>791247</v>
      </c>
      <c r="K31" s="382">
        <f>533178+41457+163060+2400</f>
        <v>740095</v>
      </c>
      <c r="L31" s="382">
        <f>533178+41457+163060-2400</f>
        <v>735295</v>
      </c>
      <c r="M31" s="382">
        <f>533178+41457+163060</f>
        <v>737695</v>
      </c>
      <c r="N31" s="382">
        <f>533178+41457</f>
        <v>574635</v>
      </c>
      <c r="O31" s="381">
        <f aca="true" t="shared" si="3" ref="O31:O46">SUM(C31:N31)</f>
        <v>8602553</v>
      </c>
    </row>
    <row r="32" spans="1:15" ht="25.5">
      <c r="A32" s="116" t="s">
        <v>29</v>
      </c>
      <c r="B32" s="118" t="s">
        <v>314</v>
      </c>
      <c r="C32" s="382">
        <f>130703+2449+6844</f>
        <v>139996</v>
      </c>
      <c r="D32" s="382">
        <f>130703-10869+2449+15897</f>
        <v>138180</v>
      </c>
      <c r="E32" s="382">
        <f>130703-10869+2449+15898</f>
        <v>138181</v>
      </c>
      <c r="F32" s="382">
        <f>130703-10869+2449+15897</f>
        <v>138180</v>
      </c>
      <c r="G32" s="382">
        <f>130703-10869+15900</f>
        <v>135734</v>
      </c>
      <c r="H32" s="382">
        <f>130703-10869+15900+10444</f>
        <v>146178</v>
      </c>
      <c r="I32" s="382">
        <f>130703-10869+15900+6764</f>
        <v>142498</v>
      </c>
      <c r="J32" s="382">
        <f>130703-10869+15900</f>
        <v>135734</v>
      </c>
      <c r="K32" s="382">
        <f>130703-10869+15900</f>
        <v>135734</v>
      </c>
      <c r="L32" s="382">
        <f>130703-10869+15900</f>
        <v>135734</v>
      </c>
      <c r="M32" s="382">
        <f>130703-10869+15900</f>
        <v>135734</v>
      </c>
      <c r="N32" s="382">
        <f>130703-10870</f>
        <v>119833</v>
      </c>
      <c r="O32" s="381">
        <f>SUM(C32:N32)</f>
        <v>1641716</v>
      </c>
    </row>
    <row r="33" spans="1:15" ht="12.75">
      <c r="A33" s="116" t="s">
        <v>30</v>
      </c>
      <c r="B33" s="119" t="s">
        <v>31</v>
      </c>
      <c r="C33" s="382">
        <v>210000</v>
      </c>
      <c r="D33" s="382">
        <v>337000</v>
      </c>
      <c r="E33" s="382">
        <v>547000</v>
      </c>
      <c r="F33" s="382">
        <v>547000</v>
      </c>
      <c r="G33" s="382">
        <f>757000+154775</f>
        <v>911775</v>
      </c>
      <c r="H33" s="382">
        <f>547000+3708633-1154920-104993+176575+13500+50000+80000+160000</f>
        <v>3475795</v>
      </c>
      <c r="I33" s="382">
        <f>447000+561000+26645+50980+50000</f>
        <v>1135625</v>
      </c>
      <c r="J33" s="382">
        <f>839000+30480</f>
        <v>869480</v>
      </c>
      <c r="K33" s="382">
        <f>547000+250000</f>
        <v>797000</v>
      </c>
      <c r="L33" s="382">
        <f>720000+8685</f>
        <v>728685</v>
      </c>
      <c r="M33" s="382">
        <f>519000+414094</f>
        <v>933094</v>
      </c>
      <c r="N33" s="382">
        <f>547000+5882171</f>
        <v>6429171</v>
      </c>
      <c r="O33" s="381">
        <f t="shared" si="3"/>
        <v>16921625</v>
      </c>
    </row>
    <row r="34" spans="1:15" ht="12.75">
      <c r="A34" s="116" t="s">
        <v>32</v>
      </c>
      <c r="B34" s="119" t="s">
        <v>33</v>
      </c>
      <c r="C34" s="382">
        <v>50000</v>
      </c>
      <c r="D34" s="382">
        <v>50000</v>
      </c>
      <c r="E34" s="382">
        <v>50000</v>
      </c>
      <c r="F34" s="382">
        <v>50000</v>
      </c>
      <c r="G34" s="382">
        <v>50000</v>
      </c>
      <c r="H34" s="382">
        <v>50000</v>
      </c>
      <c r="I34" s="382">
        <v>50000</v>
      </c>
      <c r="J34" s="382">
        <f>220000-50000</f>
        <v>170000</v>
      </c>
      <c r="K34" s="382">
        <v>50000</v>
      </c>
      <c r="L34" s="382">
        <v>200000</v>
      </c>
      <c r="M34" s="382">
        <f>300000-70800</f>
        <v>229200</v>
      </c>
      <c r="N34" s="382">
        <v>473000</v>
      </c>
      <c r="O34" s="381">
        <f t="shared" si="3"/>
        <v>1472200</v>
      </c>
    </row>
    <row r="35" spans="1:15" ht="12.75">
      <c r="A35" s="116" t="s">
        <v>34</v>
      </c>
      <c r="B35" s="119" t="s">
        <v>315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3"/>
      <c r="O35" s="381"/>
    </row>
    <row r="36" spans="1:15" ht="12.75">
      <c r="A36" s="116"/>
      <c r="B36" s="119" t="s">
        <v>316</v>
      </c>
      <c r="C36" s="382"/>
      <c r="D36" s="382"/>
      <c r="E36" s="382"/>
      <c r="F36" s="382"/>
      <c r="G36" s="382">
        <v>33060</v>
      </c>
      <c r="H36" s="382"/>
      <c r="I36" s="382">
        <v>0</v>
      </c>
      <c r="J36" s="382">
        <v>0</v>
      </c>
      <c r="K36" s="382"/>
      <c r="L36" s="382">
        <v>0</v>
      </c>
      <c r="M36" s="382">
        <v>0</v>
      </c>
      <c r="N36" s="382">
        <v>0</v>
      </c>
      <c r="O36" s="381">
        <f t="shared" si="3"/>
        <v>33060</v>
      </c>
    </row>
    <row r="37" spans="1:15" ht="12.75">
      <c r="A37" s="116"/>
      <c r="B37" s="119" t="s">
        <v>317</v>
      </c>
      <c r="C37" s="382">
        <f>12500+8500</f>
        <v>21000</v>
      </c>
      <c r="D37" s="382"/>
      <c r="E37" s="382">
        <f>43000-400</f>
        <v>42600</v>
      </c>
      <c r="F37" s="382"/>
      <c r="G37" s="382"/>
      <c r="H37" s="382">
        <v>22000</v>
      </c>
      <c r="I37" s="382">
        <f>42000+300000</f>
        <v>342000</v>
      </c>
      <c r="J37" s="382">
        <f>15000+12500</f>
        <v>27500</v>
      </c>
      <c r="K37" s="382">
        <v>25000</v>
      </c>
      <c r="L37" s="382"/>
      <c r="M37" s="382"/>
      <c r="N37" s="382"/>
      <c r="O37" s="381">
        <f t="shared" si="3"/>
        <v>480100</v>
      </c>
    </row>
    <row r="38" spans="1:15" ht="12.75">
      <c r="A38" s="116" t="s">
        <v>35</v>
      </c>
      <c r="B38" s="119" t="s">
        <v>36</v>
      </c>
      <c r="C38" s="382"/>
      <c r="D38" s="382"/>
      <c r="E38" s="382"/>
      <c r="F38" s="382"/>
      <c r="G38" s="382">
        <v>2000000</v>
      </c>
      <c r="H38" s="382">
        <v>13735678</v>
      </c>
      <c r="I38" s="382"/>
      <c r="J38" s="382">
        <v>500000</v>
      </c>
      <c r="K38" s="382">
        <v>317500</v>
      </c>
      <c r="L38" s="382"/>
      <c r="M38" s="382"/>
      <c r="N38" s="382">
        <f>20796433-192916</f>
        <v>20603517</v>
      </c>
      <c r="O38" s="381">
        <f t="shared" si="3"/>
        <v>37156695</v>
      </c>
    </row>
    <row r="39" spans="1:15" ht="12.75">
      <c r="A39" s="116" t="s">
        <v>37</v>
      </c>
      <c r="B39" s="119" t="s">
        <v>38</v>
      </c>
      <c r="C39" s="382"/>
      <c r="D39" s="382"/>
      <c r="E39" s="382"/>
      <c r="F39" s="382"/>
      <c r="G39" s="382"/>
      <c r="H39" s="382"/>
      <c r="I39" s="382">
        <f>6703004+263898+71253</f>
        <v>7038155</v>
      </c>
      <c r="J39" s="382"/>
      <c r="K39" s="382"/>
      <c r="L39" s="382"/>
      <c r="M39" s="382"/>
      <c r="N39" s="382"/>
      <c r="O39" s="381">
        <f t="shared" si="3"/>
        <v>7038155</v>
      </c>
    </row>
    <row r="40" spans="1:15" ht="12.75">
      <c r="A40" s="116" t="s">
        <v>39</v>
      </c>
      <c r="B40" s="119" t="s">
        <v>40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1">
        <f t="shared" si="3"/>
        <v>0</v>
      </c>
    </row>
    <row r="41" spans="1:15" ht="12.75">
      <c r="A41" s="116"/>
      <c r="B41" s="119" t="s">
        <v>316</v>
      </c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1"/>
    </row>
    <row r="42" spans="1:15" ht="12.75">
      <c r="A42" s="116"/>
      <c r="B42" s="119" t="s">
        <v>317</v>
      </c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1"/>
    </row>
    <row r="43" spans="1:15" ht="12.75">
      <c r="A43" s="116" t="s">
        <v>41</v>
      </c>
      <c r="B43" s="119" t="s">
        <v>42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1">
        <f t="shared" si="3"/>
        <v>0</v>
      </c>
    </row>
    <row r="44" spans="1:15" ht="12.75">
      <c r="A44" s="116"/>
      <c r="B44" s="119" t="s">
        <v>356</v>
      </c>
      <c r="C44" s="382">
        <v>588284</v>
      </c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1">
        <f t="shared" si="3"/>
        <v>588284</v>
      </c>
    </row>
    <row r="45" spans="1:15" ht="12.75">
      <c r="A45" s="116"/>
      <c r="B45" s="119" t="s">
        <v>318</v>
      </c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1">
        <f t="shared" si="3"/>
        <v>0</v>
      </c>
    </row>
    <row r="46" spans="1:15" ht="12.75">
      <c r="A46" s="116" t="s">
        <v>319</v>
      </c>
      <c r="B46" s="119" t="s">
        <v>320</v>
      </c>
      <c r="C46" s="382"/>
      <c r="D46" s="382"/>
      <c r="E46" s="382"/>
      <c r="F46" s="382"/>
      <c r="G46" s="382">
        <f>11720759-316720</f>
        <v>11404039</v>
      </c>
      <c r="H46" s="382"/>
      <c r="I46" s="382"/>
      <c r="J46" s="382"/>
      <c r="K46" s="382"/>
      <c r="L46" s="382"/>
      <c r="M46" s="382"/>
      <c r="N46" s="382"/>
      <c r="O46" s="381">
        <f t="shared" si="3"/>
        <v>11404039</v>
      </c>
    </row>
    <row r="47" spans="1:15" ht="13.5" thickBot="1">
      <c r="A47" s="120" t="s">
        <v>321</v>
      </c>
      <c r="B47" s="121" t="s">
        <v>322</v>
      </c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1"/>
    </row>
    <row r="48" spans="1:15" ht="13.5" thickBot="1">
      <c r="A48" s="122"/>
      <c r="B48" s="122" t="s">
        <v>323</v>
      </c>
      <c r="C48" s="380">
        <f>SUM(C31:C47)</f>
        <v>1575027</v>
      </c>
      <c r="D48" s="380">
        <f aca="true" t="shared" si="4" ref="D48:N48">SUM(D31:D47)</f>
        <v>1275435</v>
      </c>
      <c r="E48" s="380">
        <f t="shared" si="4"/>
        <v>1528037</v>
      </c>
      <c r="F48" s="380">
        <f t="shared" si="4"/>
        <v>1485438</v>
      </c>
      <c r="G48" s="380">
        <f t="shared" si="4"/>
        <v>15272303</v>
      </c>
      <c r="H48" s="380">
        <f t="shared" si="4"/>
        <v>18114286</v>
      </c>
      <c r="I48" s="380">
        <f t="shared" si="4"/>
        <v>9493018</v>
      </c>
      <c r="J48" s="380">
        <f t="shared" si="4"/>
        <v>2493961</v>
      </c>
      <c r="K48" s="380">
        <f t="shared" si="4"/>
        <v>2065329</v>
      </c>
      <c r="L48" s="380">
        <f t="shared" si="4"/>
        <v>1799714</v>
      </c>
      <c r="M48" s="380">
        <f t="shared" si="4"/>
        <v>2035723</v>
      </c>
      <c r="N48" s="380">
        <f t="shared" si="4"/>
        <v>28200156</v>
      </c>
      <c r="O48" s="379">
        <f>SUM(O31:O47)</f>
        <v>85338427</v>
      </c>
    </row>
    <row r="49" spans="1:15" ht="13.5" thickBot="1">
      <c r="A49" s="125"/>
      <c r="B49" s="126" t="s">
        <v>324</v>
      </c>
      <c r="C49" s="378">
        <f>C29-C48</f>
        <v>5788671</v>
      </c>
      <c r="D49" s="378">
        <f aca="true" t="shared" si="5" ref="D49:N49">D29-D48</f>
        <v>7652718</v>
      </c>
      <c r="E49" s="378">
        <f t="shared" si="5"/>
        <v>8558443</v>
      </c>
      <c r="F49" s="378">
        <f t="shared" si="5"/>
        <v>8941392</v>
      </c>
      <c r="G49" s="378">
        <f t="shared" si="5"/>
        <v>8543465</v>
      </c>
      <c r="H49" s="378">
        <f t="shared" si="5"/>
        <v>9704019</v>
      </c>
      <c r="I49" s="378">
        <f t="shared" si="5"/>
        <v>1807720</v>
      </c>
      <c r="J49" s="378">
        <f t="shared" si="5"/>
        <v>1006054</v>
      </c>
      <c r="K49" s="378">
        <f t="shared" si="5"/>
        <v>845255</v>
      </c>
      <c r="L49" s="378">
        <f t="shared" si="5"/>
        <v>620071</v>
      </c>
      <c r="M49" s="378">
        <f t="shared" si="5"/>
        <v>208878</v>
      </c>
      <c r="N49" s="378">
        <f t="shared" si="5"/>
        <v>0</v>
      </c>
      <c r="O49" s="377"/>
    </row>
    <row r="50" spans="1:15" ht="12.75">
      <c r="A50" s="1"/>
      <c r="B50" s="1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</row>
    <row r="51" spans="1:15" ht="12.7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1:15" ht="12.7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5" ht="12.7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</row>
    <row r="54" spans="1:15" ht="12.7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1:15" ht="12.7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</row>
    <row r="56" spans="1:15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5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</row>
    <row r="58" spans="1:15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</row>
  </sheetData>
  <sheetProtection password="AF00" sheet="1"/>
  <mergeCells count="5">
    <mergeCell ref="A3:O5"/>
    <mergeCell ref="B6:O6"/>
    <mergeCell ref="B7:O7"/>
    <mergeCell ref="B8:O8"/>
    <mergeCell ref="A1:O1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1"/>
  <sheetViews>
    <sheetView view="pageBreakPreview" zoomScale="112" zoomScaleSheetLayoutView="112" zoomScalePageLayoutView="0" workbookViewId="0" topLeftCell="A1">
      <selection activeCell="G11" sqref="G11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3" width="17.375" style="0" customWidth="1"/>
  </cols>
  <sheetData>
    <row r="1" spans="1:6" ht="15.75">
      <c r="A1" s="94"/>
      <c r="B1" s="579" t="s">
        <v>483</v>
      </c>
      <c r="C1" s="579"/>
      <c r="D1" s="579"/>
      <c r="E1" s="455"/>
      <c r="F1" s="455"/>
    </row>
    <row r="2" spans="1:4" ht="15.75">
      <c r="A2" s="95"/>
      <c r="B2" s="95"/>
      <c r="C2" s="95"/>
      <c r="D2" s="96"/>
    </row>
    <row r="3" spans="1:4" ht="15.75">
      <c r="A3" s="96"/>
      <c r="B3" s="96"/>
      <c r="C3" s="96"/>
      <c r="D3" s="96"/>
    </row>
    <row r="4" spans="1:4" ht="15.75">
      <c r="A4" s="578" t="s">
        <v>482</v>
      </c>
      <c r="B4" s="578"/>
      <c r="C4" s="578"/>
      <c r="D4" s="578"/>
    </row>
    <row r="5" spans="1:4" ht="15.75">
      <c r="A5" s="578" t="s">
        <v>278</v>
      </c>
      <c r="B5" s="578"/>
      <c r="C5" s="578"/>
      <c r="D5" s="578"/>
    </row>
    <row r="6" spans="1:4" ht="15.75">
      <c r="A6" s="578" t="s">
        <v>460</v>
      </c>
      <c r="B6" s="578"/>
      <c r="C6" s="578"/>
      <c r="D6" s="578"/>
    </row>
    <row r="7" spans="1:4" ht="15.75">
      <c r="A7" s="95"/>
      <c r="B7" s="95"/>
      <c r="C7" s="95"/>
      <c r="D7" s="94"/>
    </row>
    <row r="8" spans="1:4" ht="15.75">
      <c r="A8" s="95"/>
      <c r="B8" s="95"/>
      <c r="C8" s="95"/>
      <c r="D8" s="94"/>
    </row>
    <row r="9" spans="1:4" ht="15.75">
      <c r="A9" s="95"/>
      <c r="B9" s="95"/>
      <c r="C9" s="95"/>
      <c r="D9" s="94"/>
    </row>
    <row r="10" spans="1:4" ht="15.75">
      <c r="A10" s="95"/>
      <c r="B10" s="95"/>
      <c r="C10" s="95"/>
      <c r="D10" s="94"/>
    </row>
    <row r="11" spans="1:4" ht="15.75">
      <c r="A11" s="168" t="s">
        <v>17</v>
      </c>
      <c r="B11" s="97" t="s">
        <v>279</v>
      </c>
      <c r="C11" s="95"/>
      <c r="D11" s="94"/>
    </row>
    <row r="12" spans="1:4" ht="15.75">
      <c r="A12" s="168"/>
      <c r="B12" s="97"/>
      <c r="C12" s="95"/>
      <c r="D12" s="94"/>
    </row>
    <row r="13" spans="1:4" ht="15.75">
      <c r="A13" s="168"/>
      <c r="B13" s="97"/>
      <c r="C13" s="98"/>
      <c r="D13" s="94"/>
    </row>
    <row r="14" spans="1:4" ht="16.5">
      <c r="A14" s="169" t="s">
        <v>412</v>
      </c>
      <c r="B14" s="99" t="s">
        <v>280</v>
      </c>
      <c r="C14" s="100"/>
      <c r="D14" s="101"/>
    </row>
    <row r="15" spans="1:4" ht="18">
      <c r="A15" s="170" t="s">
        <v>411</v>
      </c>
      <c r="B15" s="94" t="s">
        <v>281</v>
      </c>
      <c r="C15" s="102">
        <v>1599000</v>
      </c>
      <c r="D15" s="94" t="s">
        <v>282</v>
      </c>
    </row>
    <row r="16" spans="1:4" ht="15.75">
      <c r="A16" s="167"/>
      <c r="B16" s="96" t="s">
        <v>283</v>
      </c>
      <c r="C16" s="103">
        <f>SUM(C15)</f>
        <v>1599000</v>
      </c>
      <c r="D16" s="96" t="s">
        <v>282</v>
      </c>
    </row>
    <row r="17" spans="1:4" ht="15.75">
      <c r="A17" s="94"/>
      <c r="B17" s="96"/>
      <c r="C17" s="103"/>
      <c r="D17" s="96"/>
    </row>
    <row r="18" spans="1:4" ht="15.75">
      <c r="A18" s="94"/>
      <c r="B18" s="104"/>
      <c r="C18" s="103"/>
      <c r="D18" s="94"/>
    </row>
    <row r="19" spans="1:4" ht="18">
      <c r="A19" s="94"/>
      <c r="B19" s="94"/>
      <c r="C19" s="105"/>
      <c r="D19" s="94"/>
    </row>
    <row r="20" spans="1:4" ht="15.75">
      <c r="A20" s="96"/>
      <c r="B20" s="96"/>
      <c r="C20" s="103"/>
      <c r="D20" s="96"/>
    </row>
    <row r="21" spans="1:4" ht="15.75">
      <c r="A21" s="106"/>
      <c r="B21" s="106"/>
      <c r="C21" s="106"/>
      <c r="D21" s="106"/>
    </row>
  </sheetData>
  <sheetProtection password="AF00" sheet="1"/>
  <mergeCells count="4">
    <mergeCell ref="A4:D4"/>
    <mergeCell ref="A5:D5"/>
    <mergeCell ref="A6:D6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1"/>
  <sheetViews>
    <sheetView view="pageBreakPreview" zoomScaleSheetLayoutView="100" zoomScalePageLayoutView="0" workbookViewId="0" topLeftCell="A1">
      <selection activeCell="P11" sqref="P11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651" t="s">
        <v>484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1:13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652" t="s">
        <v>7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</row>
    <row r="4" spans="1:13" ht="15.75">
      <c r="A4" s="652" t="s">
        <v>230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</row>
    <row r="5" spans="1:13" ht="15.75">
      <c r="A5" s="652" t="s">
        <v>457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</row>
    <row r="6" spans="1:13" ht="15.75">
      <c r="A6" s="72" t="s">
        <v>231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8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.75">
      <c r="A8" s="74" t="s">
        <v>232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9.5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16.5" thickBot="1">
      <c r="A10" s="598" t="s">
        <v>233</v>
      </c>
      <c r="B10" s="604"/>
      <c r="C10" s="604"/>
      <c r="D10" s="646" t="s">
        <v>234</v>
      </c>
      <c r="E10" s="647"/>
      <c r="F10" s="648"/>
      <c r="G10" s="646" t="s">
        <v>235</v>
      </c>
      <c r="H10" s="647"/>
      <c r="I10" s="648"/>
      <c r="J10" s="646" t="s">
        <v>236</v>
      </c>
      <c r="K10" s="647"/>
      <c r="L10" s="648"/>
      <c r="M10" s="599" t="s">
        <v>237</v>
      </c>
    </row>
    <row r="11" spans="1:13" ht="15.75">
      <c r="A11" s="600"/>
      <c r="B11" s="605"/>
      <c r="C11" s="605"/>
      <c r="D11" s="76" t="s">
        <v>238</v>
      </c>
      <c r="E11" s="77" t="s">
        <v>239</v>
      </c>
      <c r="F11" s="78" t="s">
        <v>240</v>
      </c>
      <c r="G11" s="77" t="s">
        <v>241</v>
      </c>
      <c r="H11" s="77" t="s">
        <v>239</v>
      </c>
      <c r="I11" s="78" t="s">
        <v>242</v>
      </c>
      <c r="J11" s="77" t="s">
        <v>241</v>
      </c>
      <c r="K11" s="78" t="s">
        <v>239</v>
      </c>
      <c r="L11" s="77" t="s">
        <v>242</v>
      </c>
      <c r="M11" s="601"/>
    </row>
    <row r="12" spans="1:13" ht="16.5" thickBot="1">
      <c r="A12" s="600"/>
      <c r="B12" s="605"/>
      <c r="C12" s="605"/>
      <c r="D12" s="79" t="s">
        <v>243</v>
      </c>
      <c r="E12" s="80" t="s">
        <v>244</v>
      </c>
      <c r="F12" s="81" t="s">
        <v>245</v>
      </c>
      <c r="G12" s="82" t="s">
        <v>243</v>
      </c>
      <c r="H12" s="80" t="s">
        <v>244</v>
      </c>
      <c r="I12" s="81" t="s">
        <v>245</v>
      </c>
      <c r="J12" s="82" t="s">
        <v>243</v>
      </c>
      <c r="K12" s="81" t="s">
        <v>244</v>
      </c>
      <c r="L12" s="80" t="s">
        <v>245</v>
      </c>
      <c r="M12" s="603"/>
    </row>
    <row r="13" spans="1:13" ht="12.75">
      <c r="A13" s="632"/>
      <c r="B13" s="633"/>
      <c r="C13" s="634"/>
      <c r="D13" s="641"/>
      <c r="E13" s="624"/>
      <c r="F13" s="644"/>
      <c r="G13" s="649"/>
      <c r="H13" s="649"/>
      <c r="I13" s="649"/>
      <c r="J13" s="624"/>
      <c r="K13" s="624"/>
      <c r="L13" s="624"/>
      <c r="M13" s="626">
        <f>L13+I13+F13</f>
        <v>0</v>
      </c>
    </row>
    <row r="14" spans="1:13" ht="12.75">
      <c r="A14" s="635"/>
      <c r="B14" s="636"/>
      <c r="C14" s="637"/>
      <c r="D14" s="642"/>
      <c r="E14" s="581"/>
      <c r="F14" s="607"/>
      <c r="G14" s="581"/>
      <c r="H14" s="581"/>
      <c r="I14" s="581"/>
      <c r="J14" s="581"/>
      <c r="K14" s="581"/>
      <c r="L14" s="581"/>
      <c r="M14" s="581"/>
    </row>
    <row r="15" spans="1:13" ht="13.5" thickBot="1">
      <c r="A15" s="638"/>
      <c r="B15" s="639"/>
      <c r="C15" s="640"/>
      <c r="D15" s="643"/>
      <c r="E15" s="625"/>
      <c r="F15" s="645"/>
      <c r="G15" s="650"/>
      <c r="H15" s="650"/>
      <c r="I15" s="650"/>
      <c r="J15" s="625"/>
      <c r="K15" s="625"/>
      <c r="L15" s="625"/>
      <c r="M15" s="625"/>
    </row>
    <row r="16" spans="1:13" ht="12.75">
      <c r="A16" s="592" t="s">
        <v>246</v>
      </c>
      <c r="B16" s="619"/>
      <c r="C16" s="593"/>
      <c r="D16" s="621"/>
      <c r="E16" s="621"/>
      <c r="F16" s="627">
        <f>SUM(F13)</f>
        <v>0</v>
      </c>
      <c r="G16" s="621"/>
      <c r="H16" s="621"/>
      <c r="I16" s="621"/>
      <c r="J16" s="621"/>
      <c r="K16" s="621"/>
      <c r="L16" s="621"/>
      <c r="M16" s="623">
        <f>M13</f>
        <v>0</v>
      </c>
    </row>
    <row r="17" spans="1:13" ht="13.5" thickBot="1">
      <c r="A17" s="594"/>
      <c r="B17" s="620"/>
      <c r="C17" s="595"/>
      <c r="D17" s="622"/>
      <c r="E17" s="622"/>
      <c r="F17" s="628"/>
      <c r="G17" s="622"/>
      <c r="H17" s="622"/>
      <c r="I17" s="622"/>
      <c r="J17" s="622"/>
      <c r="K17" s="622"/>
      <c r="L17" s="622"/>
      <c r="M17" s="622"/>
    </row>
    <row r="18" spans="1:13" ht="18.75">
      <c r="A18" s="73"/>
      <c r="B18" s="73"/>
      <c r="C18" s="73"/>
      <c r="D18" s="73"/>
      <c r="E18" s="73"/>
      <c r="F18" s="83"/>
      <c r="G18" s="73"/>
      <c r="H18" s="73"/>
      <c r="I18" s="73"/>
      <c r="J18" s="73"/>
      <c r="K18" s="73"/>
      <c r="L18" s="73"/>
      <c r="M18" s="73"/>
    </row>
    <row r="19" spans="1:13" ht="15.75">
      <c r="A19" s="74" t="s">
        <v>247</v>
      </c>
      <c r="B19" s="74"/>
      <c r="C19" s="74"/>
      <c r="D19" s="74"/>
      <c r="E19" s="74"/>
      <c r="F19" s="84"/>
      <c r="G19" s="74"/>
      <c r="H19" s="74"/>
      <c r="I19" s="74"/>
      <c r="J19" s="74"/>
      <c r="K19" s="74"/>
      <c r="L19" s="74"/>
      <c r="M19" s="74"/>
    </row>
    <row r="20" spans="1:13" ht="18.75">
      <c r="A20" s="85" t="s">
        <v>248</v>
      </c>
      <c r="B20" s="85"/>
      <c r="C20" s="85"/>
      <c r="D20" s="85"/>
      <c r="E20" s="85"/>
      <c r="F20" s="86" t="s">
        <v>249</v>
      </c>
      <c r="G20" s="87" t="s">
        <v>245</v>
      </c>
      <c r="H20" s="73"/>
      <c r="I20" s="73"/>
      <c r="J20" s="73"/>
      <c r="K20" s="73"/>
      <c r="L20" s="73"/>
      <c r="M20" s="73"/>
    </row>
    <row r="21" spans="1:13" ht="18.75">
      <c r="A21" s="85" t="s">
        <v>250</v>
      </c>
      <c r="B21" s="85"/>
      <c r="C21" s="85"/>
      <c r="D21" s="85"/>
      <c r="E21" s="85"/>
      <c r="F21" s="86"/>
      <c r="G21" s="87" t="s">
        <v>245</v>
      </c>
      <c r="H21" s="73"/>
      <c r="I21" s="73"/>
      <c r="J21" s="73"/>
      <c r="K21" s="73"/>
      <c r="L21" s="73"/>
      <c r="M21" s="73"/>
    </row>
    <row r="22" spans="1:13" ht="18.75">
      <c r="A22" s="85" t="s">
        <v>251</v>
      </c>
      <c r="B22" s="85"/>
      <c r="C22" s="85"/>
      <c r="D22" s="85"/>
      <c r="E22" s="85"/>
      <c r="F22" s="88"/>
      <c r="G22" s="89" t="s">
        <v>245</v>
      </c>
      <c r="H22" s="73"/>
      <c r="I22" s="73"/>
      <c r="J22" s="73"/>
      <c r="K22" s="73"/>
      <c r="L22" s="73"/>
      <c r="M22" s="73"/>
    </row>
    <row r="23" spans="1:13" ht="18.75">
      <c r="A23" s="85" t="s">
        <v>252</v>
      </c>
      <c r="B23" s="85"/>
      <c r="C23" s="85"/>
      <c r="D23" s="85"/>
      <c r="E23" s="85"/>
      <c r="F23" s="90">
        <f>SUM(F20:F22)</f>
        <v>0</v>
      </c>
      <c r="G23" s="91" t="s">
        <v>245</v>
      </c>
      <c r="H23" s="73"/>
      <c r="I23" s="73"/>
      <c r="J23" s="73"/>
      <c r="K23" s="73"/>
      <c r="L23" s="73"/>
      <c r="M23" s="73"/>
    </row>
    <row r="24" spans="1:13" ht="15.75">
      <c r="A24" s="74" t="s">
        <v>253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5.7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5.7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5.7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5.7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5.7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5.7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8.75">
      <c r="A32" s="85"/>
      <c r="B32" s="85"/>
      <c r="C32" s="85"/>
      <c r="D32" s="85"/>
      <c r="E32" s="85"/>
      <c r="F32" s="90"/>
      <c r="G32" s="91"/>
      <c r="H32" s="73"/>
      <c r="I32" s="73"/>
      <c r="J32" s="73"/>
      <c r="K32" s="73"/>
      <c r="L32" s="73"/>
      <c r="M32" s="73"/>
    </row>
    <row r="33" spans="1:13" ht="19.5" thickBot="1">
      <c r="A33" s="85"/>
      <c r="B33" s="85"/>
      <c r="C33" s="85"/>
      <c r="D33" s="85"/>
      <c r="E33" s="85"/>
      <c r="F33" s="90"/>
      <c r="G33" s="91"/>
      <c r="H33" s="73"/>
      <c r="I33" s="73"/>
      <c r="J33" s="73"/>
      <c r="K33" s="73"/>
      <c r="L33" s="73"/>
      <c r="M33" s="73"/>
    </row>
    <row r="34" spans="1:13" ht="16.5" thickBot="1">
      <c r="A34" s="598" t="s">
        <v>233</v>
      </c>
      <c r="B34" s="604"/>
      <c r="C34" s="604"/>
      <c r="D34" s="646" t="s">
        <v>234</v>
      </c>
      <c r="E34" s="647"/>
      <c r="F34" s="648"/>
      <c r="G34" s="646" t="s">
        <v>235</v>
      </c>
      <c r="H34" s="647"/>
      <c r="I34" s="648"/>
      <c r="J34" s="646" t="s">
        <v>236</v>
      </c>
      <c r="K34" s="647"/>
      <c r="L34" s="648"/>
      <c r="M34" s="599" t="s">
        <v>254</v>
      </c>
    </row>
    <row r="35" spans="1:13" ht="15.75">
      <c r="A35" s="600"/>
      <c r="B35" s="605"/>
      <c r="C35" s="605"/>
      <c r="D35" s="76" t="s">
        <v>238</v>
      </c>
      <c r="E35" s="77" t="s">
        <v>239</v>
      </c>
      <c r="F35" s="78" t="s">
        <v>240</v>
      </c>
      <c r="G35" s="77" t="s">
        <v>241</v>
      </c>
      <c r="H35" s="77" t="s">
        <v>239</v>
      </c>
      <c r="I35" s="78" t="s">
        <v>242</v>
      </c>
      <c r="J35" s="77" t="s">
        <v>241</v>
      </c>
      <c r="K35" s="78" t="s">
        <v>239</v>
      </c>
      <c r="L35" s="77" t="s">
        <v>242</v>
      </c>
      <c r="M35" s="601"/>
    </row>
    <row r="36" spans="1:13" ht="16.5" thickBot="1">
      <c r="A36" s="600"/>
      <c r="B36" s="605"/>
      <c r="C36" s="605"/>
      <c r="D36" s="79" t="s">
        <v>243</v>
      </c>
      <c r="E36" s="80" t="s">
        <v>244</v>
      </c>
      <c r="F36" s="81" t="s">
        <v>245</v>
      </c>
      <c r="G36" s="82" t="s">
        <v>243</v>
      </c>
      <c r="H36" s="80" t="s">
        <v>244</v>
      </c>
      <c r="I36" s="81" t="s">
        <v>245</v>
      </c>
      <c r="J36" s="82" t="s">
        <v>243</v>
      </c>
      <c r="K36" s="81" t="s">
        <v>244</v>
      </c>
      <c r="L36" s="80" t="s">
        <v>245</v>
      </c>
      <c r="M36" s="603"/>
    </row>
    <row r="37" spans="1:13" ht="12.75">
      <c r="A37" s="632" t="s">
        <v>255</v>
      </c>
      <c r="B37" s="633"/>
      <c r="C37" s="634"/>
      <c r="D37" s="641" t="s">
        <v>256</v>
      </c>
      <c r="E37" s="624"/>
      <c r="F37" s="644">
        <v>84</v>
      </c>
      <c r="G37" s="649"/>
      <c r="H37" s="649"/>
      <c r="I37" s="649"/>
      <c r="J37" s="624"/>
      <c r="K37" s="624"/>
      <c r="L37" s="624"/>
      <c r="M37" s="626">
        <f>L37+I37+F37</f>
        <v>84</v>
      </c>
    </row>
    <row r="38" spans="1:13" ht="12.75">
      <c r="A38" s="635"/>
      <c r="B38" s="636"/>
      <c r="C38" s="637"/>
      <c r="D38" s="642"/>
      <c r="E38" s="581"/>
      <c r="F38" s="607"/>
      <c r="G38" s="581"/>
      <c r="H38" s="581"/>
      <c r="I38" s="581"/>
      <c r="J38" s="581"/>
      <c r="K38" s="581"/>
      <c r="L38" s="581"/>
      <c r="M38" s="581"/>
    </row>
    <row r="39" spans="1:13" ht="12.75">
      <c r="A39" s="638"/>
      <c r="B39" s="639"/>
      <c r="C39" s="640"/>
      <c r="D39" s="643"/>
      <c r="E39" s="625"/>
      <c r="F39" s="645"/>
      <c r="G39" s="581"/>
      <c r="H39" s="581"/>
      <c r="I39" s="581"/>
      <c r="J39" s="625"/>
      <c r="K39" s="625"/>
      <c r="L39" s="625"/>
      <c r="M39" s="625"/>
    </row>
    <row r="40" spans="1:13" ht="12.75">
      <c r="A40" s="632" t="s">
        <v>257</v>
      </c>
      <c r="B40" s="633"/>
      <c r="C40" s="634"/>
      <c r="D40" s="641" t="s">
        <v>258</v>
      </c>
      <c r="E40" s="624"/>
      <c r="F40" s="644"/>
      <c r="G40" s="630"/>
      <c r="H40" s="630"/>
      <c r="I40" s="630"/>
      <c r="J40" s="624"/>
      <c r="K40" s="624"/>
      <c r="L40" s="624"/>
      <c r="M40" s="626">
        <f>L40+I40+F40</f>
        <v>0</v>
      </c>
    </row>
    <row r="41" spans="1:13" ht="12.75">
      <c r="A41" s="635"/>
      <c r="B41" s="636"/>
      <c r="C41" s="637"/>
      <c r="D41" s="642"/>
      <c r="E41" s="581"/>
      <c r="F41" s="607"/>
      <c r="G41" s="630"/>
      <c r="H41" s="630"/>
      <c r="I41" s="630"/>
      <c r="J41" s="581"/>
      <c r="K41" s="581"/>
      <c r="L41" s="581"/>
      <c r="M41" s="581"/>
    </row>
    <row r="42" spans="1:13" ht="12.75">
      <c r="A42" s="638"/>
      <c r="B42" s="639"/>
      <c r="C42" s="640"/>
      <c r="D42" s="643"/>
      <c r="E42" s="625"/>
      <c r="F42" s="645"/>
      <c r="G42" s="630"/>
      <c r="H42" s="630"/>
      <c r="I42" s="630"/>
      <c r="J42" s="625"/>
      <c r="K42" s="625"/>
      <c r="L42" s="625"/>
      <c r="M42" s="625"/>
    </row>
    <row r="43" spans="1:13" ht="12.75">
      <c r="A43" s="632" t="s">
        <v>259</v>
      </c>
      <c r="B43" s="633"/>
      <c r="C43" s="634"/>
      <c r="D43" s="641" t="s">
        <v>260</v>
      </c>
      <c r="E43" s="624"/>
      <c r="F43" s="644"/>
      <c r="G43" s="630"/>
      <c r="H43" s="630"/>
      <c r="I43" s="630"/>
      <c r="J43" s="624"/>
      <c r="K43" s="624"/>
      <c r="L43" s="624"/>
      <c r="M43" s="626">
        <f>L43+I43+F43</f>
        <v>0</v>
      </c>
    </row>
    <row r="44" spans="1:13" ht="12.75">
      <c r="A44" s="635"/>
      <c r="B44" s="636"/>
      <c r="C44" s="637"/>
      <c r="D44" s="642"/>
      <c r="E44" s="581"/>
      <c r="F44" s="607"/>
      <c r="G44" s="630"/>
      <c r="H44" s="630"/>
      <c r="I44" s="630"/>
      <c r="J44" s="581"/>
      <c r="K44" s="581"/>
      <c r="L44" s="581"/>
      <c r="M44" s="581"/>
    </row>
    <row r="45" spans="1:13" ht="12.75">
      <c r="A45" s="638"/>
      <c r="B45" s="639"/>
      <c r="C45" s="640"/>
      <c r="D45" s="643"/>
      <c r="E45" s="625"/>
      <c r="F45" s="645"/>
      <c r="G45" s="630"/>
      <c r="H45" s="630"/>
      <c r="I45" s="630"/>
      <c r="J45" s="625"/>
      <c r="K45" s="625"/>
      <c r="L45" s="625"/>
      <c r="M45" s="625"/>
    </row>
    <row r="46" spans="1:13" ht="12.75">
      <c r="A46" s="632" t="s">
        <v>261</v>
      </c>
      <c r="B46" s="633"/>
      <c r="C46" s="634"/>
      <c r="D46" s="641"/>
      <c r="E46" s="624"/>
      <c r="F46" s="644"/>
      <c r="G46" s="629" t="s">
        <v>262</v>
      </c>
      <c r="H46" s="630"/>
      <c r="I46" s="631"/>
      <c r="J46" s="624"/>
      <c r="K46" s="624"/>
      <c r="L46" s="624"/>
      <c r="M46" s="626">
        <f>L46+I46+F46</f>
        <v>0</v>
      </c>
    </row>
    <row r="47" spans="1:13" ht="12.75">
      <c r="A47" s="635"/>
      <c r="B47" s="636"/>
      <c r="C47" s="637"/>
      <c r="D47" s="642"/>
      <c r="E47" s="581"/>
      <c r="F47" s="607"/>
      <c r="G47" s="629"/>
      <c r="H47" s="630"/>
      <c r="I47" s="631"/>
      <c r="J47" s="581"/>
      <c r="K47" s="581"/>
      <c r="L47" s="581"/>
      <c r="M47" s="581"/>
    </row>
    <row r="48" spans="1:13" ht="12.75">
      <c r="A48" s="638"/>
      <c r="B48" s="639"/>
      <c r="C48" s="640"/>
      <c r="D48" s="643"/>
      <c r="E48" s="625"/>
      <c r="F48" s="645"/>
      <c r="G48" s="629"/>
      <c r="H48" s="630"/>
      <c r="I48" s="631"/>
      <c r="J48" s="625"/>
      <c r="K48" s="625"/>
      <c r="L48" s="625"/>
      <c r="M48" s="625"/>
    </row>
    <row r="49" spans="1:13" ht="12.75">
      <c r="A49" s="632" t="s">
        <v>261</v>
      </c>
      <c r="B49" s="633"/>
      <c r="C49" s="634"/>
      <c r="D49" s="641"/>
      <c r="E49" s="624"/>
      <c r="F49" s="644"/>
      <c r="G49" s="629" t="s">
        <v>263</v>
      </c>
      <c r="H49" s="630"/>
      <c r="I49" s="631"/>
      <c r="J49" s="624"/>
      <c r="K49" s="624"/>
      <c r="L49" s="624"/>
      <c r="M49" s="626">
        <f>L49+I49+F49</f>
        <v>0</v>
      </c>
    </row>
    <row r="50" spans="1:13" ht="12.75">
      <c r="A50" s="635"/>
      <c r="B50" s="636"/>
      <c r="C50" s="637"/>
      <c r="D50" s="642"/>
      <c r="E50" s="581"/>
      <c r="F50" s="607"/>
      <c r="G50" s="629"/>
      <c r="H50" s="630"/>
      <c r="I50" s="631"/>
      <c r="J50" s="581"/>
      <c r="K50" s="581"/>
      <c r="L50" s="581"/>
      <c r="M50" s="581"/>
    </row>
    <row r="51" spans="1:13" ht="12.75">
      <c r="A51" s="638"/>
      <c r="B51" s="639"/>
      <c r="C51" s="640"/>
      <c r="D51" s="643"/>
      <c r="E51" s="625"/>
      <c r="F51" s="645"/>
      <c r="G51" s="629"/>
      <c r="H51" s="630"/>
      <c r="I51" s="631"/>
      <c r="J51" s="625"/>
      <c r="K51" s="625"/>
      <c r="L51" s="625"/>
      <c r="M51" s="625"/>
    </row>
    <row r="52" spans="1:13" ht="12.75">
      <c r="A52" s="632" t="s">
        <v>261</v>
      </c>
      <c r="B52" s="633"/>
      <c r="C52" s="634"/>
      <c r="D52" s="641"/>
      <c r="E52" s="624"/>
      <c r="F52" s="644"/>
      <c r="G52" s="629" t="s">
        <v>264</v>
      </c>
      <c r="H52" s="630"/>
      <c r="I52" s="631"/>
      <c r="J52" s="624"/>
      <c r="K52" s="624"/>
      <c r="L52" s="624"/>
      <c r="M52" s="626">
        <f>L52+I52+F52</f>
        <v>0</v>
      </c>
    </row>
    <row r="53" spans="1:13" ht="12.75">
      <c r="A53" s="635"/>
      <c r="B53" s="636"/>
      <c r="C53" s="637"/>
      <c r="D53" s="642"/>
      <c r="E53" s="581"/>
      <c r="F53" s="607"/>
      <c r="G53" s="629"/>
      <c r="H53" s="630"/>
      <c r="I53" s="631"/>
      <c r="J53" s="581"/>
      <c r="K53" s="581"/>
      <c r="L53" s="581"/>
      <c r="M53" s="581"/>
    </row>
    <row r="54" spans="1:13" ht="12.75">
      <c r="A54" s="638"/>
      <c r="B54" s="639"/>
      <c r="C54" s="640"/>
      <c r="D54" s="643"/>
      <c r="E54" s="625"/>
      <c r="F54" s="645"/>
      <c r="G54" s="629"/>
      <c r="H54" s="630"/>
      <c r="I54" s="631"/>
      <c r="J54" s="625"/>
      <c r="K54" s="625"/>
      <c r="L54" s="625"/>
      <c r="M54" s="625"/>
    </row>
    <row r="55" spans="1:13" ht="12.75">
      <c r="A55" s="632" t="s">
        <v>261</v>
      </c>
      <c r="B55" s="633"/>
      <c r="C55" s="634"/>
      <c r="D55" s="641"/>
      <c r="E55" s="624"/>
      <c r="F55" s="644"/>
      <c r="G55" s="629" t="s">
        <v>265</v>
      </c>
      <c r="H55" s="630"/>
      <c r="I55" s="631"/>
      <c r="J55" s="624"/>
      <c r="K55" s="624"/>
      <c r="L55" s="624"/>
      <c r="M55" s="626">
        <f>L55+I55+F55</f>
        <v>0</v>
      </c>
    </row>
    <row r="56" spans="1:13" ht="12.75">
      <c r="A56" s="635"/>
      <c r="B56" s="636"/>
      <c r="C56" s="637"/>
      <c r="D56" s="642"/>
      <c r="E56" s="581"/>
      <c r="F56" s="607"/>
      <c r="G56" s="629"/>
      <c r="H56" s="630"/>
      <c r="I56" s="631"/>
      <c r="J56" s="581"/>
      <c r="K56" s="581"/>
      <c r="L56" s="581"/>
      <c r="M56" s="581"/>
    </row>
    <row r="57" spans="1:13" ht="13.5" thickBot="1">
      <c r="A57" s="638"/>
      <c r="B57" s="639"/>
      <c r="C57" s="640"/>
      <c r="D57" s="643"/>
      <c r="E57" s="625"/>
      <c r="F57" s="645"/>
      <c r="G57" s="629"/>
      <c r="H57" s="630"/>
      <c r="I57" s="631"/>
      <c r="J57" s="625"/>
      <c r="K57" s="625"/>
      <c r="L57" s="625"/>
      <c r="M57" s="625"/>
    </row>
    <row r="58" spans="1:13" ht="12.75">
      <c r="A58" s="592" t="s">
        <v>246</v>
      </c>
      <c r="B58" s="619"/>
      <c r="C58" s="593"/>
      <c r="D58" s="621"/>
      <c r="E58" s="621"/>
      <c r="F58" s="627">
        <f>SUM(F37:F57)</f>
        <v>84</v>
      </c>
      <c r="G58" s="621"/>
      <c r="H58" s="621"/>
      <c r="I58" s="623">
        <f>SUM(I46:I57)</f>
        <v>0</v>
      </c>
      <c r="J58" s="621"/>
      <c r="K58" s="621"/>
      <c r="L58" s="621"/>
      <c r="M58" s="623">
        <f>SUM(M37:M57)</f>
        <v>84</v>
      </c>
    </row>
    <row r="59" spans="1:13" ht="13.5" thickBot="1">
      <c r="A59" s="594"/>
      <c r="B59" s="620"/>
      <c r="C59" s="595"/>
      <c r="D59" s="622"/>
      <c r="E59" s="622"/>
      <c r="F59" s="628"/>
      <c r="G59" s="622"/>
      <c r="H59" s="622"/>
      <c r="I59" s="622"/>
      <c r="J59" s="622"/>
      <c r="K59" s="622"/>
      <c r="L59" s="622"/>
      <c r="M59" s="622"/>
    </row>
    <row r="60" spans="1:13" ht="15.75">
      <c r="A60" s="9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5.75">
      <c r="A61" s="9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5.75">
      <c r="A62" s="9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.75">
      <c r="A63" s="9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5.75" customHeight="1">
      <c r="A64" s="92" t="s">
        <v>266</v>
      </c>
      <c r="B64" s="75"/>
      <c r="C64" s="75"/>
      <c r="D64" s="75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5.75">
      <c r="A65" s="92" t="s">
        <v>267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9" customHeight="1" thickBo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2.75">
      <c r="A67" s="598" t="s">
        <v>233</v>
      </c>
      <c r="B67" s="604"/>
      <c r="C67" s="604"/>
      <c r="D67" s="598" t="s">
        <v>268</v>
      </c>
      <c r="E67" s="599"/>
      <c r="F67" s="598" t="s">
        <v>269</v>
      </c>
      <c r="G67" s="599"/>
      <c r="H67" s="598" t="s">
        <v>270</v>
      </c>
      <c r="I67" s="599"/>
      <c r="J67" s="598" t="s">
        <v>271</v>
      </c>
      <c r="K67" s="599"/>
      <c r="L67" s="1"/>
      <c r="M67" s="1"/>
    </row>
    <row r="68" spans="1:13" ht="12.75">
      <c r="A68" s="600"/>
      <c r="B68" s="605"/>
      <c r="C68" s="605"/>
      <c r="D68" s="600"/>
      <c r="E68" s="601"/>
      <c r="F68" s="600"/>
      <c r="G68" s="601"/>
      <c r="H68" s="600"/>
      <c r="I68" s="601"/>
      <c r="J68" s="600"/>
      <c r="K68" s="601"/>
      <c r="L68" s="1"/>
      <c r="M68" s="1"/>
    </row>
    <row r="69" spans="1:13" ht="3.75" customHeight="1" thickBot="1">
      <c r="A69" s="602"/>
      <c r="B69" s="606"/>
      <c r="C69" s="606"/>
      <c r="D69" s="602"/>
      <c r="E69" s="603"/>
      <c r="F69" s="602"/>
      <c r="G69" s="603"/>
      <c r="H69" s="602"/>
      <c r="I69" s="603"/>
      <c r="J69" s="602"/>
      <c r="K69" s="603"/>
      <c r="L69" s="1"/>
      <c r="M69" s="1"/>
    </row>
    <row r="70" spans="1:13" ht="16.5" thickBot="1">
      <c r="A70" s="581" t="s">
        <v>272</v>
      </c>
      <c r="B70" s="581"/>
      <c r="C70" s="581"/>
      <c r="D70" s="581" t="s">
        <v>249</v>
      </c>
      <c r="E70" s="581"/>
      <c r="F70" s="596" t="s">
        <v>249</v>
      </c>
      <c r="G70" s="597"/>
      <c r="H70" s="596" t="s">
        <v>249</v>
      </c>
      <c r="I70" s="597"/>
      <c r="J70" s="581" t="s">
        <v>249</v>
      </c>
      <c r="K70" s="581"/>
      <c r="L70" s="93"/>
      <c r="M70" s="75"/>
    </row>
    <row r="71" spans="1:13" ht="12.75">
      <c r="A71" s="592" t="s">
        <v>246</v>
      </c>
      <c r="B71" s="619"/>
      <c r="C71" s="593"/>
      <c r="D71" s="592"/>
      <c r="E71" s="593"/>
      <c r="F71" s="592"/>
      <c r="G71" s="593"/>
      <c r="H71" s="592"/>
      <c r="I71" s="593"/>
      <c r="J71" s="592" t="s">
        <v>249</v>
      </c>
      <c r="K71" s="593"/>
      <c r="L71" s="618"/>
      <c r="M71" s="618"/>
    </row>
    <row r="72" spans="1:13" ht="3.75" customHeight="1" thickBot="1">
      <c r="A72" s="594"/>
      <c r="B72" s="620"/>
      <c r="C72" s="595"/>
      <c r="D72" s="594"/>
      <c r="E72" s="595"/>
      <c r="F72" s="594"/>
      <c r="G72" s="595"/>
      <c r="H72" s="594"/>
      <c r="I72" s="595"/>
      <c r="J72" s="594"/>
      <c r="K72" s="595"/>
      <c r="L72" s="618"/>
      <c r="M72" s="618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92" t="s">
        <v>273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598" t="s">
        <v>233</v>
      </c>
      <c r="B76" s="604"/>
      <c r="C76" s="604"/>
      <c r="D76" s="598" t="s">
        <v>268</v>
      </c>
      <c r="E76" s="599"/>
      <c r="F76" s="598" t="s">
        <v>274</v>
      </c>
      <c r="G76" s="599"/>
      <c r="H76" s="598" t="s">
        <v>270</v>
      </c>
      <c r="I76" s="599"/>
      <c r="J76" s="598" t="s">
        <v>271</v>
      </c>
      <c r="K76" s="599"/>
      <c r="L76" s="1"/>
      <c r="M76" s="1"/>
    </row>
    <row r="77" spans="1:13" ht="12.75">
      <c r="A77" s="600"/>
      <c r="B77" s="605"/>
      <c r="C77" s="605"/>
      <c r="D77" s="600"/>
      <c r="E77" s="601"/>
      <c r="F77" s="600"/>
      <c r="G77" s="601"/>
      <c r="H77" s="600"/>
      <c r="I77" s="601"/>
      <c r="J77" s="600"/>
      <c r="K77" s="601"/>
      <c r="L77" s="1"/>
      <c r="M77" s="1"/>
    </row>
    <row r="78" spans="1:13" ht="13.5" thickBot="1">
      <c r="A78" s="602"/>
      <c r="B78" s="606"/>
      <c r="C78" s="606"/>
      <c r="D78" s="602"/>
      <c r="E78" s="603"/>
      <c r="F78" s="602"/>
      <c r="G78" s="603"/>
      <c r="H78" s="602"/>
      <c r="I78" s="603"/>
      <c r="J78" s="602"/>
      <c r="K78" s="603"/>
      <c r="L78" s="1"/>
      <c r="M78" s="1"/>
    </row>
    <row r="79" spans="1:13" ht="16.5" thickBot="1">
      <c r="A79" s="581" t="s">
        <v>275</v>
      </c>
      <c r="B79" s="581"/>
      <c r="C79" s="581"/>
      <c r="D79" s="581"/>
      <c r="E79" s="581"/>
      <c r="F79" s="616" t="s">
        <v>249</v>
      </c>
      <c r="G79" s="617"/>
      <c r="H79" s="616"/>
      <c r="I79" s="617"/>
      <c r="J79" s="607"/>
      <c r="K79" s="607"/>
      <c r="L79" s="93"/>
      <c r="M79" s="75"/>
    </row>
    <row r="80" spans="1:13" ht="12.75">
      <c r="A80" s="582" t="s">
        <v>246</v>
      </c>
      <c r="B80" s="583"/>
      <c r="C80" s="584"/>
      <c r="D80" s="588"/>
      <c r="E80" s="589"/>
      <c r="F80" s="608">
        <f>SUM(F79)</f>
        <v>0</v>
      </c>
      <c r="G80" s="609"/>
      <c r="H80" s="612">
        <f>SUM(H79)</f>
        <v>0</v>
      </c>
      <c r="I80" s="613"/>
      <c r="J80" s="612">
        <f>SUM(J79)</f>
        <v>0</v>
      </c>
      <c r="K80" s="613"/>
      <c r="L80" s="580"/>
      <c r="M80" s="580"/>
    </row>
    <row r="81" spans="1:13" ht="6.75" customHeight="1" thickBot="1">
      <c r="A81" s="585"/>
      <c r="B81" s="586"/>
      <c r="C81" s="587"/>
      <c r="D81" s="590"/>
      <c r="E81" s="591"/>
      <c r="F81" s="610"/>
      <c r="G81" s="611"/>
      <c r="H81" s="614"/>
      <c r="I81" s="615"/>
      <c r="J81" s="614"/>
      <c r="K81" s="615"/>
      <c r="L81" s="580"/>
      <c r="M81" s="580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92" t="s">
        <v>276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598" t="s">
        <v>233</v>
      </c>
      <c r="B85" s="604"/>
      <c r="C85" s="604"/>
      <c r="D85" s="598" t="s">
        <v>268</v>
      </c>
      <c r="E85" s="599"/>
      <c r="F85" s="598" t="s">
        <v>269</v>
      </c>
      <c r="G85" s="599"/>
      <c r="H85" s="598" t="s">
        <v>270</v>
      </c>
      <c r="I85" s="599"/>
      <c r="J85" s="598" t="s">
        <v>271</v>
      </c>
      <c r="K85" s="599"/>
      <c r="L85" s="1"/>
      <c r="M85" s="1"/>
    </row>
    <row r="86" spans="1:13" ht="12.75">
      <c r="A86" s="600"/>
      <c r="B86" s="605"/>
      <c r="C86" s="605"/>
      <c r="D86" s="600"/>
      <c r="E86" s="601"/>
      <c r="F86" s="600"/>
      <c r="G86" s="601"/>
      <c r="H86" s="600"/>
      <c r="I86" s="601"/>
      <c r="J86" s="600"/>
      <c r="K86" s="601"/>
      <c r="L86" s="1"/>
      <c r="M86" s="1"/>
    </row>
    <row r="87" spans="1:13" ht="10.5" customHeight="1" thickBot="1">
      <c r="A87" s="602"/>
      <c r="B87" s="606"/>
      <c r="C87" s="606"/>
      <c r="D87" s="602"/>
      <c r="E87" s="603"/>
      <c r="F87" s="602"/>
      <c r="G87" s="603"/>
      <c r="H87" s="602"/>
      <c r="I87" s="603"/>
      <c r="J87" s="602"/>
      <c r="K87" s="603"/>
      <c r="L87" s="1"/>
      <c r="M87" s="1"/>
    </row>
    <row r="88" spans="1:13" ht="16.5" thickBot="1">
      <c r="A88" s="581" t="s">
        <v>275</v>
      </c>
      <c r="B88" s="581"/>
      <c r="C88" s="581"/>
      <c r="D88" s="581"/>
      <c r="E88" s="581"/>
      <c r="F88" s="596" t="s">
        <v>249</v>
      </c>
      <c r="G88" s="597"/>
      <c r="H88" s="596"/>
      <c r="I88" s="597"/>
      <c r="J88" s="581"/>
      <c r="K88" s="581"/>
      <c r="L88" s="93"/>
      <c r="M88" s="75"/>
    </row>
    <row r="89" spans="1:13" ht="12.75">
      <c r="A89" s="582" t="s">
        <v>246</v>
      </c>
      <c r="B89" s="583"/>
      <c r="C89" s="584"/>
      <c r="D89" s="588"/>
      <c r="E89" s="589"/>
      <c r="F89" s="588"/>
      <c r="G89" s="589"/>
      <c r="H89" s="592">
        <f>SUM(H88)</f>
        <v>0</v>
      </c>
      <c r="I89" s="593"/>
      <c r="J89" s="592">
        <f>SUM(J88)</f>
        <v>0</v>
      </c>
      <c r="K89" s="593"/>
      <c r="L89" s="580"/>
      <c r="M89" s="580"/>
    </row>
    <row r="90" spans="1:13" ht="5.25" customHeight="1" thickBot="1">
      <c r="A90" s="585"/>
      <c r="B90" s="586"/>
      <c r="C90" s="587"/>
      <c r="D90" s="590"/>
      <c r="E90" s="591"/>
      <c r="F90" s="590"/>
      <c r="G90" s="591"/>
      <c r="H90" s="594"/>
      <c r="I90" s="595"/>
      <c r="J90" s="594"/>
      <c r="K90" s="595"/>
      <c r="L90" s="580"/>
      <c r="M90" s="580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92" t="s">
        <v>277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598" t="s">
        <v>233</v>
      </c>
      <c r="B94" s="604"/>
      <c r="C94" s="604"/>
      <c r="D94" s="598" t="s">
        <v>268</v>
      </c>
      <c r="E94" s="599"/>
      <c r="F94" s="598" t="s">
        <v>269</v>
      </c>
      <c r="G94" s="599"/>
      <c r="H94" s="598" t="s">
        <v>270</v>
      </c>
      <c r="I94" s="599"/>
      <c r="J94" s="598" t="s">
        <v>271</v>
      </c>
      <c r="K94" s="599"/>
      <c r="L94" s="1"/>
      <c r="M94" s="1"/>
    </row>
    <row r="95" spans="1:13" ht="12.75">
      <c r="A95" s="600"/>
      <c r="B95" s="605"/>
      <c r="C95" s="605"/>
      <c r="D95" s="600"/>
      <c r="E95" s="601"/>
      <c r="F95" s="600"/>
      <c r="G95" s="601"/>
      <c r="H95" s="600"/>
      <c r="I95" s="601"/>
      <c r="J95" s="600"/>
      <c r="K95" s="601"/>
      <c r="L95" s="1"/>
      <c r="M95" s="1"/>
    </row>
    <row r="96" spans="1:13" ht="10.5" customHeight="1" thickBot="1">
      <c r="A96" s="602"/>
      <c r="B96" s="606"/>
      <c r="C96" s="606"/>
      <c r="D96" s="602"/>
      <c r="E96" s="603"/>
      <c r="F96" s="602"/>
      <c r="G96" s="603"/>
      <c r="H96" s="602"/>
      <c r="I96" s="603"/>
      <c r="J96" s="602"/>
      <c r="K96" s="603"/>
      <c r="L96" s="1"/>
      <c r="M96" s="1"/>
    </row>
    <row r="97" spans="1:13" ht="16.5" thickBot="1">
      <c r="A97" s="581" t="s">
        <v>275</v>
      </c>
      <c r="B97" s="581"/>
      <c r="C97" s="581"/>
      <c r="D97" s="581"/>
      <c r="E97" s="581"/>
      <c r="F97" s="596" t="s">
        <v>249</v>
      </c>
      <c r="G97" s="597"/>
      <c r="H97" s="596"/>
      <c r="I97" s="597"/>
      <c r="J97" s="581"/>
      <c r="K97" s="581"/>
      <c r="L97" s="93"/>
      <c r="M97" s="75"/>
    </row>
    <row r="98" spans="1:13" ht="12.75">
      <c r="A98" s="582" t="s">
        <v>246</v>
      </c>
      <c r="B98" s="583"/>
      <c r="C98" s="584"/>
      <c r="D98" s="588"/>
      <c r="E98" s="589"/>
      <c r="F98" s="588"/>
      <c r="G98" s="589"/>
      <c r="H98" s="592">
        <f>SUM(H97)</f>
        <v>0</v>
      </c>
      <c r="I98" s="593"/>
      <c r="J98" s="592">
        <f>SUM(J97)</f>
        <v>0</v>
      </c>
      <c r="K98" s="593"/>
      <c r="L98" s="580"/>
      <c r="M98" s="580"/>
    </row>
    <row r="99" spans="1:13" ht="7.5" customHeight="1" thickBot="1">
      <c r="A99" s="585"/>
      <c r="B99" s="586"/>
      <c r="C99" s="587"/>
      <c r="D99" s="590"/>
      <c r="E99" s="591"/>
      <c r="F99" s="590"/>
      <c r="G99" s="591"/>
      <c r="H99" s="594"/>
      <c r="I99" s="595"/>
      <c r="J99" s="594"/>
      <c r="K99" s="595"/>
      <c r="L99" s="580"/>
      <c r="M99" s="580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 password="AF00" sheet="1"/>
  <mergeCells count="192">
    <mergeCell ref="A10:C12"/>
    <mergeCell ref="D10:F10"/>
    <mergeCell ref="G10:I10"/>
    <mergeCell ref="J10:L10"/>
    <mergeCell ref="A1:M1"/>
    <mergeCell ref="A3:M3"/>
    <mergeCell ref="A4:M4"/>
    <mergeCell ref="A5:M5"/>
    <mergeCell ref="M10:M12"/>
    <mergeCell ref="A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A37:C39"/>
    <mergeCell ref="D37:D39"/>
    <mergeCell ref="E37:E39"/>
    <mergeCell ref="F37:F39"/>
    <mergeCell ref="A40:C42"/>
    <mergeCell ref="D40:D42"/>
    <mergeCell ref="E40:E42"/>
    <mergeCell ref="F40:F42"/>
    <mergeCell ref="G40:G42"/>
    <mergeCell ref="H40:H42"/>
    <mergeCell ref="J40:J42"/>
    <mergeCell ref="K40:K42"/>
    <mergeCell ref="L40:L42"/>
    <mergeCell ref="M40:M42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E43:E45"/>
    <mergeCell ref="F43:F45"/>
    <mergeCell ref="A46:C48"/>
    <mergeCell ref="D46:D48"/>
    <mergeCell ref="E46:E48"/>
    <mergeCell ref="F46:F48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G49:G51"/>
    <mergeCell ref="H49:H51"/>
    <mergeCell ref="I49:I51"/>
    <mergeCell ref="J49:J51"/>
    <mergeCell ref="A49:C51"/>
    <mergeCell ref="D49:D51"/>
    <mergeCell ref="E49:E51"/>
    <mergeCell ref="F49:F51"/>
    <mergeCell ref="D52:D54"/>
    <mergeCell ref="E52:E54"/>
    <mergeCell ref="F52:F54"/>
    <mergeCell ref="G52:G54"/>
    <mergeCell ref="H52:H54"/>
    <mergeCell ref="J52:J54"/>
    <mergeCell ref="I52:I54"/>
    <mergeCell ref="K52:K54"/>
    <mergeCell ref="L52:L54"/>
    <mergeCell ref="M52:M54"/>
    <mergeCell ref="K49:K51"/>
    <mergeCell ref="L49:L51"/>
    <mergeCell ref="M49:M51"/>
    <mergeCell ref="H55:H57"/>
    <mergeCell ref="I55:I57"/>
    <mergeCell ref="J55:J57"/>
    <mergeCell ref="A55:C57"/>
    <mergeCell ref="D55:D57"/>
    <mergeCell ref="E55:E57"/>
    <mergeCell ref="F55:F57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F67:G69"/>
    <mergeCell ref="H67:I69"/>
    <mergeCell ref="J58:J59"/>
    <mergeCell ref="K58:K59"/>
    <mergeCell ref="G58:G59"/>
    <mergeCell ref="H58:H59"/>
    <mergeCell ref="I58:I59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L80:L81"/>
    <mergeCell ref="M80:M81"/>
    <mergeCell ref="A85:C87"/>
    <mergeCell ref="D85:E87"/>
    <mergeCell ref="F85:G87"/>
    <mergeCell ref="H85:I87"/>
    <mergeCell ref="J85:K87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3:J28"/>
  <sheetViews>
    <sheetView tabSelected="1" view="pageBreakPreview" zoomScale="124" zoomScaleSheetLayoutView="124" zoomScalePageLayoutView="0" workbookViewId="0" topLeftCell="A1">
      <selection activeCell="K15" sqref="K15"/>
    </sheetView>
  </sheetViews>
  <sheetFormatPr defaultColWidth="9.00390625" defaultRowHeight="12.75"/>
  <cols>
    <col min="1" max="1" width="7.125" style="0" customWidth="1"/>
    <col min="2" max="2" width="58.25390625" style="0" customWidth="1"/>
    <col min="3" max="5" width="14.00390625" style="0" customWidth="1"/>
  </cols>
  <sheetData>
    <row r="3" spans="1:7" ht="12.75">
      <c r="A3" s="478" t="s">
        <v>485</v>
      </c>
      <c r="B3" s="478"/>
      <c r="C3" s="478"/>
      <c r="D3" s="478"/>
      <c r="E3" s="478"/>
      <c r="F3" s="478"/>
      <c r="G3" s="478"/>
    </row>
    <row r="5" spans="1:7" ht="12.75">
      <c r="A5" s="566" t="s">
        <v>372</v>
      </c>
      <c r="B5" s="662"/>
      <c r="C5" s="662"/>
      <c r="D5" s="662"/>
      <c r="E5" s="662"/>
      <c r="F5" s="662"/>
      <c r="G5" s="662"/>
    </row>
    <row r="6" spans="1:7" ht="12.75">
      <c r="A6" s="566" t="s">
        <v>373</v>
      </c>
      <c r="B6" s="566"/>
      <c r="C6" s="566"/>
      <c r="D6" s="566"/>
      <c r="E6" s="566"/>
      <c r="F6" s="566"/>
      <c r="G6" s="566"/>
    </row>
    <row r="7" spans="1:7" ht="12.75">
      <c r="A7" s="566" t="s">
        <v>461</v>
      </c>
      <c r="B7" s="566"/>
      <c r="C7" s="566"/>
      <c r="D7" s="566"/>
      <c r="E7" s="566"/>
      <c r="F7" s="566"/>
      <c r="G7" s="566"/>
    </row>
    <row r="8" spans="1:7" ht="12.75">
      <c r="A8" s="658"/>
      <c r="B8" s="658"/>
      <c r="C8" s="658"/>
      <c r="D8" s="658"/>
      <c r="E8" s="658"/>
      <c r="F8" s="658"/>
      <c r="G8" s="658"/>
    </row>
    <row r="9" spans="3:10" ht="13.5" thickBot="1">
      <c r="C9" s="478" t="s">
        <v>385</v>
      </c>
      <c r="D9" s="478"/>
      <c r="E9" s="478"/>
      <c r="F9" s="478"/>
      <c r="G9" s="478"/>
      <c r="H9" s="131"/>
      <c r="I9" s="131"/>
      <c r="J9" s="131"/>
    </row>
    <row r="10" spans="1:7" ht="25.5" customHeight="1">
      <c r="A10" s="653" t="s">
        <v>371</v>
      </c>
      <c r="B10" s="665" t="s">
        <v>358</v>
      </c>
      <c r="C10" s="668" t="s">
        <v>359</v>
      </c>
      <c r="D10" s="668"/>
      <c r="E10" s="668"/>
      <c r="F10" s="669" t="s">
        <v>296</v>
      </c>
      <c r="G10" s="670"/>
    </row>
    <row r="11" spans="1:7" ht="12.75" customHeight="1">
      <c r="A11" s="654"/>
      <c r="B11" s="666"/>
      <c r="C11" s="136">
        <v>2019</v>
      </c>
      <c r="D11" s="136">
        <v>2020</v>
      </c>
      <c r="E11" s="136">
        <v>2021</v>
      </c>
      <c r="F11" s="671"/>
      <c r="G11" s="672"/>
    </row>
    <row r="12" spans="1:7" ht="15" customHeight="1" thickBot="1">
      <c r="A12" s="655"/>
      <c r="B12" s="667"/>
      <c r="C12" s="137"/>
      <c r="D12" s="138" t="s">
        <v>370</v>
      </c>
      <c r="E12" s="137"/>
      <c r="F12" s="673"/>
      <c r="G12" s="674"/>
    </row>
    <row r="13" spans="1:7" ht="17.25" customHeight="1">
      <c r="A13" t="s">
        <v>17</v>
      </c>
      <c r="B13" t="s">
        <v>360</v>
      </c>
      <c r="C13" s="132">
        <v>1100000</v>
      </c>
      <c r="D13" s="132">
        <v>1100000</v>
      </c>
      <c r="E13" s="132">
        <v>1100000</v>
      </c>
      <c r="F13" s="663">
        <f>C13+D13+E13</f>
        <v>3300000</v>
      </c>
      <c r="G13" s="663"/>
    </row>
    <row r="14" spans="1:2" ht="28.5" customHeight="1">
      <c r="A14" s="134" t="s">
        <v>18</v>
      </c>
      <c r="B14" s="133" t="s">
        <v>361</v>
      </c>
    </row>
    <row r="15" spans="1:2" ht="12.75">
      <c r="A15" t="s">
        <v>19</v>
      </c>
      <c r="B15" t="s">
        <v>362</v>
      </c>
    </row>
    <row r="16" spans="1:3" ht="28.5" customHeight="1">
      <c r="A16" s="134" t="s">
        <v>20</v>
      </c>
      <c r="B16" s="133" t="s">
        <v>363</v>
      </c>
      <c r="C16" s="133"/>
    </row>
    <row r="17" spans="1:7" ht="12.75">
      <c r="A17" t="s">
        <v>21</v>
      </c>
      <c r="B17" t="s">
        <v>364</v>
      </c>
      <c r="C17" s="143">
        <v>20000</v>
      </c>
      <c r="D17" s="143">
        <v>20000</v>
      </c>
      <c r="E17" s="143">
        <v>20000</v>
      </c>
      <c r="F17" s="657">
        <f>C17++D17+E17</f>
        <v>60000</v>
      </c>
      <c r="G17" s="657"/>
    </row>
    <row r="18" spans="1:7" ht="12.75">
      <c r="A18" t="s">
        <v>22</v>
      </c>
      <c r="B18" t="s">
        <v>374</v>
      </c>
      <c r="C18" s="144"/>
      <c r="D18" s="144"/>
      <c r="E18" s="144"/>
      <c r="F18" s="144"/>
      <c r="G18" s="144"/>
    </row>
    <row r="19" spans="1:7" ht="12.75">
      <c r="A19" t="s">
        <v>24</v>
      </c>
      <c r="B19" s="135" t="s">
        <v>365</v>
      </c>
      <c r="C19" s="145">
        <v>1120000</v>
      </c>
      <c r="D19" s="145">
        <v>1120000</v>
      </c>
      <c r="E19" s="145">
        <v>112000</v>
      </c>
      <c r="F19" s="664">
        <f>F13+F17</f>
        <v>3360000</v>
      </c>
      <c r="G19" s="664"/>
    </row>
    <row r="20" spans="1:7" ht="18" customHeight="1">
      <c r="A20" s="139" t="s">
        <v>25</v>
      </c>
      <c r="B20" s="139" t="s">
        <v>366</v>
      </c>
      <c r="C20" s="146">
        <v>560000</v>
      </c>
      <c r="D20" s="146">
        <v>560000</v>
      </c>
      <c r="E20" s="146">
        <v>560000</v>
      </c>
      <c r="F20" s="656">
        <f>C20+D20+E20</f>
        <v>1680000</v>
      </c>
      <c r="G20" s="657"/>
    </row>
    <row r="21" spans="1:7" ht="17.25" customHeight="1">
      <c r="A21" t="s">
        <v>26</v>
      </c>
      <c r="B21" s="133" t="s">
        <v>375</v>
      </c>
      <c r="C21" s="143"/>
      <c r="D21" s="143"/>
      <c r="E21" s="143"/>
      <c r="F21" s="143"/>
      <c r="G21" s="143"/>
    </row>
    <row r="22" spans="1:7" ht="12.75">
      <c r="A22" t="s">
        <v>27</v>
      </c>
      <c r="B22" s="133" t="s">
        <v>376</v>
      </c>
      <c r="C22" s="143"/>
      <c r="D22" s="143"/>
      <c r="E22" s="143"/>
      <c r="F22" s="143"/>
      <c r="G22" s="143"/>
    </row>
    <row r="23" spans="1:7" ht="12.75">
      <c r="A23" t="s">
        <v>29</v>
      </c>
      <c r="B23" t="s">
        <v>377</v>
      </c>
      <c r="C23" s="143"/>
      <c r="D23" s="143"/>
      <c r="E23" s="143"/>
      <c r="F23" s="143"/>
      <c r="G23" s="143"/>
    </row>
    <row r="24" spans="1:7" ht="12.75">
      <c r="A24" t="s">
        <v>30</v>
      </c>
      <c r="B24" t="s">
        <v>378</v>
      </c>
      <c r="C24" s="143"/>
      <c r="D24" s="143"/>
      <c r="E24" s="143"/>
      <c r="F24" s="143"/>
      <c r="G24" s="143"/>
    </row>
    <row r="25" spans="1:7" ht="25.5">
      <c r="A25" t="s">
        <v>32</v>
      </c>
      <c r="B25" s="133" t="s">
        <v>379</v>
      </c>
      <c r="C25" s="143"/>
      <c r="D25" s="143"/>
      <c r="E25" s="143"/>
      <c r="F25" s="143"/>
      <c r="G25" s="143"/>
    </row>
    <row r="26" spans="1:7" ht="12.75">
      <c r="A26" t="s">
        <v>34</v>
      </c>
      <c r="B26" s="129" t="s">
        <v>380</v>
      </c>
      <c r="C26" s="143"/>
      <c r="D26" s="143"/>
      <c r="E26" s="143"/>
      <c r="F26" s="143"/>
      <c r="G26" s="143"/>
    </row>
    <row r="27" spans="1:7" ht="12.75">
      <c r="A27" s="135" t="s">
        <v>35</v>
      </c>
      <c r="B27" s="135" t="s">
        <v>367</v>
      </c>
      <c r="C27" s="148" t="s">
        <v>368</v>
      </c>
      <c r="D27" s="148" t="s">
        <v>368</v>
      </c>
      <c r="E27" s="148" t="s">
        <v>249</v>
      </c>
      <c r="F27" s="659" t="s">
        <v>249</v>
      </c>
      <c r="G27" s="659"/>
    </row>
    <row r="28" spans="1:7" ht="27.75" customHeight="1">
      <c r="A28" s="140" t="s">
        <v>37</v>
      </c>
      <c r="B28" s="140" t="s">
        <v>369</v>
      </c>
      <c r="C28" s="147">
        <v>560000</v>
      </c>
      <c r="D28" s="147">
        <v>560000</v>
      </c>
      <c r="E28" s="147">
        <v>560000</v>
      </c>
      <c r="F28" s="660">
        <v>1680000</v>
      </c>
      <c r="G28" s="661"/>
    </row>
  </sheetData>
  <sheetProtection/>
  <mergeCells count="16">
    <mergeCell ref="A6:G6"/>
    <mergeCell ref="A5:G5"/>
    <mergeCell ref="A3:G3"/>
    <mergeCell ref="F13:G13"/>
    <mergeCell ref="F17:G17"/>
    <mergeCell ref="F19:G19"/>
    <mergeCell ref="B10:B12"/>
    <mergeCell ref="C10:E10"/>
    <mergeCell ref="F10:G12"/>
    <mergeCell ref="C9:G9"/>
    <mergeCell ref="A10:A12"/>
    <mergeCell ref="F20:G20"/>
    <mergeCell ref="A8:G8"/>
    <mergeCell ref="F27:G27"/>
    <mergeCell ref="F28:G28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7"/>
  <sheetViews>
    <sheetView view="pageBreakPreview" zoomScale="90" zoomScaleSheetLayoutView="90" zoomScalePageLayoutView="0" workbookViewId="0" topLeftCell="A1">
      <selection activeCell="J38" sqref="J38"/>
    </sheetView>
  </sheetViews>
  <sheetFormatPr defaultColWidth="9.00390625" defaultRowHeight="12.75"/>
  <cols>
    <col min="1" max="1" width="9.125" style="159" customWidth="1"/>
    <col min="2" max="2" width="58.625" style="0" customWidth="1"/>
    <col min="3" max="3" width="16.375" style="0" customWidth="1"/>
    <col min="4" max="4" width="4.375" style="0" customWidth="1"/>
    <col min="5" max="5" width="17.25390625" style="0" customWidth="1"/>
    <col min="6" max="6" width="6.75390625" style="0" customWidth="1"/>
  </cols>
  <sheetData>
    <row r="1" spans="1:7" ht="15.75">
      <c r="A1" s="443" t="s">
        <v>472</v>
      </c>
      <c r="B1" s="444"/>
      <c r="C1" s="444"/>
      <c r="D1" s="444"/>
      <c r="E1" s="444"/>
      <c r="F1" s="444"/>
      <c r="G1" s="192"/>
    </row>
    <row r="2" spans="1:6" ht="12.75">
      <c r="A2" s="177"/>
      <c r="B2" s="191"/>
      <c r="C2" s="191"/>
      <c r="D2" s="191"/>
      <c r="E2" s="191"/>
      <c r="F2" s="191"/>
    </row>
    <row r="3" ht="15.75">
      <c r="G3" s="130"/>
    </row>
    <row r="4" spans="1:6" ht="14.25">
      <c r="A4" s="177"/>
      <c r="B4" s="446"/>
      <c r="C4" s="446"/>
      <c r="D4" s="446"/>
      <c r="E4" s="446"/>
      <c r="F4" s="446"/>
    </row>
    <row r="5" spans="1:6" ht="15.75">
      <c r="A5" s="177"/>
      <c r="B5" s="445" t="s">
        <v>7</v>
      </c>
      <c r="C5" s="445"/>
      <c r="D5" s="445"/>
      <c r="E5" s="445"/>
      <c r="F5" s="445"/>
    </row>
    <row r="6" spans="1:6" ht="15.75">
      <c r="A6" s="177"/>
      <c r="B6" s="445" t="s">
        <v>85</v>
      </c>
      <c r="C6" s="445"/>
      <c r="D6" s="445"/>
      <c r="E6" s="445"/>
      <c r="F6" s="445"/>
    </row>
    <row r="7" spans="1:6" ht="15.75">
      <c r="A7" s="177"/>
      <c r="B7" s="445" t="s">
        <v>456</v>
      </c>
      <c r="C7" s="445"/>
      <c r="D7" s="445"/>
      <c r="E7" s="445"/>
      <c r="F7" s="445"/>
    </row>
    <row r="8" spans="1:6" ht="7.5" customHeight="1">
      <c r="A8" s="177"/>
      <c r="B8" s="180"/>
      <c r="C8" s="181"/>
      <c r="D8" s="180"/>
      <c r="E8" s="176"/>
      <c r="F8" s="180"/>
    </row>
    <row r="9" spans="1:6" ht="15.75">
      <c r="A9" s="177" t="s">
        <v>17</v>
      </c>
      <c r="B9" s="187" t="s">
        <v>86</v>
      </c>
      <c r="C9" s="181"/>
      <c r="D9" s="180"/>
      <c r="E9" s="176"/>
      <c r="F9" s="180"/>
    </row>
    <row r="10" spans="1:6" ht="15.75">
      <c r="A10" s="177" t="s">
        <v>412</v>
      </c>
      <c r="B10" s="175" t="s">
        <v>87</v>
      </c>
      <c r="C10" s="181"/>
      <c r="D10" s="180"/>
      <c r="E10" s="176">
        <f>C11+C12</f>
        <v>17003819</v>
      </c>
      <c r="F10" s="180" t="s">
        <v>245</v>
      </c>
    </row>
    <row r="11" spans="1:6" ht="31.5">
      <c r="A11" s="177"/>
      <c r="B11" s="188" t="s">
        <v>88</v>
      </c>
      <c r="C11" s="189">
        <f>'[1]Bevételek'!$H$44</f>
        <v>14920033</v>
      </c>
      <c r="D11" s="188" t="s">
        <v>245</v>
      </c>
      <c r="E11" s="176"/>
      <c r="F11" s="180"/>
    </row>
    <row r="12" spans="1:6" ht="31.5">
      <c r="A12" s="177"/>
      <c r="B12" s="188" t="s">
        <v>89</v>
      </c>
      <c r="C12" s="189">
        <f>'[1]Bevételek'!$H$55</f>
        <v>2083786</v>
      </c>
      <c r="D12" s="188" t="s">
        <v>245</v>
      </c>
      <c r="E12" s="176"/>
      <c r="F12" s="180"/>
    </row>
    <row r="13" spans="1:6" ht="15.75">
      <c r="A13" s="177" t="s">
        <v>419</v>
      </c>
      <c r="B13" s="175" t="s">
        <v>90</v>
      </c>
      <c r="C13" s="181"/>
      <c r="D13" s="180"/>
      <c r="E13" s="176">
        <f>'[1]Bevételek'!$H$60+'[1]Bevételek'!H64</f>
        <v>40229664</v>
      </c>
      <c r="F13" s="180" t="s">
        <v>245</v>
      </c>
    </row>
    <row r="14" spans="1:6" ht="15.75">
      <c r="A14" s="177" t="s">
        <v>420</v>
      </c>
      <c r="B14" s="175" t="s">
        <v>91</v>
      </c>
      <c r="C14" s="181"/>
      <c r="D14" s="180"/>
      <c r="E14" s="176">
        <f>'[1]Bevételek'!$H$76</f>
        <v>1320000</v>
      </c>
      <c r="F14" s="180" t="s">
        <v>245</v>
      </c>
    </row>
    <row r="15" spans="1:6" ht="15.75">
      <c r="A15" s="177" t="s">
        <v>421</v>
      </c>
      <c r="B15" s="175" t="s">
        <v>92</v>
      </c>
      <c r="C15" s="181"/>
      <c r="D15" s="180"/>
      <c r="E15" s="176">
        <f>'[1]Bevételek'!$H$84</f>
        <v>11115714</v>
      </c>
      <c r="F15" s="180" t="s">
        <v>245</v>
      </c>
    </row>
    <row r="16" spans="1:6" ht="3" customHeight="1">
      <c r="A16" s="177"/>
      <c r="B16" s="175"/>
      <c r="C16" s="176"/>
      <c r="D16" s="175"/>
      <c r="E16" s="176">
        <v>0</v>
      </c>
      <c r="F16" s="180" t="s">
        <v>245</v>
      </c>
    </row>
    <row r="17" spans="1:6" ht="15.75">
      <c r="A17" s="177" t="s">
        <v>454</v>
      </c>
      <c r="B17" s="175" t="s">
        <v>93</v>
      </c>
      <c r="C17" s="181"/>
      <c r="D17" s="180"/>
      <c r="E17" s="176">
        <v>0</v>
      </c>
      <c r="F17" s="180" t="s">
        <v>245</v>
      </c>
    </row>
    <row r="18" spans="1:6" ht="31.5">
      <c r="A18" s="177"/>
      <c r="B18" s="188" t="s">
        <v>94</v>
      </c>
      <c r="C18" s="189">
        <v>0</v>
      </c>
      <c r="D18" s="188" t="s">
        <v>245</v>
      </c>
      <c r="E18" s="188"/>
      <c r="F18" s="180"/>
    </row>
    <row r="19" spans="1:6" ht="15.75">
      <c r="A19" s="177"/>
      <c r="B19" s="190" t="s">
        <v>95</v>
      </c>
      <c r="C19" s="189">
        <v>0</v>
      </c>
      <c r="D19" s="180" t="s">
        <v>245</v>
      </c>
      <c r="E19" s="176"/>
      <c r="F19" s="180"/>
    </row>
    <row r="20" spans="1:6" ht="15.75">
      <c r="A20" s="177" t="s">
        <v>453</v>
      </c>
      <c r="B20" s="175" t="s">
        <v>96</v>
      </c>
      <c r="C20" s="181"/>
      <c r="D20" s="180"/>
      <c r="E20" s="176">
        <f>C21+C22</f>
        <v>0</v>
      </c>
      <c r="F20" s="180" t="s">
        <v>245</v>
      </c>
    </row>
    <row r="21" spans="1:6" ht="31.5">
      <c r="A21" s="177"/>
      <c r="B21" s="188" t="s">
        <v>97</v>
      </c>
      <c r="C21" s="181"/>
      <c r="D21" s="180" t="s">
        <v>245</v>
      </c>
      <c r="E21" s="176"/>
      <c r="F21" s="180"/>
    </row>
    <row r="22" spans="1:6" ht="15.75">
      <c r="A22" s="177"/>
      <c r="B22" s="180" t="s">
        <v>98</v>
      </c>
      <c r="C22" s="182"/>
      <c r="D22" s="180" t="s">
        <v>245</v>
      </c>
      <c r="E22" s="176"/>
      <c r="F22" s="180"/>
    </row>
    <row r="23" spans="1:6" ht="15.75">
      <c r="A23" s="177" t="s">
        <v>452</v>
      </c>
      <c r="B23" s="175" t="s">
        <v>99</v>
      </c>
      <c r="C23" s="176"/>
      <c r="D23" s="175"/>
      <c r="E23" s="176">
        <f>E10+E14+E15+E13+E20</f>
        <v>69669197</v>
      </c>
      <c r="F23" s="175" t="s">
        <v>381</v>
      </c>
    </row>
    <row r="24" spans="1:6" ht="15.75">
      <c r="A24" s="177"/>
      <c r="B24" s="175"/>
      <c r="C24" s="176"/>
      <c r="D24" s="175"/>
      <c r="E24" s="176"/>
      <c r="F24" s="175"/>
    </row>
    <row r="25" spans="1:6" ht="15.75">
      <c r="A25" s="177" t="s">
        <v>18</v>
      </c>
      <c r="B25" s="187" t="s">
        <v>100</v>
      </c>
      <c r="C25" s="181"/>
      <c r="D25" s="180"/>
      <c r="E25" s="176"/>
      <c r="F25" s="180"/>
    </row>
    <row r="26" spans="1:6" ht="15.75">
      <c r="A26" s="177" t="s">
        <v>422</v>
      </c>
      <c r="B26" s="185" t="s">
        <v>101</v>
      </c>
      <c r="C26" s="181"/>
      <c r="D26" s="180"/>
      <c r="E26" s="176">
        <f>C28+C29+C30+C31+C32+C33</f>
        <v>40555293</v>
      </c>
      <c r="F26" s="180" t="s">
        <v>245</v>
      </c>
    </row>
    <row r="27" spans="1:6" ht="15.75">
      <c r="A27" s="177"/>
      <c r="B27" s="183" t="s">
        <v>102</v>
      </c>
      <c r="C27" s="181"/>
      <c r="D27" s="180"/>
      <c r="E27" s="176"/>
      <c r="F27" s="180"/>
    </row>
    <row r="28" spans="1:6" ht="15.75">
      <c r="A28" s="177" t="s">
        <v>423</v>
      </c>
      <c r="B28" s="180" t="s">
        <v>428</v>
      </c>
      <c r="C28" s="181">
        <f>'[1]Korm.funkciók'!E32</f>
        <v>8602553</v>
      </c>
      <c r="D28" s="180" t="s">
        <v>245</v>
      </c>
      <c r="E28" s="176"/>
      <c r="F28" s="180"/>
    </row>
    <row r="29" spans="1:6" ht="15.75">
      <c r="A29" s="177" t="s">
        <v>424</v>
      </c>
      <c r="B29" s="180" t="s">
        <v>429</v>
      </c>
      <c r="C29" s="181">
        <f>'[1]Korm.funkciók'!F32</f>
        <v>1641716</v>
      </c>
      <c r="D29" s="180" t="s">
        <v>245</v>
      </c>
      <c r="E29" s="176"/>
      <c r="F29" s="180"/>
    </row>
    <row r="30" spans="1:6" ht="15.75">
      <c r="A30" s="177" t="s">
        <v>425</v>
      </c>
      <c r="B30" s="180" t="s">
        <v>430</v>
      </c>
      <c r="C30" s="181">
        <f>'[1]Korm.funkciók'!G32</f>
        <v>16921625</v>
      </c>
      <c r="D30" s="180" t="s">
        <v>245</v>
      </c>
      <c r="E30" s="176"/>
      <c r="F30" s="180"/>
    </row>
    <row r="31" spans="1:6" ht="15.75">
      <c r="A31" s="177" t="s">
        <v>426</v>
      </c>
      <c r="B31" s="186" t="s">
        <v>431</v>
      </c>
      <c r="C31" s="181">
        <f>'[1]Korm.funkciók'!H32</f>
        <v>1472200</v>
      </c>
      <c r="D31" s="180" t="s">
        <v>245</v>
      </c>
      <c r="E31" s="176"/>
      <c r="F31" s="180"/>
    </row>
    <row r="32" spans="1:6" ht="15.75">
      <c r="A32" s="177" t="s">
        <v>427</v>
      </c>
      <c r="B32" s="180" t="s">
        <v>432</v>
      </c>
      <c r="C32" s="181">
        <f>'[1]Korm.funkciók'!I32-C33</f>
        <v>513160</v>
      </c>
      <c r="D32" s="180" t="s">
        <v>245</v>
      </c>
      <c r="E32" s="176"/>
      <c r="F32" s="180"/>
    </row>
    <row r="33" spans="1:6" ht="15.75">
      <c r="A33" s="177" t="s">
        <v>490</v>
      </c>
      <c r="B33" s="180" t="s">
        <v>440</v>
      </c>
      <c r="C33" s="181">
        <f>11720759-316720</f>
        <v>11404039</v>
      </c>
      <c r="D33" s="180" t="s">
        <v>282</v>
      </c>
      <c r="E33" s="176"/>
      <c r="F33" s="180"/>
    </row>
    <row r="34" spans="1:6" ht="15.75">
      <c r="A34" s="177" t="s">
        <v>414</v>
      </c>
      <c r="B34" s="185" t="s">
        <v>103</v>
      </c>
      <c r="C34" s="176"/>
      <c r="D34" s="175"/>
      <c r="E34" s="184">
        <f>C36+C37</f>
        <v>44194850</v>
      </c>
      <c r="F34" s="175" t="s">
        <v>245</v>
      </c>
    </row>
    <row r="35" spans="1:6" ht="15.75">
      <c r="A35" s="177"/>
      <c r="B35" s="183" t="s">
        <v>102</v>
      </c>
      <c r="C35" s="181"/>
      <c r="D35" s="180"/>
      <c r="E35" s="176"/>
      <c r="F35" s="180"/>
    </row>
    <row r="36" spans="1:6" ht="15.75">
      <c r="A36" s="177" t="s">
        <v>433</v>
      </c>
      <c r="B36" s="180" t="s">
        <v>437</v>
      </c>
      <c r="C36" s="182">
        <f>'[1]Korm.funkciók'!K32</f>
        <v>37156695</v>
      </c>
      <c r="D36" s="180" t="s">
        <v>245</v>
      </c>
      <c r="E36" s="176"/>
      <c r="F36" s="180"/>
    </row>
    <row r="37" spans="1:6" ht="15.75">
      <c r="A37" s="177" t="s">
        <v>434</v>
      </c>
      <c r="B37" s="180" t="s">
        <v>438</v>
      </c>
      <c r="C37" s="182">
        <f>'[1]Korm.funkciók'!L32</f>
        <v>7038155</v>
      </c>
      <c r="D37" s="180" t="s">
        <v>245</v>
      </c>
      <c r="E37" s="176"/>
      <c r="F37" s="180"/>
    </row>
    <row r="38" spans="1:6" ht="15.75">
      <c r="A38" s="177" t="s">
        <v>435</v>
      </c>
      <c r="B38" s="180" t="s">
        <v>439</v>
      </c>
      <c r="C38" s="182"/>
      <c r="D38" s="180" t="s">
        <v>245</v>
      </c>
      <c r="E38" s="176"/>
      <c r="F38" s="180"/>
    </row>
    <row r="39" spans="1:6" ht="15.75">
      <c r="A39" s="177" t="s">
        <v>436</v>
      </c>
      <c r="B39" s="180" t="s">
        <v>440</v>
      </c>
      <c r="C39" s="182"/>
      <c r="D39" s="180" t="s">
        <v>245</v>
      </c>
      <c r="E39" s="176"/>
      <c r="F39" s="180"/>
    </row>
    <row r="40" spans="1:6" ht="15.75">
      <c r="A40" s="177" t="s">
        <v>441</v>
      </c>
      <c r="B40" s="175" t="s">
        <v>104</v>
      </c>
      <c r="C40" s="182"/>
      <c r="D40" s="180"/>
      <c r="E40" s="176">
        <f>C41+C42</f>
        <v>588284</v>
      </c>
      <c r="F40" s="180" t="s">
        <v>245</v>
      </c>
    </row>
    <row r="41" spans="1:6" ht="15.75">
      <c r="A41" s="177"/>
      <c r="B41" s="180" t="s">
        <v>357</v>
      </c>
      <c r="C41" s="181">
        <f>'[1]Korm.funkciók'!O32</f>
        <v>588284</v>
      </c>
      <c r="D41" s="180" t="s">
        <v>245</v>
      </c>
      <c r="E41" s="176"/>
      <c r="F41" s="180"/>
    </row>
    <row r="42" spans="1:6" ht="15.75">
      <c r="A42" s="177"/>
      <c r="B42" s="180" t="s">
        <v>105</v>
      </c>
      <c r="C42" s="181"/>
      <c r="D42" s="180" t="s">
        <v>245</v>
      </c>
      <c r="E42" s="176"/>
      <c r="F42" s="180"/>
    </row>
    <row r="43" spans="1:6" ht="23.25" customHeight="1">
      <c r="A43" s="177" t="s">
        <v>442</v>
      </c>
      <c r="B43" s="175" t="s">
        <v>106</v>
      </c>
      <c r="C43" s="176"/>
      <c r="D43" s="175"/>
      <c r="E43" s="176">
        <f>E26+E34+E40</f>
        <v>85338427</v>
      </c>
      <c r="F43" s="175" t="s">
        <v>381</v>
      </c>
    </row>
    <row r="44" spans="1:6" ht="23.25" customHeight="1">
      <c r="A44" s="177" t="s">
        <v>19</v>
      </c>
      <c r="B44" s="175" t="s">
        <v>107</v>
      </c>
      <c r="C44" s="176"/>
      <c r="D44" s="175"/>
      <c r="E44" s="176">
        <f>E23-E43</f>
        <v>-15669230</v>
      </c>
      <c r="F44" s="175" t="s">
        <v>245</v>
      </c>
    </row>
    <row r="45" spans="1:6" ht="23.25" customHeight="1">
      <c r="A45" s="177"/>
      <c r="B45" s="175"/>
      <c r="C45" s="176"/>
      <c r="D45" s="175"/>
      <c r="E45" s="176"/>
      <c r="F45" s="175"/>
    </row>
    <row r="46" spans="1:6" ht="31.5">
      <c r="A46" s="177" t="s">
        <v>20</v>
      </c>
      <c r="B46" s="179" t="s">
        <v>108</v>
      </c>
      <c r="C46" s="176"/>
      <c r="D46" s="175"/>
      <c r="E46" s="176">
        <f>'[1]Bevételek'!H100</f>
        <v>15669230</v>
      </c>
      <c r="F46" s="178" t="s">
        <v>245</v>
      </c>
    </row>
    <row r="47" spans="1:6" ht="25.5" customHeight="1">
      <c r="A47" s="177" t="s">
        <v>21</v>
      </c>
      <c r="B47" s="175" t="s">
        <v>109</v>
      </c>
      <c r="C47" s="176"/>
      <c r="D47" s="175"/>
      <c r="E47" s="176">
        <f>E44+E46</f>
        <v>0</v>
      </c>
      <c r="F47" s="175" t="s">
        <v>245</v>
      </c>
    </row>
  </sheetData>
  <sheetProtection password="AF00" sheet="1"/>
  <mergeCells count="5">
    <mergeCell ref="A1:F1"/>
    <mergeCell ref="B5:F5"/>
    <mergeCell ref="B6:F6"/>
    <mergeCell ref="B7:F7"/>
    <mergeCell ref="B4:F4"/>
  </mergeCells>
  <printOptions/>
  <pageMargins left="0.5511811023622047" right="0.35433070866141736" top="0.7086614173228347" bottom="0.472440944881889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93"/>
  <sheetViews>
    <sheetView zoomScalePageLayoutView="0" workbookViewId="0" topLeftCell="A1">
      <selection activeCell="V98" sqref="V98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5.37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477"/>
      <c r="B1" s="478"/>
      <c r="C1" s="478"/>
      <c r="D1" s="478"/>
      <c r="E1" s="478"/>
      <c r="F1" s="478"/>
      <c r="G1" s="478"/>
      <c r="H1" s="478"/>
      <c r="I1" s="478"/>
    </row>
    <row r="3" spans="1:9" ht="15">
      <c r="A3" s="477" t="s">
        <v>473</v>
      </c>
      <c r="B3" s="478"/>
      <c r="C3" s="478"/>
      <c r="D3" s="478"/>
      <c r="E3" s="478"/>
      <c r="F3" s="478"/>
      <c r="G3" s="478"/>
      <c r="H3" s="478"/>
      <c r="I3" s="478"/>
    </row>
    <row r="4" spans="1:9" ht="14.25">
      <c r="A4" s="474"/>
      <c r="B4" s="474"/>
      <c r="C4" s="474"/>
      <c r="D4" s="474"/>
      <c r="E4" s="474"/>
      <c r="F4" s="474"/>
      <c r="G4" s="474"/>
      <c r="H4" s="474"/>
      <c r="I4" s="474"/>
    </row>
    <row r="5" spans="1:9" ht="14.25">
      <c r="A5" s="474" t="s">
        <v>196</v>
      </c>
      <c r="B5" s="474"/>
      <c r="C5" s="474"/>
      <c r="D5" s="474"/>
      <c r="E5" s="474"/>
      <c r="F5" s="474"/>
      <c r="G5" s="474"/>
      <c r="H5" s="474"/>
      <c r="I5" s="474"/>
    </row>
    <row r="6" spans="1:9" ht="14.25">
      <c r="A6" s="474" t="s">
        <v>110</v>
      </c>
      <c r="B6" s="474"/>
      <c r="C6" s="474"/>
      <c r="D6" s="474"/>
      <c r="E6" s="474"/>
      <c r="F6" s="474"/>
      <c r="G6" s="474"/>
      <c r="H6" s="474"/>
      <c r="I6" s="474"/>
    </row>
    <row r="7" spans="1:9" ht="12.75" customHeight="1">
      <c r="A7" s="474" t="s">
        <v>457</v>
      </c>
      <c r="B7" s="474"/>
      <c r="C7" s="474"/>
      <c r="D7" s="474"/>
      <c r="E7" s="474"/>
      <c r="F7" s="474"/>
      <c r="G7" s="474"/>
      <c r="H7" s="474"/>
      <c r="I7" s="474"/>
    </row>
    <row r="8" spans="1:9" ht="15.75" thickBot="1">
      <c r="A8" s="45"/>
      <c r="B8" s="45"/>
      <c r="C8" s="44"/>
      <c r="D8" s="44"/>
      <c r="E8" s="44"/>
      <c r="F8" s="41"/>
      <c r="G8" s="198"/>
      <c r="H8" s="475" t="s">
        <v>384</v>
      </c>
      <c r="I8" s="475"/>
    </row>
    <row r="9" spans="1:9" ht="15">
      <c r="A9" s="456" t="s">
        <v>111</v>
      </c>
      <c r="B9" s="457"/>
      <c r="C9" s="457"/>
      <c r="D9" s="457"/>
      <c r="E9" s="457"/>
      <c r="F9" s="458"/>
      <c r="G9" s="197" t="s">
        <v>0</v>
      </c>
      <c r="H9" s="197" t="s">
        <v>0</v>
      </c>
      <c r="I9" s="39" t="s">
        <v>197</v>
      </c>
    </row>
    <row r="10" spans="1:9" ht="15">
      <c r="A10" s="459"/>
      <c r="B10" s="460"/>
      <c r="C10" s="460"/>
      <c r="D10" s="460"/>
      <c r="E10" s="460"/>
      <c r="F10" s="461"/>
      <c r="G10" s="196" t="s">
        <v>45</v>
      </c>
      <c r="H10" s="196" t="s">
        <v>45</v>
      </c>
      <c r="I10" s="46"/>
    </row>
    <row r="11" spans="1:9" ht="15.75" thickBot="1">
      <c r="A11" s="462"/>
      <c r="B11" s="463"/>
      <c r="C11" s="463"/>
      <c r="D11" s="463"/>
      <c r="E11" s="463"/>
      <c r="F11" s="464"/>
      <c r="G11" s="195" t="s">
        <v>382</v>
      </c>
      <c r="H11" s="195" t="s">
        <v>457</v>
      </c>
      <c r="I11" s="47" t="s">
        <v>1</v>
      </c>
    </row>
    <row r="12" spans="1:9" ht="33" customHeight="1">
      <c r="A12" s="48" t="s">
        <v>112</v>
      </c>
      <c r="B12" s="451" t="s">
        <v>113</v>
      </c>
      <c r="C12" s="451"/>
      <c r="D12" s="451"/>
      <c r="E12" s="451"/>
      <c r="F12" s="451"/>
      <c r="G12" s="30"/>
      <c r="H12" s="204"/>
      <c r="I12" s="30"/>
    </row>
    <row r="13" spans="1:9" ht="15.75" customHeight="1">
      <c r="A13" s="10"/>
      <c r="B13" s="10" t="s">
        <v>112</v>
      </c>
      <c r="C13" s="10" t="s">
        <v>114</v>
      </c>
      <c r="D13" s="10"/>
      <c r="E13" s="10"/>
      <c r="F13" s="10"/>
      <c r="G13" s="199"/>
      <c r="H13" s="199"/>
      <c r="I13" s="10"/>
    </row>
    <row r="14" spans="1:9" ht="29.25" customHeight="1">
      <c r="A14" s="10"/>
      <c r="B14" s="10"/>
      <c r="C14" s="48" t="s">
        <v>17</v>
      </c>
      <c r="D14" s="451" t="s">
        <v>115</v>
      </c>
      <c r="E14" s="451"/>
      <c r="F14" s="451"/>
      <c r="G14" s="204"/>
      <c r="H14" s="204"/>
      <c r="I14" s="30"/>
    </row>
    <row r="15" spans="1:9" ht="28.5" customHeight="1">
      <c r="A15" s="10"/>
      <c r="B15" s="10"/>
      <c r="C15" s="10"/>
      <c r="D15" s="48" t="s">
        <v>17</v>
      </c>
      <c r="E15" s="451" t="s">
        <v>116</v>
      </c>
      <c r="F15" s="451"/>
      <c r="G15" s="204"/>
      <c r="H15" s="204"/>
      <c r="I15" s="30"/>
    </row>
    <row r="16" spans="1:9" ht="30.75" customHeight="1">
      <c r="A16" s="8"/>
      <c r="B16" s="8"/>
      <c r="C16" s="8"/>
      <c r="D16" s="49" t="s">
        <v>117</v>
      </c>
      <c r="E16" s="465" t="s">
        <v>118</v>
      </c>
      <c r="F16" s="467"/>
      <c r="G16" s="193"/>
      <c r="H16" s="193"/>
      <c r="I16" s="31"/>
    </row>
    <row r="17" spans="1:9" ht="29.25" customHeight="1">
      <c r="A17" s="8"/>
      <c r="B17" s="8"/>
      <c r="C17" s="8"/>
      <c r="D17" s="8"/>
      <c r="E17" s="49" t="s">
        <v>119</v>
      </c>
      <c r="F17" s="34" t="s">
        <v>120</v>
      </c>
      <c r="G17" s="413">
        <v>863010</v>
      </c>
      <c r="H17" s="414">
        <v>863010</v>
      </c>
      <c r="I17" s="31">
        <f aca="true" t="shared" si="0" ref="I17:I23">(H17/G17)*100</f>
        <v>100</v>
      </c>
    </row>
    <row r="18" spans="1:9" ht="19.5" customHeight="1">
      <c r="A18" s="8"/>
      <c r="B18" s="8"/>
      <c r="C18" s="8"/>
      <c r="D18" s="8"/>
      <c r="E18" s="8" t="s">
        <v>121</v>
      </c>
      <c r="F18" s="34" t="s">
        <v>122</v>
      </c>
      <c r="G18" s="413">
        <v>576000</v>
      </c>
      <c r="H18" s="414">
        <v>576000</v>
      </c>
      <c r="I18" s="31">
        <f t="shared" si="0"/>
        <v>100</v>
      </c>
    </row>
    <row r="19" spans="1:9" ht="27.75" customHeight="1">
      <c r="A19" s="8"/>
      <c r="B19" s="8"/>
      <c r="C19" s="8"/>
      <c r="D19" s="8"/>
      <c r="E19" s="49" t="s">
        <v>123</v>
      </c>
      <c r="F19" s="34" t="s">
        <v>124</v>
      </c>
      <c r="G19" s="413"/>
      <c r="H19" s="414"/>
      <c r="I19" s="31"/>
    </row>
    <row r="20" spans="1:9" ht="17.25" customHeight="1">
      <c r="A20" s="8"/>
      <c r="B20" s="8"/>
      <c r="C20" s="8"/>
      <c r="D20" s="8"/>
      <c r="E20" s="8" t="s">
        <v>125</v>
      </c>
      <c r="F20" s="34" t="s">
        <v>126</v>
      </c>
      <c r="G20" s="413">
        <v>808120</v>
      </c>
      <c r="H20" s="414">
        <v>808120</v>
      </c>
      <c r="I20" s="31">
        <f t="shared" si="0"/>
        <v>100</v>
      </c>
    </row>
    <row r="21" spans="1:9" ht="18" customHeight="1">
      <c r="A21" s="8"/>
      <c r="B21" s="8"/>
      <c r="C21" s="8"/>
      <c r="D21" s="8" t="s">
        <v>127</v>
      </c>
      <c r="E21" s="8" t="s">
        <v>198</v>
      </c>
      <c r="F21" s="8"/>
      <c r="G21" s="413">
        <v>5000000</v>
      </c>
      <c r="H21" s="414">
        <v>5000000</v>
      </c>
      <c r="I21" s="31">
        <f t="shared" si="0"/>
        <v>100</v>
      </c>
    </row>
    <row r="22" spans="1:9" ht="14.25" customHeight="1">
      <c r="A22" s="8"/>
      <c r="B22" s="8"/>
      <c r="C22" s="8"/>
      <c r="D22" s="8"/>
      <c r="E22" s="8"/>
      <c r="F22" s="50" t="s">
        <v>212</v>
      </c>
      <c r="G22" s="413">
        <v>-57216</v>
      </c>
      <c r="H22" s="414"/>
      <c r="I22" s="31">
        <f t="shared" si="0"/>
        <v>0</v>
      </c>
    </row>
    <row r="23" spans="1:9" ht="18" customHeight="1">
      <c r="A23" s="8"/>
      <c r="B23" s="8"/>
      <c r="C23" s="8"/>
      <c r="D23" s="8" t="s">
        <v>199</v>
      </c>
      <c r="E23" s="8"/>
      <c r="F23" s="8"/>
      <c r="G23" s="415">
        <v>43350</v>
      </c>
      <c r="H23" s="414">
        <v>43350</v>
      </c>
      <c r="I23" s="31">
        <f t="shared" si="0"/>
        <v>100</v>
      </c>
    </row>
    <row r="24" spans="1:9" ht="18" customHeight="1">
      <c r="A24" s="8"/>
      <c r="B24" s="8"/>
      <c r="C24" s="10" t="s">
        <v>22</v>
      </c>
      <c r="D24" s="10" t="s">
        <v>462</v>
      </c>
      <c r="E24" s="10"/>
      <c r="F24" s="10"/>
      <c r="G24" s="416"/>
      <c r="H24" s="414">
        <v>1009100</v>
      </c>
      <c r="I24" s="31"/>
    </row>
    <row r="25" spans="1:9" ht="8.25" customHeight="1" hidden="1">
      <c r="A25" s="454" t="s">
        <v>128</v>
      </c>
      <c r="B25" s="454"/>
      <c r="C25" s="454"/>
      <c r="D25" s="454"/>
      <c r="E25" s="454"/>
      <c r="F25" s="454"/>
      <c r="G25" s="413"/>
      <c r="H25" s="414"/>
      <c r="I25" s="31"/>
    </row>
    <row r="26" spans="1:9" ht="15.75" customHeight="1">
      <c r="A26" s="454"/>
      <c r="B26" s="454"/>
      <c r="C26" s="454"/>
      <c r="D26" s="454"/>
      <c r="E26" s="454"/>
      <c r="F26" s="454"/>
      <c r="G26" s="417">
        <f>SUM(G16:G25)</f>
        <v>7233264</v>
      </c>
      <c r="H26" s="418">
        <f>SUM(H16:H25)</f>
        <v>8299580</v>
      </c>
      <c r="I26" s="32">
        <f>(H26/G26)*100</f>
        <v>114.74183715678012</v>
      </c>
    </row>
    <row r="27" spans="1:9" ht="32.25" customHeight="1">
      <c r="A27" s="48"/>
      <c r="B27" s="451" t="s">
        <v>210</v>
      </c>
      <c r="C27" s="451"/>
      <c r="D27" s="451"/>
      <c r="E27" s="451"/>
      <c r="F27" s="451"/>
      <c r="G27" s="419"/>
      <c r="H27" s="420"/>
      <c r="I27" s="31"/>
    </row>
    <row r="28" spans="1:9" ht="29.25" customHeight="1">
      <c r="A28" s="8"/>
      <c r="B28" s="8"/>
      <c r="C28" s="8"/>
      <c r="D28" s="49" t="s">
        <v>18</v>
      </c>
      <c r="E28" s="465" t="s">
        <v>200</v>
      </c>
      <c r="F28" s="465"/>
      <c r="G28" s="413">
        <v>1124000</v>
      </c>
      <c r="H28" s="414">
        <v>1120000</v>
      </c>
      <c r="I28" s="31">
        <f>(H28/G28)*100</f>
        <v>99.644128113879</v>
      </c>
    </row>
    <row r="29" spans="1:9" ht="29.25" customHeight="1">
      <c r="A29" s="8"/>
      <c r="B29" s="8"/>
      <c r="C29" s="8"/>
      <c r="D29" s="49" t="s">
        <v>19</v>
      </c>
      <c r="E29" s="465" t="s">
        <v>345</v>
      </c>
      <c r="F29" s="465"/>
      <c r="G29" s="413">
        <v>332160</v>
      </c>
      <c r="H29" s="414">
        <v>387520</v>
      </c>
      <c r="I29" s="31">
        <f>(H29/G29)*100</f>
        <v>116.66666666666667</v>
      </c>
    </row>
    <row r="30" spans="1:9" ht="15" customHeight="1">
      <c r="A30" s="8"/>
      <c r="B30" s="8"/>
      <c r="C30" s="8"/>
      <c r="D30" s="49"/>
      <c r="E30" s="465" t="s">
        <v>346</v>
      </c>
      <c r="F30" s="465"/>
      <c r="G30" s="413">
        <v>2500000</v>
      </c>
      <c r="H30" s="414">
        <v>3100000</v>
      </c>
      <c r="I30" s="31">
        <f>(H30/G30)*100</f>
        <v>124</v>
      </c>
    </row>
    <row r="31" spans="1:9" ht="15" customHeight="1">
      <c r="A31" s="8"/>
      <c r="B31" s="8"/>
      <c r="C31" s="8"/>
      <c r="D31" s="49" t="s">
        <v>20</v>
      </c>
      <c r="E31" s="465" t="s">
        <v>495</v>
      </c>
      <c r="F31" s="466"/>
      <c r="G31" s="413"/>
      <c r="H31" s="414">
        <f>60035+63998</f>
        <v>124033</v>
      </c>
      <c r="I31" s="31"/>
    </row>
    <row r="32" spans="1:9" ht="15" customHeight="1">
      <c r="A32" s="8"/>
      <c r="B32" s="8"/>
      <c r="C32" s="8"/>
      <c r="D32" s="49" t="s">
        <v>21</v>
      </c>
      <c r="E32" s="465" t="s">
        <v>347</v>
      </c>
      <c r="F32" s="465"/>
      <c r="G32" s="413"/>
      <c r="H32" s="414"/>
      <c r="I32" s="31"/>
    </row>
    <row r="33" spans="1:9" ht="30" customHeight="1">
      <c r="A33" s="8"/>
      <c r="B33" s="8"/>
      <c r="C33" s="8"/>
      <c r="D33" s="49"/>
      <c r="E33" s="465" t="s">
        <v>348</v>
      </c>
      <c r="F33" s="465"/>
      <c r="G33" s="413">
        <v>74100</v>
      </c>
      <c r="H33" s="414"/>
      <c r="I33" s="31"/>
    </row>
    <row r="34" spans="1:9" ht="28.5" customHeight="1">
      <c r="A34" s="51"/>
      <c r="B34" s="51"/>
      <c r="C34" s="476" t="s">
        <v>129</v>
      </c>
      <c r="D34" s="476"/>
      <c r="E34" s="476"/>
      <c r="F34" s="476"/>
      <c r="G34" s="421">
        <f>SUM(G28:G33)</f>
        <v>4030260</v>
      </c>
      <c r="H34" s="422">
        <f>SUM(H28:H33)</f>
        <v>4731553</v>
      </c>
      <c r="I34" s="37">
        <f>(H34/G34)*100</f>
        <v>117.40068878930887</v>
      </c>
    </row>
    <row r="35" spans="1:9" ht="6" customHeight="1" hidden="1">
      <c r="A35" s="8"/>
      <c r="B35" s="8"/>
      <c r="C35" s="8"/>
      <c r="D35" s="8"/>
      <c r="E35" s="8"/>
      <c r="F35" s="8"/>
      <c r="G35" s="413"/>
      <c r="H35" s="414"/>
      <c r="I35" s="31"/>
    </row>
    <row r="36" spans="1:9" ht="26.25" customHeight="1">
      <c r="A36" s="48"/>
      <c r="B36" s="451" t="s">
        <v>211</v>
      </c>
      <c r="C36" s="451"/>
      <c r="D36" s="451"/>
      <c r="E36" s="451"/>
      <c r="F36" s="451"/>
      <c r="G36" s="419"/>
      <c r="H36" s="420"/>
      <c r="I36" s="31"/>
    </row>
    <row r="37" spans="1:9" ht="27" customHeight="1">
      <c r="A37" s="8"/>
      <c r="B37" s="8"/>
      <c r="C37" s="8"/>
      <c r="D37" s="8" t="s">
        <v>17</v>
      </c>
      <c r="E37" s="447" t="s">
        <v>130</v>
      </c>
      <c r="F37" s="447"/>
      <c r="G37" s="423"/>
      <c r="H37" s="424"/>
      <c r="I37" s="31"/>
    </row>
    <row r="38" spans="1:9" ht="33.75" customHeight="1">
      <c r="A38" s="8"/>
      <c r="B38" s="8"/>
      <c r="C38" s="8"/>
      <c r="D38" s="8"/>
      <c r="E38" s="49" t="s">
        <v>131</v>
      </c>
      <c r="F38" s="53" t="s">
        <v>209</v>
      </c>
      <c r="G38" s="423">
        <v>1200000</v>
      </c>
      <c r="H38" s="424">
        <v>1800000</v>
      </c>
      <c r="I38" s="31">
        <f>(H38/G38)*100</f>
        <v>150</v>
      </c>
    </row>
    <row r="39" spans="1:9" ht="27.75" customHeight="1">
      <c r="A39" s="8"/>
      <c r="B39" s="454" t="s">
        <v>213</v>
      </c>
      <c r="C39" s="454"/>
      <c r="D39" s="454"/>
      <c r="E39" s="454"/>
      <c r="F39" s="454"/>
      <c r="G39" s="425">
        <f>SUM(G38:G38)</f>
        <v>1200000</v>
      </c>
      <c r="H39" s="426">
        <f>SUM(H38:H38)</f>
        <v>1800000</v>
      </c>
      <c r="I39" s="32">
        <f>(H39/G39)*100</f>
        <v>150</v>
      </c>
    </row>
    <row r="40" spans="1:9" ht="13.5" customHeight="1">
      <c r="A40" s="8"/>
      <c r="B40" s="174" t="s">
        <v>156</v>
      </c>
      <c r="C40" s="454" t="s">
        <v>494</v>
      </c>
      <c r="D40" s="455"/>
      <c r="E40" s="455"/>
      <c r="F40" s="455"/>
      <c r="G40" s="427"/>
      <c r="H40" s="428"/>
      <c r="I40" s="31"/>
    </row>
    <row r="41" spans="1:9" ht="15" customHeight="1">
      <c r="A41" s="8"/>
      <c r="B41" s="10"/>
      <c r="C41" s="10"/>
      <c r="D41" s="34" t="s">
        <v>18</v>
      </c>
      <c r="E41" s="465" t="s">
        <v>493</v>
      </c>
      <c r="F41" s="468"/>
      <c r="G41" s="423"/>
      <c r="H41" s="424">
        <v>88900</v>
      </c>
      <c r="I41" s="31"/>
    </row>
    <row r="42" spans="1:9" ht="15" customHeight="1">
      <c r="A42" s="8"/>
      <c r="B42" s="10" t="s">
        <v>492</v>
      </c>
      <c r="C42" s="30"/>
      <c r="D42" s="30"/>
      <c r="E42" s="193"/>
      <c r="G42" s="132"/>
      <c r="H42" s="420">
        <f>H41</f>
        <v>88900</v>
      </c>
      <c r="I42" s="31"/>
    </row>
    <row r="43" spans="1:9" ht="4.5" customHeight="1">
      <c r="A43" s="8"/>
      <c r="B43" s="8"/>
      <c r="C43" s="8"/>
      <c r="D43" s="8"/>
      <c r="E43" s="8"/>
      <c r="F43" s="34"/>
      <c r="G43" s="423"/>
      <c r="H43" s="424"/>
      <c r="I43" s="31"/>
    </row>
    <row r="44" spans="1:9" ht="28.5" customHeight="1">
      <c r="A44" s="472" t="s">
        <v>201</v>
      </c>
      <c r="B44" s="473"/>
      <c r="C44" s="473"/>
      <c r="D44" s="473"/>
      <c r="E44" s="473"/>
      <c r="F44" s="473"/>
      <c r="G44" s="429">
        <f>G26+G34+G39+G43+G40</f>
        <v>12463524</v>
      </c>
      <c r="H44" s="430">
        <f>H26+H34+H39+H40+H42</f>
        <v>14920033</v>
      </c>
      <c r="I44" s="32">
        <f>(H44/G44)*100</f>
        <v>119.7095861491501</v>
      </c>
    </row>
    <row r="45" spans="1:9" ht="28.5" customHeight="1">
      <c r="A45" s="171"/>
      <c r="B45" s="172"/>
      <c r="C45" s="172"/>
      <c r="D45" s="172"/>
      <c r="E45" s="172"/>
      <c r="F45" s="172"/>
      <c r="G45" s="200"/>
      <c r="H45" s="200"/>
      <c r="I45" s="32"/>
    </row>
    <row r="46" spans="1:9" ht="24.75" customHeight="1" thickBot="1">
      <c r="A46" s="453" t="s">
        <v>208</v>
      </c>
      <c r="B46" s="453"/>
      <c r="C46" s="453"/>
      <c r="D46" s="453"/>
      <c r="E46" s="453"/>
      <c r="F46" s="453"/>
      <c r="G46" s="453"/>
      <c r="H46" s="453"/>
      <c r="I46" s="453"/>
    </row>
    <row r="47" spans="1:9" ht="17.25" customHeight="1">
      <c r="A47" s="456" t="s">
        <v>111</v>
      </c>
      <c r="B47" s="457"/>
      <c r="C47" s="457"/>
      <c r="D47" s="457"/>
      <c r="E47" s="457"/>
      <c r="F47" s="458"/>
      <c r="G47" s="197" t="s">
        <v>0</v>
      </c>
      <c r="H47" s="197" t="s">
        <v>0</v>
      </c>
      <c r="I47" s="39" t="s">
        <v>197</v>
      </c>
    </row>
    <row r="48" spans="1:9" ht="14.25" customHeight="1">
      <c r="A48" s="459"/>
      <c r="B48" s="460"/>
      <c r="C48" s="460"/>
      <c r="D48" s="460"/>
      <c r="E48" s="460"/>
      <c r="F48" s="461"/>
      <c r="G48" s="196" t="s">
        <v>45</v>
      </c>
      <c r="H48" s="196" t="s">
        <v>45</v>
      </c>
      <c r="I48" s="46"/>
    </row>
    <row r="49" spans="1:9" ht="16.5" customHeight="1" thickBot="1">
      <c r="A49" s="462"/>
      <c r="B49" s="463"/>
      <c r="C49" s="463"/>
      <c r="D49" s="463"/>
      <c r="E49" s="463"/>
      <c r="F49" s="464"/>
      <c r="G49" s="195" t="s">
        <v>382</v>
      </c>
      <c r="H49" s="195" t="s">
        <v>457</v>
      </c>
      <c r="I49" s="47" t="s">
        <v>1</v>
      </c>
    </row>
    <row r="50" spans="1:9" ht="33" customHeight="1">
      <c r="A50" s="202"/>
      <c r="B50" s="448" t="s">
        <v>214</v>
      </c>
      <c r="C50" s="467"/>
      <c r="D50" s="467"/>
      <c r="E50" s="467"/>
      <c r="F50" s="467"/>
      <c r="G50" s="194"/>
      <c r="H50" s="194"/>
      <c r="I50" s="32"/>
    </row>
    <row r="51" spans="1:9" ht="15">
      <c r="A51" s="40"/>
      <c r="B51" s="40"/>
      <c r="C51" s="128" t="s">
        <v>17</v>
      </c>
      <c r="D51" s="42" t="s">
        <v>133</v>
      </c>
      <c r="E51" s="40"/>
      <c r="F51" s="40"/>
      <c r="G51" s="431">
        <v>52200</v>
      </c>
      <c r="H51" s="431">
        <v>52200</v>
      </c>
      <c r="I51" s="31">
        <f>(H51/G51)*100</f>
        <v>100</v>
      </c>
    </row>
    <row r="52" spans="1:9" ht="15" customHeight="1">
      <c r="A52" s="40"/>
      <c r="B52" s="40"/>
      <c r="C52" s="40" t="s">
        <v>18</v>
      </c>
      <c r="D52" s="471" t="s">
        <v>134</v>
      </c>
      <c r="E52" s="471"/>
      <c r="F52" s="471"/>
      <c r="G52" s="430"/>
      <c r="H52" s="431">
        <f>536874+1138493</f>
        <v>1675367</v>
      </c>
      <c r="I52" s="32"/>
    </row>
    <row r="53" spans="1:9" ht="14.25" customHeight="1">
      <c r="A53" s="40"/>
      <c r="B53" s="40"/>
      <c r="C53" s="40" t="s">
        <v>499</v>
      </c>
      <c r="D53" s="471" t="s">
        <v>500</v>
      </c>
      <c r="E53" s="449"/>
      <c r="F53" s="449"/>
      <c r="G53" s="430"/>
      <c r="H53" s="431">
        <v>56219</v>
      </c>
      <c r="I53" s="32"/>
    </row>
    <row r="54" spans="1:9" ht="14.25" customHeight="1">
      <c r="A54" s="40"/>
      <c r="B54" s="40"/>
      <c r="C54" s="40" t="s">
        <v>20</v>
      </c>
      <c r="D54" s="471" t="s">
        <v>501</v>
      </c>
      <c r="E54" s="449"/>
      <c r="F54" s="449"/>
      <c r="G54" s="430"/>
      <c r="H54" s="431">
        <v>300000</v>
      </c>
      <c r="I54" s="32"/>
    </row>
    <row r="55" spans="1:9" ht="29.25" customHeight="1">
      <c r="A55" s="40"/>
      <c r="B55" s="448" t="s">
        <v>135</v>
      </c>
      <c r="C55" s="448"/>
      <c r="D55" s="448"/>
      <c r="E55" s="448"/>
      <c r="F55" s="448"/>
      <c r="G55" s="430">
        <f>G51</f>
        <v>52200</v>
      </c>
      <c r="H55" s="430">
        <f>H51+H52+H53+H54</f>
        <v>2083786</v>
      </c>
      <c r="I55" s="31">
        <f>(H55/G55)*100</f>
        <v>3991.927203065134</v>
      </c>
    </row>
    <row r="56" spans="1:9" ht="33.75" customHeight="1">
      <c r="A56" s="448" t="s">
        <v>136</v>
      </c>
      <c r="B56" s="448"/>
      <c r="C56" s="448"/>
      <c r="D56" s="448"/>
      <c r="E56" s="448"/>
      <c r="F56" s="448"/>
      <c r="G56" s="432">
        <f>G44+G55</f>
        <v>12515724</v>
      </c>
      <c r="H56" s="433">
        <f>H44+H55</f>
        <v>17003819</v>
      </c>
      <c r="I56" s="32">
        <f>(H56/G56)*100</f>
        <v>135.85965142727662</v>
      </c>
    </row>
    <row r="57" spans="1:9" ht="30.75" customHeight="1">
      <c r="A57" s="202" t="s">
        <v>132</v>
      </c>
      <c r="B57" s="448" t="s">
        <v>137</v>
      </c>
      <c r="C57" s="448"/>
      <c r="D57" s="448"/>
      <c r="E57" s="448"/>
      <c r="F57" s="448"/>
      <c r="G57" s="432"/>
      <c r="H57" s="434"/>
      <c r="I57" s="32"/>
    </row>
    <row r="58" spans="1:9" ht="15" customHeight="1">
      <c r="A58" s="202"/>
      <c r="B58" s="201" t="s">
        <v>17</v>
      </c>
      <c r="C58" s="448" t="s">
        <v>202</v>
      </c>
      <c r="D58" s="448"/>
      <c r="E58" s="448"/>
      <c r="F58" s="448"/>
      <c r="G58" s="431"/>
      <c r="H58" s="435"/>
      <c r="I58" s="31"/>
    </row>
    <row r="59" spans="1:9" ht="28.5" customHeight="1">
      <c r="A59" s="202"/>
      <c r="B59" s="201"/>
      <c r="C59" s="201" t="s">
        <v>17</v>
      </c>
      <c r="D59" s="450" t="s">
        <v>465</v>
      </c>
      <c r="E59" s="449"/>
      <c r="F59" s="449"/>
      <c r="G59" s="431"/>
      <c r="H59" s="431">
        <v>5697553</v>
      </c>
      <c r="I59" s="31"/>
    </row>
    <row r="60" spans="1:9" ht="30.75" customHeight="1">
      <c r="A60" s="202"/>
      <c r="B60" s="201"/>
      <c r="C60" s="448" t="s">
        <v>203</v>
      </c>
      <c r="D60" s="448"/>
      <c r="E60" s="448"/>
      <c r="F60" s="448"/>
      <c r="G60" s="432">
        <f>G59</f>
        <v>0</v>
      </c>
      <c r="H60" s="433">
        <f>H59</f>
        <v>5697553</v>
      </c>
      <c r="I60" s="8"/>
    </row>
    <row r="61" spans="1:9" ht="15" customHeight="1">
      <c r="A61" s="202"/>
      <c r="B61" s="201" t="s">
        <v>18</v>
      </c>
      <c r="C61" s="448" t="s">
        <v>464</v>
      </c>
      <c r="D61" s="449"/>
      <c r="E61" s="449"/>
      <c r="F61" s="449"/>
      <c r="G61" s="432"/>
      <c r="H61" s="433"/>
      <c r="I61" s="8"/>
    </row>
    <row r="62" spans="1:9" ht="18.75" customHeight="1">
      <c r="A62" s="202"/>
      <c r="B62" s="201"/>
      <c r="C62" s="201" t="s">
        <v>17</v>
      </c>
      <c r="D62" s="203" t="s">
        <v>417</v>
      </c>
      <c r="E62" s="201"/>
      <c r="F62" s="201"/>
      <c r="G62" s="431">
        <v>31078900</v>
      </c>
      <c r="H62" s="431">
        <v>31078900</v>
      </c>
      <c r="I62" s="8"/>
    </row>
    <row r="63" spans="1:9" ht="18.75" customHeight="1">
      <c r="A63" s="202"/>
      <c r="B63" s="201"/>
      <c r="C63" s="201" t="s">
        <v>18</v>
      </c>
      <c r="D63" s="203" t="s">
        <v>418</v>
      </c>
      <c r="E63" s="201"/>
      <c r="F63" s="201"/>
      <c r="G63" s="431">
        <v>3453211</v>
      </c>
      <c r="H63" s="431">
        <v>3453211</v>
      </c>
      <c r="I63" s="8"/>
    </row>
    <row r="64" spans="1:9" ht="28.5" customHeight="1">
      <c r="A64" s="202"/>
      <c r="B64" s="201"/>
      <c r="C64" s="448" t="s">
        <v>463</v>
      </c>
      <c r="D64" s="448"/>
      <c r="E64" s="448"/>
      <c r="F64" s="448"/>
      <c r="G64" s="432">
        <f>G62+G63</f>
        <v>34532111</v>
      </c>
      <c r="H64" s="432">
        <f>H62+H63</f>
        <v>34532111</v>
      </c>
      <c r="I64" s="8"/>
    </row>
    <row r="65" spans="1:9" ht="30" customHeight="1">
      <c r="A65" s="448" t="s">
        <v>137</v>
      </c>
      <c r="B65" s="448"/>
      <c r="C65" s="448"/>
      <c r="D65" s="448"/>
      <c r="E65" s="448"/>
      <c r="F65" s="449"/>
      <c r="G65" s="432">
        <f>G60+G64</f>
        <v>34532111</v>
      </c>
      <c r="H65" s="433">
        <f>H60+H64</f>
        <v>40229664</v>
      </c>
      <c r="I65" s="8"/>
    </row>
    <row r="66" spans="1:19" ht="15">
      <c r="A66" s="10" t="s">
        <v>138</v>
      </c>
      <c r="B66" s="10" t="s">
        <v>91</v>
      </c>
      <c r="C66" s="10"/>
      <c r="D66" s="10"/>
      <c r="E66" s="10"/>
      <c r="F66" s="10"/>
      <c r="G66" s="432"/>
      <c r="H66" s="199"/>
      <c r="I66" s="31"/>
      <c r="L66" s="469"/>
      <c r="M66" s="470"/>
      <c r="N66" s="470"/>
      <c r="O66" s="470"/>
      <c r="P66" s="470"/>
      <c r="Q66" s="470"/>
      <c r="R66" s="470"/>
      <c r="S66" s="470"/>
    </row>
    <row r="67" spans="1:9" ht="13.5" customHeight="1">
      <c r="A67" s="8"/>
      <c r="B67" s="8" t="s">
        <v>146</v>
      </c>
      <c r="C67" s="8" t="s">
        <v>139</v>
      </c>
      <c r="D67" s="8"/>
      <c r="E67" s="8"/>
      <c r="F67" s="8"/>
      <c r="G67" s="436"/>
      <c r="H67" s="198"/>
      <c r="I67" s="31"/>
    </row>
    <row r="68" spans="1:9" ht="15">
      <c r="A68" s="8"/>
      <c r="B68" s="8"/>
      <c r="C68" s="8" t="s">
        <v>17</v>
      </c>
      <c r="D68" s="8" t="s">
        <v>140</v>
      </c>
      <c r="E68" s="8"/>
      <c r="F68" s="8"/>
      <c r="G68" s="437">
        <v>100000</v>
      </c>
      <c r="H68" s="414">
        <v>100000</v>
      </c>
      <c r="I68" s="31">
        <f>H68/G68*100</f>
        <v>100</v>
      </c>
    </row>
    <row r="69" spans="1:9" ht="15">
      <c r="A69" s="10"/>
      <c r="B69" s="10" t="s">
        <v>17</v>
      </c>
      <c r="C69" s="10" t="s">
        <v>141</v>
      </c>
      <c r="D69" s="10"/>
      <c r="E69" s="10"/>
      <c r="F69" s="10"/>
      <c r="G69" s="432"/>
      <c r="H69" s="426"/>
      <c r="I69" s="31"/>
    </row>
    <row r="70" spans="1:9" ht="15">
      <c r="A70" s="8"/>
      <c r="B70" s="8"/>
      <c r="C70" s="8" t="s">
        <v>17</v>
      </c>
      <c r="D70" s="8" t="s">
        <v>142</v>
      </c>
      <c r="E70" s="8"/>
      <c r="F70" s="8"/>
      <c r="G70" s="437">
        <v>1000000</v>
      </c>
      <c r="H70" s="414">
        <v>1000000</v>
      </c>
      <c r="I70" s="31">
        <f>H70/G70*100</f>
        <v>100</v>
      </c>
    </row>
    <row r="71" spans="1:9" ht="15">
      <c r="A71" s="10"/>
      <c r="B71" s="10" t="s">
        <v>18</v>
      </c>
      <c r="C71" s="10" t="s">
        <v>143</v>
      </c>
      <c r="D71" s="10"/>
      <c r="E71" s="10"/>
      <c r="F71" s="10"/>
      <c r="G71" s="438"/>
      <c r="H71" s="426"/>
      <c r="I71" s="31"/>
    </row>
    <row r="72" spans="1:9" ht="15">
      <c r="A72" s="8"/>
      <c r="B72" s="8"/>
      <c r="C72" s="8" t="s">
        <v>17</v>
      </c>
      <c r="D72" s="8" t="s">
        <v>144</v>
      </c>
      <c r="E72" s="8"/>
      <c r="F72" s="8"/>
      <c r="G72" s="437">
        <v>200000</v>
      </c>
      <c r="H72" s="414">
        <v>200000</v>
      </c>
      <c r="I72" s="31">
        <f>H72/G72*100</f>
        <v>100</v>
      </c>
    </row>
    <row r="73" spans="1:9" ht="15">
      <c r="A73" s="10"/>
      <c r="B73" s="10" t="s">
        <v>20</v>
      </c>
      <c r="C73" s="10" t="s">
        <v>145</v>
      </c>
      <c r="D73" s="10"/>
      <c r="E73" s="10"/>
      <c r="F73" s="10"/>
      <c r="G73" s="438"/>
      <c r="H73" s="426"/>
      <c r="I73" s="31"/>
    </row>
    <row r="74" spans="1:9" ht="15">
      <c r="A74" s="8"/>
      <c r="B74" s="8"/>
      <c r="C74" s="10" t="s">
        <v>17</v>
      </c>
      <c r="D74" s="8" t="s">
        <v>147</v>
      </c>
      <c r="E74" s="8"/>
      <c r="F74" s="8"/>
      <c r="G74" s="437">
        <v>10000</v>
      </c>
      <c r="H74" s="414">
        <v>10000</v>
      </c>
      <c r="I74" s="31">
        <f>H74/G74*100</f>
        <v>100</v>
      </c>
    </row>
    <row r="75" spans="1:9" ht="15">
      <c r="A75" s="8"/>
      <c r="B75" s="8"/>
      <c r="C75" s="10" t="s">
        <v>19</v>
      </c>
      <c r="D75" s="8" t="s">
        <v>148</v>
      </c>
      <c r="E75" s="8"/>
      <c r="F75" s="8"/>
      <c r="G75" s="437">
        <v>10000</v>
      </c>
      <c r="H75" s="414">
        <v>10000</v>
      </c>
      <c r="I75" s="31">
        <f>H75/G75*100</f>
        <v>100</v>
      </c>
    </row>
    <row r="76" spans="1:9" ht="15">
      <c r="A76" s="10" t="s">
        <v>149</v>
      </c>
      <c r="B76" s="40"/>
      <c r="C76" s="40"/>
      <c r="D76" s="40"/>
      <c r="E76" s="40"/>
      <c r="F76" s="40"/>
      <c r="G76" s="430">
        <f>SUM(G68:G75)</f>
        <v>1320000</v>
      </c>
      <c r="H76" s="430">
        <f>SUM(H68:H75)</f>
        <v>1320000</v>
      </c>
      <c r="I76" s="32">
        <f>H76/G76*100</f>
        <v>100</v>
      </c>
    </row>
    <row r="77" spans="1:9" ht="15">
      <c r="A77" s="10" t="s">
        <v>150</v>
      </c>
      <c r="B77" s="10" t="s">
        <v>92</v>
      </c>
      <c r="C77" s="10"/>
      <c r="D77" s="10"/>
      <c r="E77" s="10"/>
      <c r="F77" s="10"/>
      <c r="G77" s="432"/>
      <c r="H77" s="426"/>
      <c r="I77" s="31"/>
    </row>
    <row r="78" spans="1:9" ht="15">
      <c r="A78" s="40"/>
      <c r="B78" s="40" t="s">
        <v>17</v>
      </c>
      <c r="C78" s="452" t="s">
        <v>151</v>
      </c>
      <c r="D78" s="452"/>
      <c r="E78" s="452"/>
      <c r="F78" s="452"/>
      <c r="G78" s="431"/>
      <c r="H78" s="435"/>
      <c r="I78" s="31"/>
    </row>
    <row r="79" spans="1:9" ht="15">
      <c r="A79" s="40"/>
      <c r="B79" s="40"/>
      <c r="C79" s="43" t="s">
        <v>17</v>
      </c>
      <c r="D79" s="43" t="s">
        <v>152</v>
      </c>
      <c r="E79" s="43"/>
      <c r="F79" s="43"/>
      <c r="G79" s="431">
        <v>601622</v>
      </c>
      <c r="H79" s="431">
        <f>562424+23622+10000</f>
        <v>596046</v>
      </c>
      <c r="I79" s="31">
        <f>H79/G79*100</f>
        <v>99.07317219117651</v>
      </c>
    </row>
    <row r="80" spans="1:9" ht="15">
      <c r="A80" s="40"/>
      <c r="B80" s="40"/>
      <c r="C80" s="43" t="s">
        <v>18</v>
      </c>
      <c r="D80" s="43" t="s">
        <v>153</v>
      </c>
      <c r="E80" s="43"/>
      <c r="F80" s="43"/>
      <c r="G80" s="431">
        <v>534881</v>
      </c>
      <c r="H80" s="431">
        <v>578690</v>
      </c>
      <c r="I80" s="31">
        <f>H80/G80*100</f>
        <v>108.19041992517961</v>
      </c>
    </row>
    <row r="81" spans="1:9" ht="15">
      <c r="A81" s="40"/>
      <c r="B81" s="40"/>
      <c r="C81" s="43" t="s">
        <v>19</v>
      </c>
      <c r="D81" s="43" t="s">
        <v>154</v>
      </c>
      <c r="E81" s="40"/>
      <c r="F81" s="40"/>
      <c r="G81" s="431">
        <v>2000</v>
      </c>
      <c r="H81" s="431">
        <v>2000</v>
      </c>
      <c r="I81" s="31">
        <f>H81/G81*100</f>
        <v>100</v>
      </c>
    </row>
    <row r="82" spans="1:9" ht="15">
      <c r="A82" s="40"/>
      <c r="B82" s="40"/>
      <c r="C82" s="43" t="s">
        <v>20</v>
      </c>
      <c r="D82" s="43" t="s">
        <v>390</v>
      </c>
      <c r="E82" s="40"/>
      <c r="F82" s="40"/>
      <c r="G82" s="431">
        <v>378030</v>
      </c>
      <c r="H82" s="431">
        <f>160932+156246+74218</f>
        <v>391396</v>
      </c>
      <c r="I82" s="31"/>
    </row>
    <row r="83" spans="1:9" ht="15">
      <c r="A83" s="40"/>
      <c r="B83" s="40"/>
      <c r="C83" s="43" t="s">
        <v>21</v>
      </c>
      <c r="D83" s="43" t="s">
        <v>393</v>
      </c>
      <c r="E83" s="40"/>
      <c r="F83" s="40"/>
      <c r="G83" s="431">
        <v>9552190</v>
      </c>
      <c r="H83" s="431">
        <f>223912+9323670</f>
        <v>9547582</v>
      </c>
      <c r="I83" s="31"/>
    </row>
    <row r="84" spans="1:9" ht="15.75" customHeight="1">
      <c r="A84" s="10" t="s">
        <v>155</v>
      </c>
      <c r="B84" s="40"/>
      <c r="C84" s="40"/>
      <c r="D84" s="40"/>
      <c r="E84" s="40"/>
      <c r="F84" s="40"/>
      <c r="G84" s="430">
        <f>G79+G80+G81+G82+G83</f>
        <v>11068723</v>
      </c>
      <c r="H84" s="430">
        <f>H79+H80+H81+H82+H83</f>
        <v>11115714</v>
      </c>
      <c r="I84" s="32">
        <f>H84/G84*100</f>
        <v>100.42453858498402</v>
      </c>
    </row>
    <row r="85" spans="1:9" ht="6" customHeight="1" hidden="1">
      <c r="A85" s="10"/>
      <c r="B85" s="40"/>
      <c r="C85" s="40"/>
      <c r="D85" s="40"/>
      <c r="E85" s="40"/>
      <c r="F85" s="40"/>
      <c r="G85" s="430"/>
      <c r="H85" s="200"/>
      <c r="I85" s="32"/>
    </row>
    <row r="86" spans="1:9" ht="15">
      <c r="A86" s="10" t="s">
        <v>156</v>
      </c>
      <c r="B86" s="10" t="s">
        <v>96</v>
      </c>
      <c r="C86" s="10"/>
      <c r="D86" s="10"/>
      <c r="E86" s="10"/>
      <c r="F86" s="10"/>
      <c r="G86" s="432"/>
      <c r="H86" s="199"/>
      <c r="I86" s="31"/>
    </row>
    <row r="87" spans="1:9" ht="27.75" customHeight="1">
      <c r="A87" s="8"/>
      <c r="B87" s="49" t="s">
        <v>17</v>
      </c>
      <c r="C87" s="447" t="s">
        <v>207</v>
      </c>
      <c r="D87" s="447"/>
      <c r="E87" s="447"/>
      <c r="F87" s="447"/>
      <c r="G87" s="439"/>
      <c r="H87" s="193"/>
      <c r="I87" s="31"/>
    </row>
    <row r="88" spans="1:9" ht="0.75" customHeight="1">
      <c r="A88" s="8"/>
      <c r="B88" s="8"/>
      <c r="C88" s="8"/>
      <c r="D88" s="8"/>
      <c r="E88" s="8"/>
      <c r="F88" s="8"/>
      <c r="G88" s="436"/>
      <c r="H88" s="198"/>
      <c r="I88" s="31"/>
    </row>
    <row r="89" spans="1:9" ht="27.75" customHeight="1">
      <c r="A89" s="451" t="s">
        <v>204</v>
      </c>
      <c r="B89" s="451"/>
      <c r="C89" s="451"/>
      <c r="D89" s="451"/>
      <c r="E89" s="451"/>
      <c r="F89" s="451"/>
      <c r="G89" s="432"/>
      <c r="H89" s="35">
        <f>SUM(H88:H88)</f>
        <v>0</v>
      </c>
      <c r="I89" s="32"/>
    </row>
    <row r="90" spans="1:9" ht="17.25" customHeight="1">
      <c r="A90" s="10" t="s">
        <v>157</v>
      </c>
      <c r="B90" s="10"/>
      <c r="C90" s="10"/>
      <c r="D90" s="10"/>
      <c r="E90" s="10"/>
      <c r="F90" s="10"/>
      <c r="G90" s="432">
        <f>G56+G60+G76+G84+G89</f>
        <v>24904447</v>
      </c>
      <c r="H90" s="433">
        <f>H56+H76+H84+H89+H65</f>
        <v>69669197</v>
      </c>
      <c r="I90" s="32">
        <f>H90/G90*100</f>
        <v>279.7460108228864</v>
      </c>
    </row>
    <row r="91" spans="1:9" ht="26.25" customHeight="1" thickBot="1">
      <c r="A91" s="453" t="s">
        <v>491</v>
      </c>
      <c r="B91" s="453"/>
      <c r="C91" s="453"/>
      <c r="D91" s="453"/>
      <c r="E91" s="453"/>
      <c r="F91" s="453"/>
      <c r="G91" s="453"/>
      <c r="H91" s="453"/>
      <c r="I91" s="453"/>
    </row>
    <row r="92" spans="1:9" ht="17.25" customHeight="1">
      <c r="A92" s="456" t="s">
        <v>111</v>
      </c>
      <c r="B92" s="457"/>
      <c r="C92" s="457"/>
      <c r="D92" s="457"/>
      <c r="E92" s="457"/>
      <c r="F92" s="458"/>
      <c r="G92" s="197" t="s">
        <v>0</v>
      </c>
      <c r="H92" s="197" t="s">
        <v>0</v>
      </c>
      <c r="I92" s="39" t="s">
        <v>197</v>
      </c>
    </row>
    <row r="93" spans="1:9" ht="17.25" customHeight="1">
      <c r="A93" s="459"/>
      <c r="B93" s="460"/>
      <c r="C93" s="460"/>
      <c r="D93" s="460"/>
      <c r="E93" s="460"/>
      <c r="F93" s="461"/>
      <c r="G93" s="196" t="s">
        <v>45</v>
      </c>
      <c r="H93" s="196" t="s">
        <v>45</v>
      </c>
      <c r="I93" s="46"/>
    </row>
    <row r="94" spans="1:9" ht="17.25" customHeight="1" thickBot="1">
      <c r="A94" s="462"/>
      <c r="B94" s="463"/>
      <c r="C94" s="463"/>
      <c r="D94" s="463"/>
      <c r="E94" s="463"/>
      <c r="F94" s="464"/>
      <c r="G94" s="195" t="s">
        <v>382</v>
      </c>
      <c r="H94" s="195" t="s">
        <v>457</v>
      </c>
      <c r="I94" s="47" t="s">
        <v>1</v>
      </c>
    </row>
    <row r="95" spans="1:9" ht="17.25" customHeight="1">
      <c r="A95" s="10"/>
      <c r="B95" s="10"/>
      <c r="C95" s="10"/>
      <c r="D95" s="10"/>
      <c r="E95" s="10"/>
      <c r="F95" s="10"/>
      <c r="G95" s="35"/>
      <c r="H95" s="35"/>
      <c r="I95" s="32"/>
    </row>
    <row r="96" spans="1:9" ht="15" customHeight="1">
      <c r="A96" s="10" t="s">
        <v>158</v>
      </c>
      <c r="B96" s="451" t="s">
        <v>159</v>
      </c>
      <c r="C96" s="451"/>
      <c r="D96" s="451"/>
      <c r="E96" s="451"/>
      <c r="F96" s="451"/>
      <c r="G96" s="10"/>
      <c r="H96" s="193"/>
      <c r="I96" s="31"/>
    </row>
    <row r="97" spans="1:9" ht="15" customHeight="1">
      <c r="A97" s="10"/>
      <c r="B97" s="38" t="s">
        <v>17</v>
      </c>
      <c r="C97" s="451" t="s">
        <v>205</v>
      </c>
      <c r="D97" s="451"/>
      <c r="E97" s="451"/>
      <c r="F97" s="451"/>
      <c r="G97" s="194"/>
      <c r="H97" s="193"/>
      <c r="I97" s="31"/>
    </row>
    <row r="98" spans="1:9" ht="15" customHeight="1">
      <c r="A98" s="10"/>
      <c r="B98" s="38"/>
      <c r="C98" s="52" t="s">
        <v>17</v>
      </c>
      <c r="D98" s="447" t="s">
        <v>215</v>
      </c>
      <c r="E98" s="447"/>
      <c r="F98" s="447"/>
      <c r="G98" s="424">
        <v>4260731</v>
      </c>
      <c r="H98" s="423">
        <f>1250000+750000+588584+180966+260381+93980-25270+335151+300000+11935438</f>
        <v>15669230</v>
      </c>
      <c r="I98" s="31"/>
    </row>
    <row r="99" spans="1:9" ht="15" customHeight="1">
      <c r="A99" s="10"/>
      <c r="B99" s="38"/>
      <c r="C99" s="52" t="s">
        <v>18</v>
      </c>
      <c r="D99" s="447" t="s">
        <v>206</v>
      </c>
      <c r="E99" s="447"/>
      <c r="F99" s="447"/>
      <c r="G99" s="424"/>
      <c r="H99" s="440"/>
      <c r="I99" s="31"/>
    </row>
    <row r="100" spans="1:9" ht="14.25">
      <c r="A100" s="10" t="s">
        <v>159</v>
      </c>
      <c r="B100" s="10"/>
      <c r="C100" s="10"/>
      <c r="D100" s="10"/>
      <c r="E100" s="10"/>
      <c r="F100" s="10"/>
      <c r="G100" s="432">
        <f>G98+G99</f>
        <v>4260731</v>
      </c>
      <c r="H100" s="13">
        <f>H98+H99</f>
        <v>15669230</v>
      </c>
      <c r="I100" s="32"/>
    </row>
    <row r="101" spans="1:9" ht="6" customHeight="1">
      <c r="A101" s="10"/>
      <c r="B101" s="10"/>
      <c r="C101" s="10"/>
      <c r="D101" s="10"/>
      <c r="E101" s="10"/>
      <c r="F101" s="10"/>
      <c r="G101" s="432"/>
      <c r="H101" s="13"/>
      <c r="I101" s="32"/>
    </row>
    <row r="102" spans="1:9" ht="15.75">
      <c r="A102" s="14" t="s">
        <v>160</v>
      </c>
      <c r="B102" s="14"/>
      <c r="C102" s="14"/>
      <c r="D102" s="14"/>
      <c r="E102" s="14"/>
      <c r="F102" s="14"/>
      <c r="G102" s="441">
        <f>G90+G100</f>
        <v>29165178</v>
      </c>
      <c r="H102" s="323">
        <f>H90+H100</f>
        <v>85338427</v>
      </c>
      <c r="I102" s="33">
        <f>H102/G102*100</f>
        <v>292.6038270707623</v>
      </c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8"/>
      <c r="C193" s="8"/>
      <c r="D193" s="8"/>
      <c r="E193" s="8"/>
      <c r="F193" s="8"/>
      <c r="G193" s="8"/>
      <c r="H193" s="8"/>
      <c r="I193" s="8"/>
    </row>
  </sheetData>
  <sheetProtection password="AF00" sheet="1"/>
  <mergeCells count="52">
    <mergeCell ref="A3:I3"/>
    <mergeCell ref="A1:I1"/>
    <mergeCell ref="E15:F15"/>
    <mergeCell ref="E16:F16"/>
    <mergeCell ref="A25:F26"/>
    <mergeCell ref="B27:F27"/>
    <mergeCell ref="A4:I4"/>
    <mergeCell ref="A5:I5"/>
    <mergeCell ref="A6:I6"/>
    <mergeCell ref="D14:F14"/>
    <mergeCell ref="A7:I7"/>
    <mergeCell ref="H8:I8"/>
    <mergeCell ref="A9:F11"/>
    <mergeCell ref="B12:F12"/>
    <mergeCell ref="A47:F49"/>
    <mergeCell ref="E28:F28"/>
    <mergeCell ref="C34:F34"/>
    <mergeCell ref="E29:F29"/>
    <mergeCell ref="E30:F30"/>
    <mergeCell ref="E32:F32"/>
    <mergeCell ref="L66:S66"/>
    <mergeCell ref="D52:F52"/>
    <mergeCell ref="B55:F55"/>
    <mergeCell ref="A56:F56"/>
    <mergeCell ref="C64:F64"/>
    <mergeCell ref="A44:F44"/>
    <mergeCell ref="A46:I46"/>
    <mergeCell ref="C58:F58"/>
    <mergeCell ref="D53:F53"/>
    <mergeCell ref="D54:F54"/>
    <mergeCell ref="E33:F33"/>
    <mergeCell ref="E31:F31"/>
    <mergeCell ref="B57:F57"/>
    <mergeCell ref="B50:F50"/>
    <mergeCell ref="B39:F39"/>
    <mergeCell ref="E41:F41"/>
    <mergeCell ref="C78:F78"/>
    <mergeCell ref="A91:I91"/>
    <mergeCell ref="C40:F40"/>
    <mergeCell ref="A92:F94"/>
    <mergeCell ref="B36:F36"/>
    <mergeCell ref="E37:F37"/>
    <mergeCell ref="D98:F98"/>
    <mergeCell ref="C61:F61"/>
    <mergeCell ref="D59:F59"/>
    <mergeCell ref="A65:F65"/>
    <mergeCell ref="D99:F99"/>
    <mergeCell ref="A89:F89"/>
    <mergeCell ref="B96:F96"/>
    <mergeCell ref="C97:F97"/>
    <mergeCell ref="C87:F87"/>
    <mergeCell ref="C60:F60"/>
  </mergeCells>
  <printOptions/>
  <pageMargins left="0.3937007874015748" right="0.5118110236220472" top="0.2755905511811024" bottom="0.3937007874015748" header="0.31496062992125984" footer="0.3937007874015748"/>
  <pageSetup horizontalDpi="200" verticalDpi="2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P30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3" max="3" width="53.625" style="0" customWidth="1"/>
    <col min="4" max="4" width="19.75390625" style="0" customWidth="1"/>
    <col min="5" max="5" width="17.375" style="0" customWidth="1"/>
    <col min="6" max="6" width="19.00390625" style="0" customWidth="1"/>
    <col min="7" max="7" width="25.375" style="0" customWidth="1"/>
  </cols>
  <sheetData>
    <row r="2" spans="1:16" ht="15.75">
      <c r="A2" s="479" t="s">
        <v>474</v>
      </c>
      <c r="B2" s="444"/>
      <c r="C2" s="444"/>
      <c r="D2" s="444"/>
      <c r="E2" s="444"/>
      <c r="F2" s="444"/>
      <c r="G2" s="444"/>
      <c r="H2" s="68"/>
      <c r="I2" s="208"/>
      <c r="J2" s="208"/>
      <c r="K2" s="208"/>
      <c r="L2" s="208"/>
      <c r="M2" s="208"/>
      <c r="N2" s="208"/>
      <c r="O2" s="208"/>
      <c r="P2" s="208"/>
    </row>
    <row r="3" spans="1:16" ht="15.75">
      <c r="A3" s="191"/>
      <c r="B3" s="247"/>
      <c r="C3" s="247"/>
      <c r="D3" s="247"/>
      <c r="E3" s="247"/>
      <c r="F3" s="247"/>
      <c r="G3" s="247"/>
      <c r="H3" s="244"/>
      <c r="I3" s="244"/>
      <c r="J3" s="244"/>
      <c r="K3" s="244"/>
      <c r="L3" s="244"/>
      <c r="M3" s="244"/>
      <c r="N3" s="244"/>
      <c r="O3" s="244"/>
      <c r="P3" s="244"/>
    </row>
    <row r="4" spans="8:16" ht="15.75">
      <c r="H4" s="249"/>
      <c r="I4" s="249"/>
      <c r="J4" s="249"/>
      <c r="K4" s="249"/>
      <c r="L4" s="249"/>
      <c r="M4" s="249"/>
      <c r="N4" s="249"/>
      <c r="O4" s="249"/>
      <c r="P4" s="249"/>
    </row>
    <row r="5" spans="1:16" ht="15.75">
      <c r="A5" s="191"/>
      <c r="B5" s="484"/>
      <c r="C5" s="485"/>
      <c r="D5" s="485"/>
      <c r="E5" s="485"/>
      <c r="F5" s="485"/>
      <c r="G5" s="485"/>
      <c r="H5" s="249"/>
      <c r="I5" s="249"/>
      <c r="J5" s="249"/>
      <c r="K5" s="249"/>
      <c r="L5" s="249"/>
      <c r="M5" s="249"/>
      <c r="N5" s="249"/>
      <c r="O5" s="249"/>
      <c r="P5" s="249"/>
    </row>
    <row r="6" spans="1:16" ht="15.75">
      <c r="A6" s="191"/>
      <c r="B6" s="483" t="s">
        <v>325</v>
      </c>
      <c r="C6" s="483"/>
      <c r="D6" s="483"/>
      <c r="E6" s="483"/>
      <c r="F6" s="483"/>
      <c r="G6" s="483"/>
      <c r="H6" s="248"/>
      <c r="I6" s="248"/>
      <c r="J6" s="248"/>
      <c r="K6" s="248"/>
      <c r="L6" s="248"/>
      <c r="M6" s="248"/>
      <c r="N6" s="248"/>
      <c r="O6" s="248"/>
      <c r="P6" s="248"/>
    </row>
    <row r="7" spans="1:16" ht="15.75">
      <c r="A7" s="191"/>
      <c r="B7" s="483" t="s">
        <v>326</v>
      </c>
      <c r="C7" s="483"/>
      <c r="D7" s="483"/>
      <c r="E7" s="483"/>
      <c r="F7" s="483"/>
      <c r="G7" s="483"/>
      <c r="H7" s="248"/>
      <c r="I7" s="248"/>
      <c r="J7" s="248"/>
      <c r="K7" s="248"/>
      <c r="L7" s="248"/>
      <c r="M7" s="248"/>
      <c r="N7" s="248"/>
      <c r="O7" s="248"/>
      <c r="P7" s="248"/>
    </row>
    <row r="8" spans="1:16" ht="15.75">
      <c r="A8" s="191"/>
      <c r="B8" s="483" t="s">
        <v>457</v>
      </c>
      <c r="C8" s="483"/>
      <c r="D8" s="483"/>
      <c r="E8" s="483"/>
      <c r="F8" s="483"/>
      <c r="G8" s="483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6.5" thickBot="1">
      <c r="A9" s="191"/>
      <c r="B9" s="247"/>
      <c r="C9" s="247"/>
      <c r="D9" s="247"/>
      <c r="E9" s="247"/>
      <c r="F9" s="247"/>
      <c r="G9" s="246" t="s">
        <v>383</v>
      </c>
      <c r="H9" s="244"/>
      <c r="I9" s="244"/>
      <c r="J9" s="245"/>
      <c r="K9" s="244"/>
      <c r="L9" s="244"/>
      <c r="M9" s="244"/>
      <c r="N9" s="245"/>
      <c r="O9" s="245"/>
      <c r="P9" s="244"/>
    </row>
    <row r="10" spans="1:16" ht="16.5" customHeight="1" thickBot="1">
      <c r="A10" s="480" t="s">
        <v>395</v>
      </c>
      <c r="B10" s="486" t="s">
        <v>327</v>
      </c>
      <c r="C10" s="489" t="s">
        <v>163</v>
      </c>
      <c r="D10" s="492" t="s">
        <v>328</v>
      </c>
      <c r="E10" s="495" t="s">
        <v>329</v>
      </c>
      <c r="F10" s="496"/>
      <c r="G10" s="49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5.75">
      <c r="A11" s="481"/>
      <c r="B11" s="487"/>
      <c r="C11" s="490"/>
      <c r="D11" s="493"/>
      <c r="E11" s="498" t="s">
        <v>330</v>
      </c>
      <c r="F11" s="498" t="s">
        <v>331</v>
      </c>
      <c r="G11" s="499" t="s">
        <v>332</v>
      </c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6" ht="16.5" thickBot="1">
      <c r="A12" s="481"/>
      <c r="B12" s="487"/>
      <c r="C12" s="490"/>
      <c r="D12" s="493"/>
      <c r="E12" s="498"/>
      <c r="F12" s="498"/>
      <c r="G12" s="499"/>
      <c r="H12" s="107"/>
      <c r="I12" s="107"/>
      <c r="J12" s="107"/>
      <c r="K12" s="107"/>
      <c r="L12" s="107"/>
      <c r="M12" s="107"/>
      <c r="N12" s="107"/>
      <c r="O12" s="107"/>
      <c r="P12" s="107"/>
    </row>
    <row r="13" spans="1:16" ht="15.75">
      <c r="A13" s="481"/>
      <c r="B13" s="487"/>
      <c r="C13" s="490"/>
      <c r="D13" s="493"/>
      <c r="E13" s="500" t="s">
        <v>333</v>
      </c>
      <c r="F13" s="501"/>
      <c r="G13" s="502"/>
      <c r="H13" s="107"/>
      <c r="I13" s="107"/>
      <c r="J13" s="107"/>
      <c r="K13" s="107"/>
      <c r="L13" s="107"/>
      <c r="M13" s="107"/>
      <c r="N13" s="107"/>
      <c r="O13" s="107"/>
      <c r="P13" s="107"/>
    </row>
    <row r="14" spans="1:16" ht="19.5" customHeight="1" thickBot="1">
      <c r="A14" s="482"/>
      <c r="B14" s="488"/>
      <c r="C14" s="491"/>
      <c r="D14" s="494"/>
      <c r="E14" s="503"/>
      <c r="F14" s="504"/>
      <c r="G14" s="505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1:16" ht="32.25" thickBot="1">
      <c r="A15" s="243" t="s">
        <v>17</v>
      </c>
      <c r="B15" s="242" t="s">
        <v>173</v>
      </c>
      <c r="C15" s="241" t="s">
        <v>174</v>
      </c>
      <c r="D15" s="236">
        <f aca="true" t="shared" si="0" ref="D15:D24">E15+F15+G15</f>
        <v>2000</v>
      </c>
      <c r="E15" s="240">
        <v>2000</v>
      </c>
      <c r="F15" s="240"/>
      <c r="G15" s="239"/>
      <c r="H15" s="213"/>
      <c r="I15" s="213"/>
      <c r="J15" s="210"/>
      <c r="K15" s="233"/>
      <c r="L15" s="209"/>
      <c r="M15" s="209"/>
      <c r="N15" s="210"/>
      <c r="O15" s="210"/>
      <c r="P15" s="209"/>
    </row>
    <row r="16" spans="1:16" ht="15.75">
      <c r="A16" s="230" t="s">
        <v>18</v>
      </c>
      <c r="B16" s="238" t="s">
        <v>466</v>
      </c>
      <c r="C16" s="237" t="s">
        <v>467</v>
      </c>
      <c r="D16" s="236">
        <f t="shared" si="0"/>
        <v>1675367</v>
      </c>
      <c r="E16" s="235">
        <f>536874+1073748+64745</f>
        <v>1675367</v>
      </c>
      <c r="F16" s="235"/>
      <c r="G16" s="234"/>
      <c r="H16" s="213"/>
      <c r="I16" s="213"/>
      <c r="J16" s="210"/>
      <c r="K16" s="233"/>
      <c r="L16" s="209"/>
      <c r="M16" s="209"/>
      <c r="N16" s="210"/>
      <c r="O16" s="210"/>
      <c r="P16" s="209"/>
    </row>
    <row r="17" spans="1:16" ht="15.75">
      <c r="A17" s="230" t="s">
        <v>19</v>
      </c>
      <c r="B17" s="226" t="s">
        <v>334</v>
      </c>
      <c r="C17" s="225" t="s">
        <v>335</v>
      </c>
      <c r="D17" s="224">
        <f t="shared" si="0"/>
        <v>20617586</v>
      </c>
      <c r="E17" s="222">
        <f>20404653+60035+88900+63998</f>
        <v>20617586</v>
      </c>
      <c r="F17" s="222"/>
      <c r="G17" s="221"/>
      <c r="H17" s="213"/>
      <c r="I17" s="213"/>
      <c r="J17" s="210"/>
      <c r="K17" s="209"/>
      <c r="L17" s="209"/>
      <c r="M17" s="209"/>
      <c r="N17" s="210"/>
      <c r="O17" s="210"/>
      <c r="P17" s="209"/>
    </row>
    <row r="18" spans="1:16" ht="15.75">
      <c r="A18" s="230" t="s">
        <v>20</v>
      </c>
      <c r="B18" s="226" t="s">
        <v>391</v>
      </c>
      <c r="C18" s="225" t="s">
        <v>392</v>
      </c>
      <c r="D18" s="224">
        <f t="shared" si="0"/>
        <v>15669230</v>
      </c>
      <c r="E18" s="222">
        <f>3098641+335151+300000+11935438</f>
        <v>15669230</v>
      </c>
      <c r="F18" s="222"/>
      <c r="G18" s="221"/>
      <c r="H18" s="213"/>
      <c r="I18" s="213"/>
      <c r="J18" s="210"/>
      <c r="K18" s="209"/>
      <c r="L18" s="209"/>
      <c r="M18" s="209"/>
      <c r="N18" s="210"/>
      <c r="O18" s="210"/>
      <c r="P18" s="209"/>
    </row>
    <row r="19" spans="1:16" ht="15.75">
      <c r="A19" s="230" t="s">
        <v>21</v>
      </c>
      <c r="B19" s="232" t="s">
        <v>181</v>
      </c>
      <c r="C19" s="231" t="s">
        <v>182</v>
      </c>
      <c r="D19" s="224">
        <f t="shared" si="0"/>
        <v>43929999</v>
      </c>
      <c r="E19" s="222">
        <v>43929999</v>
      </c>
      <c r="F19" s="222"/>
      <c r="G19" s="221"/>
      <c r="H19" s="213"/>
      <c r="I19" s="213"/>
      <c r="J19" s="210"/>
      <c r="K19" s="209"/>
      <c r="L19" s="209"/>
      <c r="M19" s="209"/>
      <c r="N19" s="210"/>
      <c r="O19" s="210"/>
      <c r="P19" s="209"/>
    </row>
    <row r="20" spans="1:16" ht="15.75">
      <c r="A20" s="230" t="s">
        <v>22</v>
      </c>
      <c r="B20" s="226" t="s">
        <v>185</v>
      </c>
      <c r="C20" s="225" t="s">
        <v>186</v>
      </c>
      <c r="D20" s="224">
        <f t="shared" si="0"/>
        <v>813197</v>
      </c>
      <c r="E20" s="222">
        <v>56219</v>
      </c>
      <c r="F20" s="222">
        <v>756978</v>
      </c>
      <c r="G20" s="221"/>
      <c r="H20" s="213"/>
      <c r="I20" s="213"/>
      <c r="J20" s="210"/>
      <c r="K20" s="209"/>
      <c r="L20" s="209"/>
      <c r="M20" s="209"/>
      <c r="N20" s="210"/>
      <c r="O20" s="210"/>
      <c r="P20" s="209"/>
    </row>
    <row r="21" spans="1:16" ht="30">
      <c r="A21" s="230" t="s">
        <v>24</v>
      </c>
      <c r="B21" s="226" t="s">
        <v>226</v>
      </c>
      <c r="C21" s="284" t="s">
        <v>227</v>
      </c>
      <c r="D21" s="224">
        <f t="shared" si="0"/>
        <v>300000</v>
      </c>
      <c r="E21" s="222">
        <v>300000</v>
      </c>
      <c r="F21" s="222"/>
      <c r="G21" s="221"/>
      <c r="H21" s="213"/>
      <c r="I21" s="213"/>
      <c r="J21" s="210"/>
      <c r="K21" s="209"/>
      <c r="L21" s="209"/>
      <c r="M21" s="209"/>
      <c r="N21" s="210"/>
      <c r="O21" s="210"/>
      <c r="P21" s="209"/>
    </row>
    <row r="22" spans="1:16" ht="15.75">
      <c r="A22" s="230" t="s">
        <v>25</v>
      </c>
      <c r="B22" s="226">
        <v>104051</v>
      </c>
      <c r="C22" s="225" t="s">
        <v>341</v>
      </c>
      <c r="D22" s="224">
        <f t="shared" si="0"/>
        <v>52200</v>
      </c>
      <c r="E22" s="222"/>
      <c r="F22" s="222"/>
      <c r="G22" s="221">
        <v>52200</v>
      </c>
      <c r="H22" s="213"/>
      <c r="I22" s="213"/>
      <c r="J22" s="210"/>
      <c r="K22" s="209"/>
      <c r="L22" s="209"/>
      <c r="M22" s="209"/>
      <c r="N22" s="210"/>
      <c r="O22" s="210"/>
      <c r="P22" s="209"/>
    </row>
    <row r="23" spans="1:16" ht="16.5" thickBot="1">
      <c r="A23" s="227" t="s">
        <v>26</v>
      </c>
      <c r="B23" s="229">
        <v>107051</v>
      </c>
      <c r="C23" s="225" t="s">
        <v>192</v>
      </c>
      <c r="D23" s="224">
        <f t="shared" si="0"/>
        <v>958848</v>
      </c>
      <c r="E23" s="228">
        <v>958848</v>
      </c>
      <c r="F23" s="222"/>
      <c r="G23" s="221"/>
      <c r="H23" s="213"/>
      <c r="I23" s="213"/>
      <c r="J23" s="210"/>
      <c r="K23" s="209"/>
      <c r="L23" s="209"/>
      <c r="M23" s="209"/>
      <c r="N23" s="210"/>
      <c r="O23" s="210"/>
      <c r="P23" s="209"/>
    </row>
    <row r="24" spans="1:16" ht="32.25" thickBot="1">
      <c r="A24" s="220" t="s">
        <v>27</v>
      </c>
      <c r="B24" s="226">
        <v>900020</v>
      </c>
      <c r="C24" s="225" t="s">
        <v>342</v>
      </c>
      <c r="D24" s="224">
        <f t="shared" si="0"/>
        <v>1320000</v>
      </c>
      <c r="E24" s="223">
        <v>1320000</v>
      </c>
      <c r="F24" s="222"/>
      <c r="G24" s="221"/>
      <c r="H24" s="213"/>
      <c r="I24" s="213"/>
      <c r="J24" s="214"/>
      <c r="K24" s="213"/>
      <c r="L24" s="213"/>
      <c r="M24" s="213"/>
      <c r="N24" s="214"/>
      <c r="O24" s="213"/>
      <c r="P24" s="213"/>
    </row>
    <row r="25" spans="1:16" ht="16.5" thickBot="1">
      <c r="A25" s="220">
        <v>11</v>
      </c>
      <c r="B25" s="219"/>
      <c r="C25" s="218" t="s">
        <v>296</v>
      </c>
      <c r="D25" s="215">
        <f>SUM(D15:D24)</f>
        <v>85338427</v>
      </c>
      <c r="E25" s="217">
        <f>SUM(E15:E24)</f>
        <v>84529249</v>
      </c>
      <c r="F25" s="216">
        <f>SUM(F15:F24)</f>
        <v>756978</v>
      </c>
      <c r="G25" s="215">
        <f>SUM(G15:G24)</f>
        <v>52200</v>
      </c>
      <c r="H25" s="207"/>
      <c r="I25" s="207"/>
      <c r="J25" s="207"/>
      <c r="K25" s="207"/>
      <c r="L25" s="207"/>
      <c r="M25" s="207"/>
      <c r="N25" s="207"/>
      <c r="O25" s="207"/>
      <c r="P25" s="207"/>
    </row>
    <row r="26" spans="2:16" ht="15.75">
      <c r="B26" s="208"/>
      <c r="C26" s="208"/>
      <c r="D26" s="208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</row>
    <row r="27" spans="2:16" ht="15.75">
      <c r="B27" s="211"/>
      <c r="C27" s="212"/>
      <c r="D27" s="211"/>
      <c r="E27" s="209"/>
      <c r="F27" s="209"/>
      <c r="G27" s="209"/>
      <c r="H27" s="209"/>
      <c r="I27" s="209"/>
      <c r="J27" s="210"/>
      <c r="K27" s="209"/>
      <c r="L27" s="209"/>
      <c r="M27" s="209"/>
      <c r="N27" s="210"/>
      <c r="O27" s="210"/>
      <c r="P27" s="209"/>
    </row>
    <row r="28" spans="2:16" ht="15.7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</row>
    <row r="29" spans="2:16" ht="15.75">
      <c r="B29" s="208"/>
      <c r="C29" s="208"/>
      <c r="D29" s="208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</row>
    <row r="30" spans="2:16" ht="12.75">
      <c r="B30" s="206"/>
      <c r="C30" s="206"/>
      <c r="D30" s="206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</row>
  </sheetData>
  <sheetProtection password="AF00" sheet="1"/>
  <mergeCells count="14">
    <mergeCell ref="E11:E12"/>
    <mergeCell ref="F11:F12"/>
    <mergeCell ref="G11:G12"/>
    <mergeCell ref="E13:G14"/>
    <mergeCell ref="A2:G2"/>
    <mergeCell ref="A10:A14"/>
    <mergeCell ref="B6:G6"/>
    <mergeCell ref="B7:G7"/>
    <mergeCell ref="B8:G8"/>
    <mergeCell ref="B5:G5"/>
    <mergeCell ref="B10:B14"/>
    <mergeCell ref="C10:C14"/>
    <mergeCell ref="D10:D14"/>
    <mergeCell ref="E10:G10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9"/>
  <sheetViews>
    <sheetView view="pageBreakPreview" zoomScale="80" zoomScaleNormal="90" zoomScaleSheetLayoutView="80" zoomScalePageLayoutView="0" workbookViewId="0" topLeftCell="A1">
      <selection activeCell="N41" sqref="N41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3.00390625" style="0" customWidth="1"/>
    <col min="5" max="5" width="15.875" style="0" customWidth="1"/>
    <col min="6" max="6" width="12.75390625" style="0" customWidth="1"/>
    <col min="7" max="7" width="14.25390625" style="0" customWidth="1"/>
    <col min="8" max="8" width="13.75390625" style="0" customWidth="1"/>
    <col min="9" max="9" width="13.375" style="0" customWidth="1"/>
    <col min="10" max="10" width="13.125" style="0" customWidth="1"/>
    <col min="11" max="11" width="12.25390625" style="0" customWidth="1"/>
    <col min="12" max="12" width="12.75390625" style="0" customWidth="1"/>
    <col min="13" max="13" width="9.375" style="0" bestFit="1" customWidth="1"/>
    <col min="14" max="14" width="13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375" style="0" bestFit="1" customWidth="1"/>
    <col min="19" max="19" width="5.25390625" style="0" customWidth="1"/>
  </cols>
  <sheetData>
    <row r="1" spans="1:19" ht="15" customHeight="1">
      <c r="A1" s="534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</row>
    <row r="2" spans="1:19" ht="1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15">
      <c r="A3" s="534" t="s">
        <v>475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</row>
    <row r="4" spans="1:19" ht="16.5" customHeight="1">
      <c r="A4" s="191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</row>
    <row r="5" spans="1:19" ht="18.75">
      <c r="A5" s="191"/>
      <c r="B5" s="506" t="s">
        <v>161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</row>
    <row r="6" spans="1:19" ht="18.75">
      <c r="A6" s="191"/>
      <c r="B6" s="506" t="s">
        <v>195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</row>
    <row r="7" spans="1:19" ht="18.75">
      <c r="A7" s="191"/>
      <c r="B7" s="506" t="s">
        <v>457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</row>
    <row r="8" spans="1:19" ht="15.75" thickBot="1">
      <c r="A8" s="191"/>
      <c r="B8" s="303"/>
      <c r="C8" s="303"/>
      <c r="D8" s="303"/>
      <c r="E8" s="303"/>
      <c r="F8" s="303"/>
      <c r="G8" s="303"/>
      <c r="H8" s="303"/>
      <c r="I8" s="303"/>
      <c r="J8" s="304"/>
      <c r="K8" s="303"/>
      <c r="L8" s="303"/>
      <c r="M8" s="303"/>
      <c r="N8" s="304"/>
      <c r="O8" s="304"/>
      <c r="P8" s="303"/>
      <c r="Q8" s="302"/>
      <c r="R8" s="302" t="s">
        <v>383</v>
      </c>
      <c r="S8" s="191"/>
    </row>
    <row r="9" spans="1:19" ht="15.75" customHeight="1" thickBot="1">
      <c r="A9" s="535" t="s">
        <v>395</v>
      </c>
      <c r="B9" s="507" t="s">
        <v>162</v>
      </c>
      <c r="C9" s="509" t="s">
        <v>163</v>
      </c>
      <c r="D9" s="511" t="s">
        <v>164</v>
      </c>
      <c r="E9" s="515" t="s">
        <v>165</v>
      </c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41" t="s">
        <v>446</v>
      </c>
    </row>
    <row r="10" spans="1:19" ht="15.75" customHeight="1" thickBot="1">
      <c r="A10" s="536"/>
      <c r="B10" s="508"/>
      <c r="C10" s="510"/>
      <c r="D10" s="512"/>
      <c r="E10" s="543" t="s">
        <v>166</v>
      </c>
      <c r="F10" s="544"/>
      <c r="G10" s="544"/>
      <c r="H10" s="544"/>
      <c r="I10" s="544"/>
      <c r="J10" s="545"/>
      <c r="K10" s="515" t="s">
        <v>167</v>
      </c>
      <c r="L10" s="516"/>
      <c r="M10" s="516"/>
      <c r="N10" s="523"/>
      <c r="O10" s="524" t="s">
        <v>42</v>
      </c>
      <c r="P10" s="524"/>
      <c r="Q10" s="524"/>
      <c r="R10" s="524"/>
      <c r="S10" s="542"/>
    </row>
    <row r="11" spans="1:19" ht="12.75" customHeight="1">
      <c r="A11" s="536"/>
      <c r="B11" s="508"/>
      <c r="C11" s="510"/>
      <c r="D11" s="513"/>
      <c r="E11" s="511" t="s">
        <v>28</v>
      </c>
      <c r="F11" s="511" t="s">
        <v>168</v>
      </c>
      <c r="G11" s="511" t="s">
        <v>31</v>
      </c>
      <c r="H11" s="511" t="s">
        <v>33</v>
      </c>
      <c r="I11" s="511" t="s">
        <v>169</v>
      </c>
      <c r="J11" s="531" t="s">
        <v>170</v>
      </c>
      <c r="K11" s="517" t="s">
        <v>36</v>
      </c>
      <c r="L11" s="517" t="s">
        <v>38</v>
      </c>
      <c r="M11" s="511" t="s">
        <v>171</v>
      </c>
      <c r="N11" s="525" t="s">
        <v>172</v>
      </c>
      <c r="O11" s="528" t="s">
        <v>354</v>
      </c>
      <c r="P11" s="511" t="s">
        <v>443</v>
      </c>
      <c r="Q11" s="511" t="s">
        <v>444</v>
      </c>
      <c r="R11" s="538" t="s">
        <v>445</v>
      </c>
      <c r="S11" s="542"/>
    </row>
    <row r="12" spans="1:19" ht="12.75" customHeight="1">
      <c r="A12" s="536"/>
      <c r="B12" s="508"/>
      <c r="C12" s="510"/>
      <c r="D12" s="513"/>
      <c r="E12" s="512"/>
      <c r="F12" s="512"/>
      <c r="G12" s="512"/>
      <c r="H12" s="512"/>
      <c r="I12" s="512"/>
      <c r="J12" s="532"/>
      <c r="K12" s="518"/>
      <c r="L12" s="520"/>
      <c r="M12" s="512"/>
      <c r="N12" s="526"/>
      <c r="O12" s="529"/>
      <c r="P12" s="512"/>
      <c r="Q12" s="512"/>
      <c r="R12" s="539"/>
      <c r="S12" s="542"/>
    </row>
    <row r="13" spans="1:19" ht="41.25" customHeight="1" thickBot="1">
      <c r="A13" s="537"/>
      <c r="B13" s="508"/>
      <c r="C13" s="510"/>
      <c r="D13" s="514"/>
      <c r="E13" s="522"/>
      <c r="F13" s="522"/>
      <c r="G13" s="522"/>
      <c r="H13" s="522"/>
      <c r="I13" s="522"/>
      <c r="J13" s="533"/>
      <c r="K13" s="519"/>
      <c r="L13" s="521"/>
      <c r="M13" s="522"/>
      <c r="N13" s="527"/>
      <c r="O13" s="530"/>
      <c r="P13" s="522"/>
      <c r="Q13" s="522"/>
      <c r="R13" s="540"/>
      <c r="S13" s="542"/>
    </row>
    <row r="14" spans="1:19" ht="34.5" customHeight="1">
      <c r="A14" s="243" t="s">
        <v>17</v>
      </c>
      <c r="B14" s="301" t="s">
        <v>173</v>
      </c>
      <c r="C14" s="300" t="s">
        <v>174</v>
      </c>
      <c r="D14" s="299">
        <f>J14+N14</f>
        <v>18738984</v>
      </c>
      <c r="E14" s="282">
        <v>4349616</v>
      </c>
      <c r="F14" s="281">
        <v>872853</v>
      </c>
      <c r="G14" s="281">
        <f>1554796+50000-30480+50000</f>
        <v>1624316</v>
      </c>
      <c r="H14" s="281"/>
      <c r="I14" s="281">
        <f>155100+300000+11720759+33060-26645-176575-50000-13500-50000</f>
        <v>11892199</v>
      </c>
      <c r="J14" s="272">
        <f>E14+F14+G14+H14+I14</f>
        <v>18738984</v>
      </c>
      <c r="K14" s="280"/>
      <c r="L14" s="261"/>
      <c r="M14" s="261"/>
      <c r="N14" s="272">
        <f>M14</f>
        <v>0</v>
      </c>
      <c r="O14" s="283"/>
      <c r="P14" s="260"/>
      <c r="Q14" s="260"/>
      <c r="R14" s="298"/>
      <c r="S14" s="279"/>
    </row>
    <row r="15" spans="1:19" ht="19.5" customHeight="1">
      <c r="A15" s="230" t="s">
        <v>18</v>
      </c>
      <c r="B15" s="232" t="s">
        <v>175</v>
      </c>
      <c r="C15" s="284" t="s">
        <v>176</v>
      </c>
      <c r="D15" s="277">
        <f aca="true" t="shared" si="0" ref="D15:D31">J15+N15</f>
        <v>172720</v>
      </c>
      <c r="E15" s="282"/>
      <c r="F15" s="281"/>
      <c r="G15" s="281">
        <v>172720</v>
      </c>
      <c r="H15" s="281"/>
      <c r="I15" s="281"/>
      <c r="J15" s="272">
        <f aca="true" t="shared" si="1" ref="J15:J32">E15+F15+G15+H15+I15</f>
        <v>172720</v>
      </c>
      <c r="K15" s="280"/>
      <c r="L15" s="261"/>
      <c r="M15" s="261"/>
      <c r="N15" s="272"/>
      <c r="O15" s="283"/>
      <c r="P15" s="260"/>
      <c r="Q15" s="260"/>
      <c r="R15" s="297"/>
      <c r="S15" s="279"/>
    </row>
    <row r="16" spans="1:19" ht="27.75" customHeight="1">
      <c r="A16" s="230" t="s">
        <v>19</v>
      </c>
      <c r="B16" s="238" t="s">
        <v>334</v>
      </c>
      <c r="C16" s="237" t="s">
        <v>344</v>
      </c>
      <c r="D16" s="277">
        <f>J16+N16+R16</f>
        <v>588284</v>
      </c>
      <c r="E16" s="282"/>
      <c r="F16" s="281"/>
      <c r="G16" s="281"/>
      <c r="H16" s="281"/>
      <c r="I16" s="281"/>
      <c r="J16" s="272">
        <f t="shared" si="1"/>
        <v>0</v>
      </c>
      <c r="K16" s="280"/>
      <c r="L16" s="261"/>
      <c r="M16" s="261"/>
      <c r="N16" s="272"/>
      <c r="O16" s="283">
        <v>588284</v>
      </c>
      <c r="P16" s="260"/>
      <c r="Q16" s="260"/>
      <c r="R16" s="297">
        <f>O16+P16+Q16</f>
        <v>588284</v>
      </c>
      <c r="S16" s="279"/>
    </row>
    <row r="17" spans="1:19" ht="24" customHeight="1">
      <c r="A17" s="230" t="s">
        <v>20</v>
      </c>
      <c r="B17" s="238" t="s">
        <v>177</v>
      </c>
      <c r="C17" s="237" t="s">
        <v>178</v>
      </c>
      <c r="D17" s="277">
        <f t="shared" si="0"/>
        <v>7165155</v>
      </c>
      <c r="E17" s="282"/>
      <c r="F17" s="281"/>
      <c r="G17" s="281">
        <v>127000</v>
      </c>
      <c r="H17" s="281"/>
      <c r="I17" s="281"/>
      <c r="J17" s="272">
        <f t="shared" si="1"/>
        <v>127000</v>
      </c>
      <c r="K17" s="280"/>
      <c r="L17" s="261">
        <f>6703004+335151</f>
        <v>7038155</v>
      </c>
      <c r="M17" s="261"/>
      <c r="N17" s="272">
        <f>K17+L17+M17</f>
        <v>7038155</v>
      </c>
      <c r="O17" s="283"/>
      <c r="P17" s="260"/>
      <c r="Q17" s="260"/>
      <c r="R17" s="297"/>
      <c r="S17" s="279"/>
    </row>
    <row r="18" spans="1:19" ht="24" customHeight="1">
      <c r="A18" s="230" t="s">
        <v>21</v>
      </c>
      <c r="B18" s="238" t="s">
        <v>466</v>
      </c>
      <c r="C18" s="237" t="s">
        <v>467</v>
      </c>
      <c r="D18" s="277">
        <f t="shared" si="0"/>
        <v>1909852</v>
      </c>
      <c r="E18" s="282">
        <f>163059+20000+489183+978358</f>
        <v>1650600</v>
      </c>
      <c r="F18" s="281">
        <f>17937+6844+47691+95390</f>
        <v>167862</v>
      </c>
      <c r="G18" s="281">
        <f>64745+26645</f>
        <v>91390</v>
      </c>
      <c r="H18" s="281"/>
      <c r="I18" s="281"/>
      <c r="J18" s="272">
        <f t="shared" si="1"/>
        <v>1909852</v>
      </c>
      <c r="K18" s="280"/>
      <c r="L18" s="261"/>
      <c r="M18" s="261"/>
      <c r="N18" s="272"/>
      <c r="O18" s="283"/>
      <c r="P18" s="260"/>
      <c r="Q18" s="260"/>
      <c r="R18" s="297"/>
      <c r="S18" s="279">
        <v>2</v>
      </c>
    </row>
    <row r="19" spans="1:19" s="134" customFormat="1" ht="33.75" customHeight="1">
      <c r="A19" s="296" t="s">
        <v>22</v>
      </c>
      <c r="B19" s="232" t="s">
        <v>179</v>
      </c>
      <c r="C19" s="295" t="s">
        <v>180</v>
      </c>
      <c r="D19" s="294">
        <f t="shared" si="0"/>
        <v>15240</v>
      </c>
      <c r="E19" s="293"/>
      <c r="F19" s="292"/>
      <c r="G19" s="292">
        <v>15240</v>
      </c>
      <c r="H19" s="292"/>
      <c r="I19" s="292"/>
      <c r="J19" s="289">
        <f t="shared" si="1"/>
        <v>15240</v>
      </c>
      <c r="K19" s="291"/>
      <c r="L19" s="290"/>
      <c r="M19" s="290"/>
      <c r="N19" s="289"/>
      <c r="O19" s="288"/>
      <c r="P19" s="287"/>
      <c r="Q19" s="287"/>
      <c r="R19" s="286"/>
      <c r="S19" s="285"/>
    </row>
    <row r="20" spans="1:19" s="134" customFormat="1" ht="30.75" customHeight="1">
      <c r="A20" s="230" t="s">
        <v>24</v>
      </c>
      <c r="B20" s="232" t="s">
        <v>224</v>
      </c>
      <c r="C20" s="295" t="s">
        <v>225</v>
      </c>
      <c r="D20" s="294">
        <f t="shared" si="0"/>
        <v>54483</v>
      </c>
      <c r="E20" s="293"/>
      <c r="F20" s="292"/>
      <c r="G20" s="292">
        <v>54483</v>
      </c>
      <c r="H20" s="292"/>
      <c r="I20" s="292"/>
      <c r="J20" s="289">
        <f t="shared" si="1"/>
        <v>54483</v>
      </c>
      <c r="K20" s="291"/>
      <c r="L20" s="290"/>
      <c r="M20" s="290"/>
      <c r="N20" s="289"/>
      <c r="O20" s="288"/>
      <c r="P20" s="287"/>
      <c r="Q20" s="287"/>
      <c r="R20" s="286"/>
      <c r="S20" s="285"/>
    </row>
    <row r="21" spans="1:19" ht="18.75" customHeight="1">
      <c r="A21" s="230" t="s">
        <v>25</v>
      </c>
      <c r="B21" s="232" t="s">
        <v>181</v>
      </c>
      <c r="C21" s="231" t="s">
        <v>182</v>
      </c>
      <c r="D21" s="277">
        <f t="shared" si="0"/>
        <v>43929999</v>
      </c>
      <c r="E21" s="282"/>
      <c r="F21" s="281"/>
      <c r="G21" s="281">
        <v>9590804</v>
      </c>
      <c r="H21" s="261"/>
      <c r="I21" s="281"/>
      <c r="J21" s="272">
        <f t="shared" si="1"/>
        <v>9590804</v>
      </c>
      <c r="K21" s="280">
        <v>34339195</v>
      </c>
      <c r="L21" s="261"/>
      <c r="M21" s="261"/>
      <c r="N21" s="272">
        <f>K21+L21+M21</f>
        <v>34339195</v>
      </c>
      <c r="O21" s="283"/>
      <c r="P21" s="260"/>
      <c r="Q21" s="260"/>
      <c r="R21" s="259"/>
      <c r="S21" s="279"/>
    </row>
    <row r="22" spans="1:19" ht="18" customHeight="1">
      <c r="A22" s="230" t="s">
        <v>26</v>
      </c>
      <c r="B22" s="232" t="s">
        <v>183</v>
      </c>
      <c r="C22" s="284" t="s">
        <v>184</v>
      </c>
      <c r="D22" s="277">
        <f t="shared" si="0"/>
        <v>749300</v>
      </c>
      <c r="E22" s="282"/>
      <c r="F22" s="281"/>
      <c r="G22" s="281">
        <v>749300</v>
      </c>
      <c r="H22" s="261"/>
      <c r="I22" s="281"/>
      <c r="J22" s="272">
        <f t="shared" si="1"/>
        <v>749300</v>
      </c>
      <c r="K22" s="280"/>
      <c r="L22" s="261"/>
      <c r="M22" s="261"/>
      <c r="N22" s="272"/>
      <c r="O22" s="283"/>
      <c r="P22" s="260"/>
      <c r="Q22" s="260"/>
      <c r="R22" s="259"/>
      <c r="S22" s="279"/>
    </row>
    <row r="23" spans="1:19" s="134" customFormat="1" ht="30">
      <c r="A23" s="230" t="s">
        <v>26</v>
      </c>
      <c r="B23" s="232" t="s">
        <v>185</v>
      </c>
      <c r="C23" s="295" t="s">
        <v>186</v>
      </c>
      <c r="D23" s="294">
        <f t="shared" si="0"/>
        <v>3348567</v>
      </c>
      <c r="E23" s="293">
        <f>200000+47045</f>
        <v>247045</v>
      </c>
      <c r="F23" s="292">
        <f>35100+9174</f>
        <v>44274</v>
      </c>
      <c r="G23" s="292">
        <v>557248</v>
      </c>
      <c r="H23" s="290"/>
      <c r="I23" s="292"/>
      <c r="J23" s="289">
        <f t="shared" si="1"/>
        <v>848567</v>
      </c>
      <c r="K23" s="291">
        <v>2500000</v>
      </c>
      <c r="L23" s="290"/>
      <c r="M23" s="290"/>
      <c r="N23" s="289">
        <f>K23+L23+M23</f>
        <v>2500000</v>
      </c>
      <c r="O23" s="288"/>
      <c r="P23" s="287"/>
      <c r="Q23" s="287"/>
      <c r="R23" s="286"/>
      <c r="S23" s="285"/>
    </row>
    <row r="24" spans="1:19" ht="21" customHeight="1">
      <c r="A24" s="230" t="s">
        <v>27</v>
      </c>
      <c r="B24" s="232" t="s">
        <v>187</v>
      </c>
      <c r="C24" s="284" t="s">
        <v>188</v>
      </c>
      <c r="D24" s="277">
        <f t="shared" si="0"/>
        <v>119126</v>
      </c>
      <c r="E24" s="282"/>
      <c r="F24" s="281"/>
      <c r="G24" s="281">
        <v>119126</v>
      </c>
      <c r="H24" s="261"/>
      <c r="I24" s="281"/>
      <c r="J24" s="272">
        <f t="shared" si="1"/>
        <v>119126</v>
      </c>
      <c r="K24" s="280"/>
      <c r="L24" s="261"/>
      <c r="M24" s="261"/>
      <c r="N24" s="272"/>
      <c r="O24" s="283"/>
      <c r="P24" s="260"/>
      <c r="Q24" s="260"/>
      <c r="R24" s="259"/>
      <c r="S24" s="279"/>
    </row>
    <row r="25" spans="1:19" ht="19.5" customHeight="1">
      <c r="A25" s="230" t="s">
        <v>29</v>
      </c>
      <c r="B25" s="232" t="s">
        <v>189</v>
      </c>
      <c r="C25" s="284" t="s">
        <v>190</v>
      </c>
      <c r="D25" s="277">
        <f t="shared" si="0"/>
        <v>792627</v>
      </c>
      <c r="E25" s="282">
        <v>120000</v>
      </c>
      <c r="F25" s="281">
        <v>21310</v>
      </c>
      <c r="G25" s="281">
        <v>333817</v>
      </c>
      <c r="H25" s="281"/>
      <c r="I25" s="281"/>
      <c r="J25" s="272">
        <f t="shared" si="1"/>
        <v>475127</v>
      </c>
      <c r="K25" s="280">
        <v>317500</v>
      </c>
      <c r="L25" s="261"/>
      <c r="M25" s="261"/>
      <c r="N25" s="272">
        <f>K25+L25+M25</f>
        <v>317500</v>
      </c>
      <c r="O25" s="283"/>
      <c r="P25" s="260"/>
      <c r="Q25" s="260"/>
      <c r="R25" s="259"/>
      <c r="S25" s="279"/>
    </row>
    <row r="26" spans="1:19" ht="31.5" customHeight="1">
      <c r="A26" s="230" t="s">
        <v>30</v>
      </c>
      <c r="B26" s="232" t="s">
        <v>226</v>
      </c>
      <c r="C26" s="284" t="s">
        <v>227</v>
      </c>
      <c r="D26" s="277">
        <f t="shared" si="0"/>
        <v>1704015</v>
      </c>
      <c r="E26" s="282">
        <f>280000+50000+60000</f>
        <v>390000</v>
      </c>
      <c r="F26" s="281">
        <f>144765+13500</f>
        <v>158265</v>
      </c>
      <c r="G26" s="281">
        <f>634400+104775+160000+80000+176575</f>
        <v>1155750</v>
      </c>
      <c r="H26" s="281"/>
      <c r="I26" s="281"/>
      <c r="J26" s="272">
        <f t="shared" si="1"/>
        <v>1704015</v>
      </c>
      <c r="K26" s="280"/>
      <c r="L26" s="261"/>
      <c r="M26" s="261"/>
      <c r="N26" s="272"/>
      <c r="O26" s="283"/>
      <c r="P26" s="260"/>
      <c r="Q26" s="260"/>
      <c r="R26" s="259"/>
      <c r="S26" s="279"/>
    </row>
    <row r="27" spans="1:19" ht="31.5" customHeight="1">
      <c r="A27" s="230" t="s">
        <v>32</v>
      </c>
      <c r="B27" s="232" t="s">
        <v>228</v>
      </c>
      <c r="C27" s="284" t="s">
        <v>229</v>
      </c>
      <c r="D27" s="277">
        <f t="shared" si="0"/>
        <v>25000</v>
      </c>
      <c r="E27" s="282"/>
      <c r="F27" s="281"/>
      <c r="G27" s="281"/>
      <c r="H27" s="281"/>
      <c r="I27" s="281">
        <v>25000</v>
      </c>
      <c r="J27" s="272">
        <f t="shared" si="1"/>
        <v>25000</v>
      </c>
      <c r="K27" s="280"/>
      <c r="L27" s="261"/>
      <c r="M27" s="261"/>
      <c r="N27" s="272"/>
      <c r="O27" s="283"/>
      <c r="P27" s="260"/>
      <c r="Q27" s="260"/>
      <c r="R27" s="259"/>
      <c r="S27" s="279"/>
    </row>
    <row r="28" spans="1:19" ht="34.5" customHeight="1">
      <c r="A28" s="230" t="s">
        <v>35</v>
      </c>
      <c r="B28" s="232">
        <v>104051</v>
      </c>
      <c r="C28" s="284" t="s">
        <v>191</v>
      </c>
      <c r="D28" s="277">
        <f>J28+N28</f>
        <v>52200</v>
      </c>
      <c r="E28" s="282"/>
      <c r="F28" s="281"/>
      <c r="G28" s="281"/>
      <c r="H28" s="281">
        <v>52200</v>
      </c>
      <c r="I28" s="281"/>
      <c r="J28" s="272">
        <f>E28+F28+G28+H28+I28</f>
        <v>52200</v>
      </c>
      <c r="K28" s="280"/>
      <c r="L28" s="261"/>
      <c r="M28" s="261"/>
      <c r="N28" s="272"/>
      <c r="O28" s="283"/>
      <c r="P28" s="260"/>
      <c r="Q28" s="260"/>
      <c r="R28" s="259"/>
      <c r="S28" s="279"/>
    </row>
    <row r="29" spans="1:19" ht="21" customHeight="1">
      <c r="A29" s="230" t="s">
        <v>39</v>
      </c>
      <c r="B29" s="232">
        <v>107051</v>
      </c>
      <c r="C29" s="278" t="s">
        <v>192</v>
      </c>
      <c r="D29" s="277">
        <f t="shared" si="0"/>
        <v>1209462</v>
      </c>
      <c r="E29" s="282"/>
      <c r="F29" s="281"/>
      <c r="G29" s="281">
        <v>1209462</v>
      </c>
      <c r="H29" s="281"/>
      <c r="I29" s="281"/>
      <c r="J29" s="272">
        <f t="shared" si="1"/>
        <v>1209462</v>
      </c>
      <c r="K29" s="280"/>
      <c r="L29" s="261"/>
      <c r="M29" s="261"/>
      <c r="N29" s="272"/>
      <c r="O29" s="262"/>
      <c r="P29" s="261"/>
      <c r="Q29" s="260"/>
      <c r="R29" s="259"/>
      <c r="S29" s="279"/>
    </row>
    <row r="30" spans="1:19" ht="21" customHeight="1">
      <c r="A30" s="230" t="s">
        <v>41</v>
      </c>
      <c r="B30" s="232">
        <v>107055</v>
      </c>
      <c r="C30" s="278" t="s">
        <v>343</v>
      </c>
      <c r="D30" s="277">
        <f t="shared" si="0"/>
        <v>3224033</v>
      </c>
      <c r="E30" s="276">
        <f>1741500+50238+53554</f>
        <v>1845292</v>
      </c>
      <c r="F30" s="275">
        <f>356911+9797+10444</f>
        <v>377152</v>
      </c>
      <c r="G30" s="275">
        <v>1001589</v>
      </c>
      <c r="H30" s="275"/>
      <c r="I30" s="275"/>
      <c r="J30" s="272">
        <f t="shared" si="1"/>
        <v>3224033</v>
      </c>
      <c r="K30" s="274"/>
      <c r="L30" s="273"/>
      <c r="M30" s="273"/>
      <c r="N30" s="272">
        <f>K30+L30+M30</f>
        <v>0</v>
      </c>
      <c r="O30" s="262"/>
      <c r="P30" s="261"/>
      <c r="Q30" s="260"/>
      <c r="R30" s="259"/>
      <c r="S30" s="258">
        <v>1</v>
      </c>
    </row>
    <row r="31" spans="1:19" ht="21.75" customHeight="1" thickBot="1">
      <c r="A31" s="271" t="s">
        <v>319</v>
      </c>
      <c r="B31" s="270">
        <v>107060</v>
      </c>
      <c r="C31" s="269" t="s">
        <v>193</v>
      </c>
      <c r="D31" s="268">
        <f t="shared" si="0"/>
        <v>1539380</v>
      </c>
      <c r="E31" s="267"/>
      <c r="F31" s="266"/>
      <c r="G31" s="266">
        <f>88900+30480</f>
        <v>119380</v>
      </c>
      <c r="H31" s="266">
        <v>1420000</v>
      </c>
      <c r="I31" s="266"/>
      <c r="J31" s="263">
        <f t="shared" si="1"/>
        <v>1539380</v>
      </c>
      <c r="K31" s="265"/>
      <c r="L31" s="264"/>
      <c r="M31" s="264"/>
      <c r="N31" s="263"/>
      <c r="O31" s="262"/>
      <c r="P31" s="261"/>
      <c r="Q31" s="260"/>
      <c r="R31" s="259"/>
      <c r="S31" s="258"/>
    </row>
    <row r="32" spans="1:19" ht="16.5" thickBot="1">
      <c r="A32" s="220" t="s">
        <v>321</v>
      </c>
      <c r="B32" s="257"/>
      <c r="C32" s="256" t="s">
        <v>194</v>
      </c>
      <c r="D32" s="255">
        <f>J32+N32+R32</f>
        <v>85338427</v>
      </c>
      <c r="E32" s="253">
        <f>SUM(E14:E31)</f>
        <v>8602553</v>
      </c>
      <c r="F32" s="253">
        <f>SUM(F14:F31)</f>
        <v>1641716</v>
      </c>
      <c r="G32" s="253">
        <f>SUM(G14:G31)</f>
        <v>16921625</v>
      </c>
      <c r="H32" s="253">
        <f>SUM(H14:H31)</f>
        <v>1472200</v>
      </c>
      <c r="I32" s="253">
        <f>SUM(I14:I31)</f>
        <v>11917199</v>
      </c>
      <c r="J32" s="254">
        <f t="shared" si="1"/>
        <v>40555293</v>
      </c>
      <c r="K32" s="253">
        <f>SUM(K14:K31)</f>
        <v>37156695</v>
      </c>
      <c r="L32" s="253">
        <f>SUM(L14:L31)</f>
        <v>7038155</v>
      </c>
      <c r="M32" s="253">
        <f>SUM(M14:M31)</f>
        <v>0</v>
      </c>
      <c r="N32" s="253">
        <f>SUM(N14:N31)</f>
        <v>44194850</v>
      </c>
      <c r="O32" s="253">
        <f>SUM(O14:O31)</f>
        <v>588284</v>
      </c>
      <c r="P32" s="253"/>
      <c r="Q32" s="253"/>
      <c r="R32" s="253">
        <f>SUM(R14:R31)</f>
        <v>588284</v>
      </c>
      <c r="S32" s="252">
        <f>SUM(S14:S31)</f>
        <v>3</v>
      </c>
    </row>
    <row r="34" ht="16.5">
      <c r="J34" s="251"/>
    </row>
    <row r="39" ht="12.75">
      <c r="D39" s="36"/>
    </row>
  </sheetData>
  <sheetProtection password="AF00" sheet="1"/>
  <mergeCells count="29">
    <mergeCell ref="A3:S3"/>
    <mergeCell ref="A1:S1"/>
    <mergeCell ref="A9:A13"/>
    <mergeCell ref="B4:S4"/>
    <mergeCell ref="Q11:Q13"/>
    <mergeCell ref="R11:R13"/>
    <mergeCell ref="B6:S6"/>
    <mergeCell ref="B7:S7"/>
    <mergeCell ref="S9:S13"/>
    <mergeCell ref="E10:J10"/>
    <mergeCell ref="O10:R10"/>
    <mergeCell ref="E11:E13"/>
    <mergeCell ref="N11:N13"/>
    <mergeCell ref="O11:O13"/>
    <mergeCell ref="P11:P13"/>
    <mergeCell ref="G11:G13"/>
    <mergeCell ref="H11:H13"/>
    <mergeCell ref="I11:I13"/>
    <mergeCell ref="J11:J13"/>
    <mergeCell ref="B5:S5"/>
    <mergeCell ref="B9:B13"/>
    <mergeCell ref="C9:C13"/>
    <mergeCell ref="D9:D13"/>
    <mergeCell ref="E9:R9"/>
    <mergeCell ref="K11:K13"/>
    <mergeCell ref="L11:L13"/>
    <mergeCell ref="M11:M13"/>
    <mergeCell ref="F11:F13"/>
    <mergeCell ref="K10:N10"/>
  </mergeCells>
  <printOptions/>
  <pageMargins left="0.4724409448818898" right="0.35433070866141736" top="0.7874015748031497" bottom="0.5118110236220472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5"/>
  <sheetViews>
    <sheetView view="pageBreakPreview" zoomScaleSheetLayoutView="100" zoomScalePageLayoutView="0" workbookViewId="0" topLeftCell="A1">
      <selection activeCell="C34" sqref="C34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8.375" style="0" customWidth="1"/>
    <col min="5" max="5" width="16.8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5" customHeight="1">
      <c r="A1" s="479"/>
      <c r="B1" s="444"/>
      <c r="C1" s="444"/>
      <c r="D1" s="444"/>
      <c r="E1" s="444"/>
      <c r="F1" s="444"/>
      <c r="G1" s="444"/>
    </row>
    <row r="2" spans="1:7" ht="15" customHeight="1">
      <c r="A2" s="191"/>
      <c r="B2" s="191"/>
      <c r="C2" s="191"/>
      <c r="D2" s="191"/>
      <c r="E2" s="191"/>
      <c r="F2" s="191"/>
      <c r="G2" s="191"/>
    </row>
    <row r="3" spans="1:15" ht="15.75">
      <c r="A3" s="479" t="s">
        <v>476</v>
      </c>
      <c r="B3" s="444"/>
      <c r="C3" s="444"/>
      <c r="D3" s="444"/>
      <c r="E3" s="444"/>
      <c r="F3" s="444"/>
      <c r="G3" s="444"/>
      <c r="H3" s="208"/>
      <c r="I3" s="208"/>
      <c r="J3" s="208"/>
      <c r="K3" s="208"/>
      <c r="L3" s="208"/>
      <c r="M3" s="208"/>
      <c r="N3" s="208"/>
      <c r="O3" s="208"/>
    </row>
    <row r="4" spans="1:15" ht="15.75">
      <c r="A4" s="191"/>
      <c r="B4" s="250"/>
      <c r="C4" s="250"/>
      <c r="D4" s="250"/>
      <c r="E4" s="250"/>
      <c r="F4" s="250"/>
      <c r="G4" s="250"/>
      <c r="H4" s="208"/>
      <c r="I4" s="208"/>
      <c r="J4" s="208"/>
      <c r="K4" s="208"/>
      <c r="L4" s="208"/>
      <c r="M4" s="208"/>
      <c r="N4" s="208"/>
      <c r="O4" s="208"/>
    </row>
    <row r="5" spans="1:15" ht="15.75">
      <c r="A5" s="191"/>
      <c r="B5" s="483" t="s">
        <v>7</v>
      </c>
      <c r="C5" s="483"/>
      <c r="D5" s="483"/>
      <c r="E5" s="483"/>
      <c r="F5" s="483"/>
      <c r="G5" s="483"/>
      <c r="H5" s="248"/>
      <c r="I5" s="248"/>
      <c r="J5" s="248"/>
      <c r="K5" s="248"/>
      <c r="L5" s="248"/>
      <c r="M5" s="248"/>
      <c r="N5" s="248"/>
      <c r="O5" s="248"/>
    </row>
    <row r="6" spans="1:15" ht="15.75">
      <c r="A6" s="191"/>
      <c r="B6" s="483" t="s">
        <v>336</v>
      </c>
      <c r="C6" s="483"/>
      <c r="D6" s="483"/>
      <c r="E6" s="483"/>
      <c r="F6" s="483"/>
      <c r="G6" s="483"/>
      <c r="H6" s="248"/>
      <c r="I6" s="248"/>
      <c r="J6" s="248"/>
      <c r="K6" s="248"/>
      <c r="L6" s="248"/>
      <c r="M6" s="248"/>
      <c r="N6" s="248"/>
      <c r="O6" s="248"/>
    </row>
    <row r="7" spans="1:15" ht="16.5" thickBot="1">
      <c r="A7" s="191"/>
      <c r="B7" s="677" t="s">
        <v>457</v>
      </c>
      <c r="C7" s="677"/>
      <c r="D7" s="677"/>
      <c r="E7" s="677"/>
      <c r="F7" s="677"/>
      <c r="G7" s="677"/>
      <c r="H7" s="248"/>
      <c r="I7" s="248"/>
      <c r="J7" s="248"/>
      <c r="K7" s="248"/>
      <c r="L7" s="248"/>
      <c r="M7" s="248"/>
      <c r="N7" s="248"/>
      <c r="O7" s="248"/>
    </row>
    <row r="8" spans="1:15" ht="16.5" customHeight="1" thickBot="1">
      <c r="A8" s="546" t="s">
        <v>395</v>
      </c>
      <c r="B8" s="486" t="s">
        <v>327</v>
      </c>
      <c r="C8" s="489" t="s">
        <v>163</v>
      </c>
      <c r="D8" s="492" t="s">
        <v>164</v>
      </c>
      <c r="E8" s="495" t="s">
        <v>329</v>
      </c>
      <c r="F8" s="496"/>
      <c r="G8" s="497"/>
      <c r="H8" s="67"/>
      <c r="I8" s="67"/>
      <c r="J8" s="67"/>
      <c r="K8" s="67"/>
      <c r="L8" s="67"/>
      <c r="M8" s="67"/>
      <c r="N8" s="67"/>
      <c r="O8" s="67"/>
    </row>
    <row r="9" spans="1:15" ht="15.75" customHeight="1">
      <c r="A9" s="547"/>
      <c r="B9" s="487"/>
      <c r="C9" s="490"/>
      <c r="D9" s="493"/>
      <c r="E9" s="675" t="s">
        <v>330</v>
      </c>
      <c r="F9" s="675" t="s">
        <v>331</v>
      </c>
      <c r="G9" s="549" t="s">
        <v>338</v>
      </c>
      <c r="H9" s="107"/>
      <c r="I9" s="107"/>
      <c r="J9" s="107"/>
      <c r="K9" s="107"/>
      <c r="L9" s="107"/>
      <c r="M9" s="107"/>
      <c r="N9" s="107"/>
      <c r="O9" s="107"/>
    </row>
    <row r="10" spans="1:15" ht="16.5" thickBot="1">
      <c r="A10" s="547"/>
      <c r="B10" s="487"/>
      <c r="C10" s="490"/>
      <c r="D10" s="493"/>
      <c r="E10" s="676"/>
      <c r="F10" s="676"/>
      <c r="G10" s="550"/>
      <c r="H10" s="107"/>
      <c r="I10" s="107"/>
      <c r="J10" s="107"/>
      <c r="K10" s="107"/>
      <c r="L10" s="107"/>
      <c r="M10" s="107"/>
      <c r="N10" s="107"/>
      <c r="O10" s="107"/>
    </row>
    <row r="11" spans="1:15" ht="15.75">
      <c r="A11" s="547"/>
      <c r="B11" s="487"/>
      <c r="C11" s="490"/>
      <c r="D11" s="493"/>
      <c r="E11" s="500" t="s">
        <v>333</v>
      </c>
      <c r="F11" s="501"/>
      <c r="G11" s="502"/>
      <c r="H11" s="107"/>
      <c r="I11" s="107"/>
      <c r="J11" s="107"/>
      <c r="K11" s="107"/>
      <c r="L11" s="107"/>
      <c r="M11" s="107"/>
      <c r="N11" s="107"/>
      <c r="O11" s="107"/>
    </row>
    <row r="12" spans="1:15" ht="24.75" customHeight="1" thickBot="1">
      <c r="A12" s="548"/>
      <c r="B12" s="488"/>
      <c r="C12" s="491"/>
      <c r="D12" s="494"/>
      <c r="E12" s="503"/>
      <c r="F12" s="504"/>
      <c r="G12" s="505"/>
      <c r="H12" s="107"/>
      <c r="I12" s="107"/>
      <c r="J12" s="107"/>
      <c r="K12" s="107"/>
      <c r="L12" s="107"/>
      <c r="M12" s="107"/>
      <c r="N12" s="107"/>
      <c r="O12" s="107"/>
    </row>
    <row r="13" spans="1:15" ht="31.5">
      <c r="A13" s="243" t="s">
        <v>17</v>
      </c>
      <c r="B13" s="322" t="s">
        <v>173</v>
      </c>
      <c r="C13" s="311" t="s">
        <v>174</v>
      </c>
      <c r="D13" s="321">
        <f>E13+F13+G13</f>
        <v>18738984</v>
      </c>
      <c r="E13" s="320">
        <f>6784454+50000+11720759+33060-30480-316720+50000</f>
        <v>18291073</v>
      </c>
      <c r="F13" s="319">
        <f>147911+300000</f>
        <v>447911</v>
      </c>
      <c r="G13" s="318"/>
      <c r="H13" s="213"/>
      <c r="I13" s="210"/>
      <c r="J13" s="209"/>
      <c r="K13" s="209"/>
      <c r="L13" s="209"/>
      <c r="M13" s="210"/>
      <c r="N13" s="210"/>
      <c r="O13" s="209"/>
    </row>
    <row r="14" spans="1:15" ht="15.75">
      <c r="A14" s="230" t="s">
        <v>18</v>
      </c>
      <c r="B14" s="312" t="s">
        <v>175</v>
      </c>
      <c r="C14" s="311" t="s">
        <v>176</v>
      </c>
      <c r="D14" s="313">
        <f aca="true" t="shared" si="0" ref="D14:D30">E14+F14+G14</f>
        <v>172720</v>
      </c>
      <c r="E14" s="316">
        <v>172720</v>
      </c>
      <c r="F14" s="315"/>
      <c r="G14" s="314"/>
      <c r="H14" s="213"/>
      <c r="I14" s="210"/>
      <c r="J14" s="209"/>
      <c r="K14" s="209"/>
      <c r="L14" s="209"/>
      <c r="M14" s="210"/>
      <c r="N14" s="210"/>
      <c r="O14" s="209"/>
    </row>
    <row r="15" spans="1:15" ht="15.75">
      <c r="A15" s="230" t="s">
        <v>19</v>
      </c>
      <c r="B15" s="312" t="s">
        <v>334</v>
      </c>
      <c r="C15" s="311" t="s">
        <v>349</v>
      </c>
      <c r="D15" s="313">
        <f t="shared" si="0"/>
        <v>588284</v>
      </c>
      <c r="E15" s="316">
        <v>588284</v>
      </c>
      <c r="F15" s="315"/>
      <c r="G15" s="314"/>
      <c r="H15" s="213"/>
      <c r="I15" s="210"/>
      <c r="J15" s="209"/>
      <c r="K15" s="209"/>
      <c r="L15" s="209"/>
      <c r="M15" s="210"/>
      <c r="N15" s="210"/>
      <c r="O15" s="209"/>
    </row>
    <row r="16" spans="1:15" ht="15.75">
      <c r="A16" s="230" t="s">
        <v>20</v>
      </c>
      <c r="B16" s="312" t="s">
        <v>177</v>
      </c>
      <c r="C16" s="317" t="s">
        <v>178</v>
      </c>
      <c r="D16" s="313">
        <f t="shared" si="0"/>
        <v>7165155</v>
      </c>
      <c r="E16" s="316">
        <f>6830004+335151</f>
        <v>7165155</v>
      </c>
      <c r="F16" s="315"/>
      <c r="G16" s="314"/>
      <c r="H16" s="213"/>
      <c r="I16" s="210"/>
      <c r="J16" s="209"/>
      <c r="K16" s="209"/>
      <c r="L16" s="209"/>
      <c r="M16" s="210"/>
      <c r="N16" s="210"/>
      <c r="O16" s="209"/>
    </row>
    <row r="17" spans="1:15" ht="15.75">
      <c r="A17" s="230"/>
      <c r="B17" s="238" t="s">
        <v>466</v>
      </c>
      <c r="C17" s="237" t="s">
        <v>467</v>
      </c>
      <c r="D17" s="313">
        <f t="shared" si="0"/>
        <v>1909852</v>
      </c>
      <c r="E17" s="316">
        <f>180996+26844+489183+47691+1138493+26645</f>
        <v>1909852</v>
      </c>
      <c r="F17" s="315"/>
      <c r="G17" s="314"/>
      <c r="H17" s="213"/>
      <c r="I17" s="210"/>
      <c r="J17" s="209"/>
      <c r="K17" s="209"/>
      <c r="L17" s="209"/>
      <c r="M17" s="210"/>
      <c r="N17" s="210"/>
      <c r="O17" s="209"/>
    </row>
    <row r="18" spans="1:15" ht="31.5">
      <c r="A18" s="230" t="s">
        <v>21</v>
      </c>
      <c r="B18" s="312" t="s">
        <v>179</v>
      </c>
      <c r="C18" s="311" t="s">
        <v>180</v>
      </c>
      <c r="D18" s="313">
        <f t="shared" si="0"/>
        <v>15240</v>
      </c>
      <c r="E18" s="316">
        <v>15240</v>
      </c>
      <c r="F18" s="315"/>
      <c r="G18" s="314"/>
      <c r="H18" s="213"/>
      <c r="I18" s="210"/>
      <c r="J18" s="209"/>
      <c r="K18" s="209"/>
      <c r="L18" s="209"/>
      <c r="M18" s="210"/>
      <c r="N18" s="210"/>
      <c r="O18" s="209"/>
    </row>
    <row r="19" spans="1:15" ht="15.75">
      <c r="A19" s="230" t="s">
        <v>22</v>
      </c>
      <c r="B19" s="312" t="s">
        <v>224</v>
      </c>
      <c r="C19" s="311" t="s">
        <v>350</v>
      </c>
      <c r="D19" s="313">
        <f t="shared" si="0"/>
        <v>54483</v>
      </c>
      <c r="E19" s="316">
        <v>54483</v>
      </c>
      <c r="F19" s="315"/>
      <c r="G19" s="314"/>
      <c r="H19" s="213"/>
      <c r="I19" s="210"/>
      <c r="J19" s="209"/>
      <c r="K19" s="209"/>
      <c r="L19" s="209"/>
      <c r="M19" s="210"/>
      <c r="N19" s="210"/>
      <c r="O19" s="209"/>
    </row>
    <row r="20" spans="1:15" ht="15.75">
      <c r="A20" s="230" t="s">
        <v>24</v>
      </c>
      <c r="B20" s="232" t="s">
        <v>181</v>
      </c>
      <c r="C20" s="231" t="s">
        <v>182</v>
      </c>
      <c r="D20" s="313">
        <f t="shared" si="0"/>
        <v>43929999</v>
      </c>
      <c r="E20" s="316">
        <v>43929999</v>
      </c>
      <c r="F20" s="315"/>
      <c r="G20" s="314"/>
      <c r="H20" s="213"/>
      <c r="I20" s="210"/>
      <c r="J20" s="209"/>
      <c r="K20" s="209"/>
      <c r="L20" s="209"/>
      <c r="M20" s="210"/>
      <c r="N20" s="210"/>
      <c r="O20" s="209"/>
    </row>
    <row r="21" spans="1:15" ht="15.75">
      <c r="A21" s="230" t="s">
        <v>25</v>
      </c>
      <c r="B21" s="312" t="s">
        <v>183</v>
      </c>
      <c r="C21" s="311" t="s">
        <v>184</v>
      </c>
      <c r="D21" s="313">
        <f t="shared" si="0"/>
        <v>749300</v>
      </c>
      <c r="E21" s="316">
        <v>749300</v>
      </c>
      <c r="F21" s="315"/>
      <c r="G21" s="314"/>
      <c r="H21" s="213"/>
      <c r="I21" s="210"/>
      <c r="J21" s="209"/>
      <c r="K21" s="209"/>
      <c r="L21" s="209"/>
      <c r="M21" s="210"/>
      <c r="N21" s="210"/>
      <c r="O21" s="209"/>
    </row>
    <row r="22" spans="1:15" ht="15.75">
      <c r="A22" s="230" t="s">
        <v>26</v>
      </c>
      <c r="B22" s="312" t="s">
        <v>185</v>
      </c>
      <c r="C22" s="311" t="s">
        <v>186</v>
      </c>
      <c r="D22" s="313">
        <f t="shared" si="0"/>
        <v>3348567</v>
      </c>
      <c r="E22" s="316">
        <f>3292348+56219</f>
        <v>3348567</v>
      </c>
      <c r="F22" s="315"/>
      <c r="G22" s="314"/>
      <c r="H22" s="213"/>
      <c r="I22" s="210"/>
      <c r="J22" s="209"/>
      <c r="K22" s="209"/>
      <c r="L22" s="209"/>
      <c r="M22" s="210"/>
      <c r="N22" s="210"/>
      <c r="O22" s="209"/>
    </row>
    <row r="23" spans="1:15" ht="15.75">
      <c r="A23" s="230" t="s">
        <v>27</v>
      </c>
      <c r="B23" s="312" t="s">
        <v>187</v>
      </c>
      <c r="C23" s="311" t="s">
        <v>188</v>
      </c>
      <c r="D23" s="313">
        <f t="shared" si="0"/>
        <v>119126</v>
      </c>
      <c r="E23" s="316">
        <v>119126</v>
      </c>
      <c r="F23" s="315"/>
      <c r="G23" s="314"/>
      <c r="H23" s="213"/>
      <c r="I23" s="210"/>
      <c r="J23" s="209"/>
      <c r="K23" s="209"/>
      <c r="L23" s="209"/>
      <c r="M23" s="210"/>
      <c r="N23" s="210"/>
      <c r="O23" s="209"/>
    </row>
    <row r="24" spans="1:15" ht="15.75">
      <c r="A24" s="230" t="s">
        <v>29</v>
      </c>
      <c r="B24" s="312" t="s">
        <v>189</v>
      </c>
      <c r="C24" s="311" t="s">
        <v>190</v>
      </c>
      <c r="D24" s="313">
        <f t="shared" si="0"/>
        <v>792627</v>
      </c>
      <c r="E24" s="316">
        <v>792627</v>
      </c>
      <c r="F24" s="315"/>
      <c r="G24" s="314"/>
      <c r="H24" s="213"/>
      <c r="I24" s="210"/>
      <c r="J24" s="209"/>
      <c r="K24" s="209"/>
      <c r="L24" s="209"/>
      <c r="M24" s="210"/>
      <c r="N24" s="210"/>
      <c r="O24" s="209"/>
    </row>
    <row r="25" spans="1:15" ht="28.5" customHeight="1">
      <c r="A25" s="230" t="s">
        <v>30</v>
      </c>
      <c r="B25" s="312" t="s">
        <v>226</v>
      </c>
      <c r="C25" s="311" t="s">
        <v>351</v>
      </c>
      <c r="D25" s="313">
        <f t="shared" si="0"/>
        <v>1704015</v>
      </c>
      <c r="E25" s="316">
        <f>634400+82500+22275+176575+160000+80000</f>
        <v>1155750</v>
      </c>
      <c r="F25" s="315">
        <f>424765+13500+50000+60000</f>
        <v>548265</v>
      </c>
      <c r="G25" s="314"/>
      <c r="H25" s="213"/>
      <c r="I25" s="210"/>
      <c r="J25" s="209"/>
      <c r="K25" s="209"/>
      <c r="L25" s="209"/>
      <c r="M25" s="210"/>
      <c r="N25" s="210"/>
      <c r="O25" s="209"/>
    </row>
    <row r="26" spans="1:15" ht="15.75">
      <c r="A26" s="230" t="s">
        <v>32</v>
      </c>
      <c r="B26" s="312" t="s">
        <v>228</v>
      </c>
      <c r="C26" s="311" t="s">
        <v>229</v>
      </c>
      <c r="D26" s="313">
        <f t="shared" si="0"/>
        <v>25000</v>
      </c>
      <c r="E26" s="316">
        <v>25000</v>
      </c>
      <c r="F26" s="315"/>
      <c r="G26" s="314"/>
      <c r="H26" s="213"/>
      <c r="I26" s="210"/>
      <c r="J26" s="209"/>
      <c r="K26" s="209"/>
      <c r="L26" s="209"/>
      <c r="M26" s="210"/>
      <c r="N26" s="210"/>
      <c r="O26" s="209"/>
    </row>
    <row r="27" spans="1:15" ht="15.75">
      <c r="A27" s="230" t="s">
        <v>35</v>
      </c>
      <c r="B27" s="312">
        <v>104051</v>
      </c>
      <c r="C27" s="311" t="s">
        <v>191</v>
      </c>
      <c r="D27" s="313">
        <f>E27+F27+G27</f>
        <v>52200</v>
      </c>
      <c r="E27" s="316"/>
      <c r="F27" s="315"/>
      <c r="G27" s="314">
        <v>52200</v>
      </c>
      <c r="H27" s="213"/>
      <c r="I27" s="210"/>
      <c r="J27" s="209"/>
      <c r="K27" s="209"/>
      <c r="L27" s="209"/>
      <c r="M27" s="210"/>
      <c r="N27" s="210"/>
      <c r="O27" s="209"/>
    </row>
    <row r="28" spans="1:15" ht="15.75">
      <c r="A28" s="230" t="s">
        <v>39</v>
      </c>
      <c r="B28" s="312">
        <v>107051</v>
      </c>
      <c r="C28" s="311" t="s">
        <v>192</v>
      </c>
      <c r="D28" s="313">
        <f t="shared" si="0"/>
        <v>1209462</v>
      </c>
      <c r="E28" s="316">
        <v>1209462</v>
      </c>
      <c r="F28" s="315"/>
      <c r="G28" s="314"/>
      <c r="H28" s="213"/>
      <c r="I28" s="210"/>
      <c r="J28" s="209"/>
      <c r="K28" s="209"/>
      <c r="L28" s="209"/>
      <c r="M28" s="210"/>
      <c r="N28" s="210"/>
      <c r="O28" s="209"/>
    </row>
    <row r="29" spans="1:15" ht="15.75">
      <c r="A29" s="230" t="s">
        <v>41</v>
      </c>
      <c r="B29" s="312">
        <v>107055</v>
      </c>
      <c r="C29" s="311" t="s">
        <v>352</v>
      </c>
      <c r="D29" s="313">
        <f t="shared" si="0"/>
        <v>3224033</v>
      </c>
      <c r="E29" s="309">
        <f>2971149+60035+63998</f>
        <v>3095182</v>
      </c>
      <c r="F29" s="308">
        <v>128851</v>
      </c>
      <c r="G29" s="307"/>
      <c r="H29" s="213"/>
      <c r="I29" s="210"/>
      <c r="J29" s="209"/>
      <c r="K29" s="209"/>
      <c r="L29" s="209"/>
      <c r="M29" s="210"/>
      <c r="N29" s="210"/>
      <c r="O29" s="209"/>
    </row>
    <row r="30" spans="1:15" ht="16.5" thickBot="1">
      <c r="A30" s="271" t="s">
        <v>319</v>
      </c>
      <c r="B30" s="312">
        <v>107060</v>
      </c>
      <c r="C30" s="311" t="s">
        <v>337</v>
      </c>
      <c r="D30" s="310">
        <f t="shared" si="0"/>
        <v>1539380</v>
      </c>
      <c r="E30" s="309">
        <f>1420000+88900+30480</f>
        <v>1539380</v>
      </c>
      <c r="F30" s="308"/>
      <c r="G30" s="307"/>
      <c r="H30" s="213"/>
      <c r="I30" s="210"/>
      <c r="J30" s="209"/>
      <c r="K30" s="209"/>
      <c r="L30" s="209"/>
      <c r="M30" s="210"/>
      <c r="N30" s="210"/>
      <c r="O30" s="209"/>
    </row>
    <row r="31" spans="1:15" ht="16.5" thickBot="1">
      <c r="A31" s="220" t="s">
        <v>321</v>
      </c>
      <c r="B31" s="219"/>
      <c r="C31" s="306" t="s">
        <v>296</v>
      </c>
      <c r="D31" s="216">
        <f>SUM(D13:D30)</f>
        <v>85338427</v>
      </c>
      <c r="E31" s="217">
        <f>SUM(E13:E30)</f>
        <v>84161200</v>
      </c>
      <c r="F31" s="305">
        <f>SUM(F13:F30)</f>
        <v>1125027</v>
      </c>
      <c r="G31" s="216">
        <f>SUM(G13:G30)</f>
        <v>52200</v>
      </c>
      <c r="H31" s="213"/>
      <c r="I31" s="214"/>
      <c r="J31" s="213"/>
      <c r="K31" s="213"/>
      <c r="L31" s="213"/>
      <c r="M31" s="214"/>
      <c r="N31" s="213"/>
      <c r="O31" s="213"/>
    </row>
    <row r="32" spans="2:15" ht="15.75">
      <c r="B32" s="208"/>
      <c r="C32" s="208"/>
      <c r="D32" s="208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</row>
    <row r="33" spans="2:15" ht="15.75">
      <c r="B33" s="208"/>
      <c r="C33" s="208"/>
      <c r="D33" s="208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2:15" ht="15.75">
      <c r="B34" s="211"/>
      <c r="C34" s="212"/>
      <c r="D34" s="211"/>
      <c r="E34" s="209"/>
      <c r="F34" s="209"/>
      <c r="G34" s="209"/>
      <c r="H34" s="209"/>
      <c r="I34" s="210"/>
      <c r="J34" s="209"/>
      <c r="K34" s="209"/>
      <c r="L34" s="209"/>
      <c r="M34" s="210"/>
      <c r="N34" s="210"/>
      <c r="O34" s="209"/>
    </row>
    <row r="35" spans="2:15" ht="15.75">
      <c r="B35" s="208"/>
      <c r="C35" s="208"/>
      <c r="D35" s="208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</row>
  </sheetData>
  <sheetProtection password="AF00" sheet="1"/>
  <mergeCells count="14">
    <mergeCell ref="B5:G5"/>
    <mergeCell ref="B6:G6"/>
    <mergeCell ref="B7:G7"/>
    <mergeCell ref="B8:B12"/>
    <mergeCell ref="C8:C12"/>
    <mergeCell ref="D8:D12"/>
    <mergeCell ref="E8:G8"/>
    <mergeCell ref="E9:E10"/>
    <mergeCell ref="A3:G3"/>
    <mergeCell ref="A1:G1"/>
    <mergeCell ref="A8:A12"/>
    <mergeCell ref="F9:F10"/>
    <mergeCell ref="G9:G10"/>
    <mergeCell ref="E11:G12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7"/>
  <sheetViews>
    <sheetView view="pageBreakPreview" zoomScale="112" zoomScaleSheetLayoutView="112" zoomScalePageLayoutView="0" workbookViewId="0" topLeftCell="A1">
      <selection activeCell="E28" sqref="E28"/>
    </sheetView>
  </sheetViews>
  <sheetFormatPr defaultColWidth="9.00390625" defaultRowHeight="12.75"/>
  <cols>
    <col min="1" max="1" width="9.125" style="160" customWidth="1"/>
    <col min="2" max="2" width="71.75390625" style="54" customWidth="1"/>
    <col min="3" max="3" width="16.625" style="54" customWidth="1"/>
    <col min="4" max="16384" width="9.125" style="54" customWidth="1"/>
  </cols>
  <sheetData>
    <row r="1" spans="2:4" ht="15.75">
      <c r="B1" s="561" t="s">
        <v>477</v>
      </c>
      <c r="C1" s="561"/>
      <c r="D1" s="18"/>
    </row>
    <row r="2" spans="2:4" ht="6" customHeight="1">
      <c r="B2" s="20"/>
      <c r="C2" s="20"/>
      <c r="D2" s="21"/>
    </row>
    <row r="3" spans="2:4" ht="15.75" customHeight="1">
      <c r="B3" s="562"/>
      <c r="C3" s="562"/>
      <c r="D3" s="55"/>
    </row>
    <row r="4" spans="2:4" ht="16.5">
      <c r="B4" s="56"/>
      <c r="C4" s="56"/>
      <c r="D4" s="55"/>
    </row>
    <row r="5" spans="1:4" s="58" customFormat="1" ht="15.75" customHeight="1">
      <c r="A5" s="161"/>
      <c r="B5" s="562" t="s">
        <v>7</v>
      </c>
      <c r="C5" s="562"/>
      <c r="D5" s="57"/>
    </row>
    <row r="6" spans="1:6" s="9" customFormat="1" ht="15.75">
      <c r="A6" s="162"/>
      <c r="B6" s="563" t="s">
        <v>4</v>
      </c>
      <c r="C6" s="563"/>
      <c r="D6" s="22"/>
      <c r="E6" s="15"/>
      <c r="F6" s="15"/>
    </row>
    <row r="7" spans="1:6" s="8" customFormat="1" ht="16.5">
      <c r="A7" s="163"/>
      <c r="B7" s="560" t="s">
        <v>458</v>
      </c>
      <c r="C7" s="560"/>
      <c r="D7" s="23"/>
      <c r="E7" s="16"/>
      <c r="F7" s="16"/>
    </row>
    <row r="8" spans="2:4" ht="15.75" customHeight="1" thickBot="1">
      <c r="B8" s="55"/>
      <c r="C8" s="59" t="s">
        <v>389</v>
      </c>
      <c r="D8" s="55"/>
    </row>
    <row r="9" spans="1:4" ht="15" customHeight="1">
      <c r="A9" s="551" t="s">
        <v>395</v>
      </c>
      <c r="B9" s="554" t="s">
        <v>2</v>
      </c>
      <c r="C9" s="557" t="s">
        <v>8</v>
      </c>
      <c r="D9" s="57"/>
    </row>
    <row r="10" spans="1:4" ht="15.75" customHeight="1">
      <c r="A10" s="552"/>
      <c r="B10" s="555"/>
      <c r="C10" s="558"/>
      <c r="D10" s="57"/>
    </row>
    <row r="11" spans="1:4" ht="16.5" thickBot="1">
      <c r="A11" s="553"/>
      <c r="B11" s="556"/>
      <c r="C11" s="559"/>
      <c r="D11" s="57"/>
    </row>
    <row r="12" spans="2:4" ht="11.25" customHeight="1">
      <c r="B12" s="57"/>
      <c r="C12" s="57"/>
      <c r="D12" s="57"/>
    </row>
    <row r="13" spans="1:4" ht="15.75">
      <c r="A13" s="164" t="s">
        <v>17</v>
      </c>
      <c r="B13" s="62" t="s">
        <v>5</v>
      </c>
      <c r="C13" s="17"/>
      <c r="D13" s="11"/>
    </row>
    <row r="14" spans="1:4" s="60" customFormat="1" ht="15.75">
      <c r="A14" s="165"/>
      <c r="B14" s="62" t="s">
        <v>223</v>
      </c>
      <c r="C14" s="17"/>
      <c r="D14" s="11"/>
    </row>
    <row r="15" spans="1:4" s="60" customFormat="1" ht="15.75">
      <c r="A15" s="165"/>
      <c r="B15" s="11"/>
      <c r="C15" s="17"/>
      <c r="D15" s="11"/>
    </row>
    <row r="16" spans="1:4" ht="15.75">
      <c r="A16" s="164" t="s">
        <v>412</v>
      </c>
      <c r="B16" s="11" t="s">
        <v>216</v>
      </c>
      <c r="C16" s="64">
        <v>52200</v>
      </c>
      <c r="D16" s="11"/>
    </row>
    <row r="17" spans="1:4" ht="15.75">
      <c r="A17" s="164"/>
      <c r="B17" s="11"/>
      <c r="C17" s="17"/>
      <c r="D17" s="11"/>
    </row>
    <row r="18" spans="1:4" ht="31.5">
      <c r="A18" s="164" t="s">
        <v>18</v>
      </c>
      <c r="B18" s="65" t="s">
        <v>217</v>
      </c>
      <c r="C18" s="17"/>
      <c r="D18" s="11"/>
    </row>
    <row r="19" spans="1:4" ht="33" customHeight="1">
      <c r="A19" s="164" t="s">
        <v>422</v>
      </c>
      <c r="B19" s="66" t="s">
        <v>218</v>
      </c>
      <c r="C19" s="17">
        <v>60000</v>
      </c>
      <c r="D19" s="11"/>
    </row>
    <row r="20" spans="1:4" ht="17.25" customHeight="1">
      <c r="A20" s="164" t="s">
        <v>414</v>
      </c>
      <c r="B20" s="66" t="s">
        <v>386</v>
      </c>
      <c r="C20" s="17">
        <v>200000</v>
      </c>
      <c r="D20" s="11"/>
    </row>
    <row r="21" spans="1:4" ht="15.75" customHeight="1">
      <c r="A21" s="164" t="s">
        <v>441</v>
      </c>
      <c r="B21" s="66" t="s">
        <v>219</v>
      </c>
      <c r="C21" s="141">
        <v>60000</v>
      </c>
      <c r="D21" s="11"/>
    </row>
    <row r="22" spans="1:4" ht="19.5" customHeight="1">
      <c r="A22" s="164"/>
      <c r="B22" s="11"/>
      <c r="C22" s="64">
        <f>C19+C20+C21</f>
        <v>320000</v>
      </c>
      <c r="D22" s="11"/>
    </row>
    <row r="23" spans="1:4" ht="11.25" customHeight="1">
      <c r="A23" s="164"/>
      <c r="B23" s="11"/>
      <c r="C23" s="17"/>
      <c r="D23" s="11"/>
    </row>
    <row r="24" spans="1:4" ht="21" customHeight="1">
      <c r="A24" s="164" t="s">
        <v>19</v>
      </c>
      <c r="B24" s="62" t="s">
        <v>220</v>
      </c>
      <c r="C24" s="17"/>
      <c r="D24" s="11"/>
    </row>
    <row r="25" spans="1:4" s="61" customFormat="1" ht="16.5">
      <c r="A25" s="166" t="s">
        <v>416</v>
      </c>
      <c r="B25" s="11" t="s">
        <v>221</v>
      </c>
      <c r="C25" s="17">
        <v>410000</v>
      </c>
      <c r="D25" s="11"/>
    </row>
    <row r="26" spans="1:4" s="61" customFormat="1" ht="16.5">
      <c r="A26" s="166" t="s">
        <v>447</v>
      </c>
      <c r="B26" s="11" t="s">
        <v>388</v>
      </c>
      <c r="C26" s="17">
        <v>410000</v>
      </c>
      <c r="D26" s="11"/>
    </row>
    <row r="27" spans="1:4" ht="15.75">
      <c r="A27" s="164" t="s">
        <v>448</v>
      </c>
      <c r="B27" s="11" t="s">
        <v>387</v>
      </c>
      <c r="C27" s="17">
        <v>200000</v>
      </c>
      <c r="D27" s="11"/>
    </row>
    <row r="28" spans="1:4" ht="15.75">
      <c r="A28" s="164" t="s">
        <v>449</v>
      </c>
      <c r="B28" s="11" t="s">
        <v>222</v>
      </c>
      <c r="C28" s="142">
        <v>80000</v>
      </c>
      <c r="D28" s="11"/>
    </row>
    <row r="29" spans="1:4" ht="15.75">
      <c r="A29" s="164"/>
      <c r="B29" s="62"/>
      <c r="C29" s="64">
        <f>SUM(C25:C28)</f>
        <v>1100000</v>
      </c>
      <c r="D29" s="11"/>
    </row>
    <row r="30" spans="1:4" ht="15.75">
      <c r="A30" s="164"/>
      <c r="B30" s="11"/>
      <c r="C30" s="17"/>
      <c r="D30" s="11"/>
    </row>
    <row r="31" spans="1:4" ht="15.75">
      <c r="A31" s="164"/>
      <c r="B31" s="62" t="s">
        <v>6</v>
      </c>
      <c r="C31" s="64">
        <f>C16+C29+C22</f>
        <v>1472200</v>
      </c>
      <c r="D31" s="63"/>
    </row>
    <row r="32" spans="2:4" ht="15.75">
      <c r="B32" s="62"/>
      <c r="C32" s="64"/>
      <c r="D32" s="63"/>
    </row>
    <row r="33" spans="2:4" ht="15.75">
      <c r="B33" s="62"/>
      <c r="C33" s="17"/>
      <c r="D33" s="11"/>
    </row>
    <row r="34" spans="2:4" ht="15.75">
      <c r="B34" s="11"/>
      <c r="C34" s="17"/>
      <c r="D34" s="11"/>
    </row>
    <row r="35" spans="2:4" ht="15.75">
      <c r="B35" s="11"/>
      <c r="C35" s="17"/>
      <c r="D35" s="11"/>
    </row>
    <row r="36" spans="2:4" ht="15.75">
      <c r="B36" s="11"/>
      <c r="C36" s="17"/>
      <c r="D36" s="11"/>
    </row>
    <row r="37" spans="2:4" ht="15.75">
      <c r="B37" s="11"/>
      <c r="C37" s="17"/>
      <c r="D37" s="11"/>
    </row>
    <row r="38" spans="2:4" ht="15.75">
      <c r="B38" s="62"/>
      <c r="C38" s="64"/>
      <c r="D38" s="11"/>
    </row>
    <row r="39" spans="2:4" ht="15.75">
      <c r="B39" s="62"/>
      <c r="C39" s="64"/>
      <c r="D39" s="63"/>
    </row>
    <row r="40" spans="2:4" ht="15.75">
      <c r="B40" s="62"/>
      <c r="C40" s="64"/>
      <c r="D40" s="63"/>
    </row>
    <row r="41" spans="2:4" ht="15.75">
      <c r="B41" s="57"/>
      <c r="C41" s="57"/>
      <c r="D41" s="57"/>
    </row>
    <row r="42" spans="2:4" ht="15.75">
      <c r="B42" s="57"/>
      <c r="C42" s="57"/>
      <c r="D42" s="57"/>
    </row>
    <row r="43" spans="2:4" ht="15.75">
      <c r="B43" s="57"/>
      <c r="C43" s="57"/>
      <c r="D43" s="57"/>
    </row>
    <row r="44" spans="2:4" ht="15.75">
      <c r="B44" s="57"/>
      <c r="C44" s="57"/>
      <c r="D44" s="57"/>
    </row>
    <row r="45" spans="2:4" ht="15.75">
      <c r="B45" s="57"/>
      <c r="C45" s="57"/>
      <c r="D45" s="57"/>
    </row>
    <row r="46" spans="2:4" ht="15.75">
      <c r="B46" s="57"/>
      <c r="C46" s="57"/>
      <c r="D46" s="57"/>
    </row>
    <row r="47" spans="2:4" ht="15.75">
      <c r="B47" s="57"/>
      <c r="C47" s="57"/>
      <c r="D47" s="57"/>
    </row>
    <row r="48" spans="2:4" ht="15.75">
      <c r="B48" s="57"/>
      <c r="C48" s="57"/>
      <c r="D48" s="57"/>
    </row>
    <row r="49" spans="2:4" ht="16.5">
      <c r="B49" s="55"/>
      <c r="C49" s="55"/>
      <c r="D49" s="55"/>
    </row>
    <row r="50" spans="2:4" ht="16.5">
      <c r="B50" s="55"/>
      <c r="C50" s="55"/>
      <c r="D50" s="55"/>
    </row>
    <row r="51" spans="2:4" ht="16.5">
      <c r="B51" s="55"/>
      <c r="C51" s="55"/>
      <c r="D51" s="55"/>
    </row>
    <row r="52" spans="2:4" ht="16.5">
      <c r="B52" s="55"/>
      <c r="C52" s="55"/>
      <c r="D52" s="55"/>
    </row>
    <row r="53" spans="2:4" ht="16.5">
      <c r="B53" s="55"/>
      <c r="C53" s="55"/>
      <c r="D53" s="55"/>
    </row>
    <row r="54" spans="2:4" ht="16.5">
      <c r="B54" s="55"/>
      <c r="C54" s="55"/>
      <c r="D54" s="55"/>
    </row>
    <row r="55" spans="2:4" ht="16.5">
      <c r="B55" s="55"/>
      <c r="C55" s="55"/>
      <c r="D55" s="55"/>
    </row>
    <row r="56" spans="2:4" ht="16.5">
      <c r="B56" s="55"/>
      <c r="C56" s="55"/>
      <c r="D56" s="55"/>
    </row>
    <row r="57" spans="2:4" ht="16.5">
      <c r="B57" s="55"/>
      <c r="C57" s="55"/>
      <c r="D57" s="55"/>
    </row>
    <row r="58" spans="2:4" ht="16.5">
      <c r="B58" s="55"/>
      <c r="C58" s="55"/>
      <c r="D58" s="55"/>
    </row>
    <row r="59" spans="2:4" ht="16.5">
      <c r="B59" s="55"/>
      <c r="C59" s="55"/>
      <c r="D59" s="55"/>
    </row>
    <row r="60" spans="2:4" ht="16.5">
      <c r="B60" s="55"/>
      <c r="C60" s="55"/>
      <c r="D60" s="55"/>
    </row>
    <row r="61" spans="2:4" ht="16.5">
      <c r="B61" s="55"/>
      <c r="C61" s="55"/>
      <c r="D61" s="55"/>
    </row>
    <row r="62" spans="2:4" ht="16.5">
      <c r="B62" s="55"/>
      <c r="C62" s="55"/>
      <c r="D62" s="55"/>
    </row>
    <row r="63" spans="2:4" ht="16.5">
      <c r="B63" s="55"/>
      <c r="C63" s="55"/>
      <c r="D63" s="55"/>
    </row>
    <row r="64" spans="2:4" ht="16.5">
      <c r="B64" s="55"/>
      <c r="C64" s="55"/>
      <c r="D64" s="55"/>
    </row>
    <row r="65" spans="2:4" ht="16.5">
      <c r="B65" s="55"/>
      <c r="C65" s="55"/>
      <c r="D65" s="55"/>
    </row>
    <row r="66" spans="2:4" ht="16.5">
      <c r="B66" s="55"/>
      <c r="C66" s="55"/>
      <c r="D66" s="55"/>
    </row>
    <row r="67" spans="2:4" ht="16.5">
      <c r="B67" s="55"/>
      <c r="C67" s="55"/>
      <c r="D67" s="55"/>
    </row>
    <row r="68" spans="2:4" ht="16.5">
      <c r="B68" s="55"/>
      <c r="C68" s="55"/>
      <c r="D68" s="55"/>
    </row>
    <row r="69" spans="2:4" ht="16.5">
      <c r="B69" s="55"/>
      <c r="C69" s="55"/>
      <c r="D69" s="55"/>
    </row>
    <row r="70" spans="2:4" ht="16.5">
      <c r="B70" s="55"/>
      <c r="C70" s="55"/>
      <c r="D70" s="55"/>
    </row>
    <row r="71" spans="2:4" ht="16.5">
      <c r="B71" s="55"/>
      <c r="C71" s="55"/>
      <c r="D71" s="55"/>
    </row>
    <row r="72" spans="2:4" ht="16.5">
      <c r="B72" s="55"/>
      <c r="C72" s="55"/>
      <c r="D72" s="55"/>
    </row>
    <row r="73" spans="2:4" ht="16.5">
      <c r="B73" s="55"/>
      <c r="C73" s="55"/>
      <c r="D73" s="55"/>
    </row>
    <row r="74" spans="2:4" ht="16.5">
      <c r="B74" s="55"/>
      <c r="C74" s="55"/>
      <c r="D74" s="55"/>
    </row>
    <row r="75" spans="2:4" ht="16.5">
      <c r="B75" s="55"/>
      <c r="C75" s="55"/>
      <c r="D75" s="55"/>
    </row>
    <row r="76" spans="2:4" ht="16.5">
      <c r="B76" s="55"/>
      <c r="C76" s="55"/>
      <c r="D76" s="55"/>
    </row>
    <row r="77" spans="2:4" ht="16.5">
      <c r="B77" s="55"/>
      <c r="C77" s="55"/>
      <c r="D77" s="55"/>
    </row>
    <row r="78" spans="2:4" ht="16.5">
      <c r="B78" s="55"/>
      <c r="C78" s="55"/>
      <c r="D78" s="55"/>
    </row>
    <row r="79" spans="2:4" ht="16.5">
      <c r="B79" s="55"/>
      <c r="C79" s="55"/>
      <c r="D79" s="55"/>
    </row>
    <row r="80" spans="2:4" ht="16.5">
      <c r="B80" s="55"/>
      <c r="C80" s="55"/>
      <c r="D80" s="55"/>
    </row>
    <row r="81" spans="2:4" ht="16.5">
      <c r="B81" s="55"/>
      <c r="C81" s="55"/>
      <c r="D81" s="55"/>
    </row>
    <row r="82" spans="2:4" ht="16.5">
      <c r="B82" s="55"/>
      <c r="C82" s="55"/>
      <c r="D82" s="55"/>
    </row>
    <row r="83" spans="2:4" ht="16.5">
      <c r="B83" s="55"/>
      <c r="C83" s="55"/>
      <c r="D83" s="55"/>
    </row>
    <row r="84" spans="2:4" ht="16.5">
      <c r="B84" s="55"/>
      <c r="C84" s="55"/>
      <c r="D84" s="55"/>
    </row>
    <row r="85" spans="2:4" ht="16.5">
      <c r="B85" s="55"/>
      <c r="C85" s="55"/>
      <c r="D85" s="55"/>
    </row>
    <row r="86" spans="2:4" ht="16.5">
      <c r="B86" s="55"/>
      <c r="C86" s="55"/>
      <c r="D86" s="55"/>
    </row>
    <row r="87" spans="2:4" ht="16.5">
      <c r="B87" s="55"/>
      <c r="C87" s="55"/>
      <c r="D87" s="55"/>
    </row>
    <row r="88" spans="2:4" ht="16.5">
      <c r="B88" s="55"/>
      <c r="C88" s="55"/>
      <c r="D88" s="55"/>
    </row>
    <row r="89" spans="2:4" ht="16.5">
      <c r="B89" s="55"/>
      <c r="C89" s="55"/>
      <c r="D89" s="55"/>
    </row>
    <row r="90" spans="2:4" ht="16.5">
      <c r="B90" s="55"/>
      <c r="C90" s="55"/>
      <c r="D90" s="55"/>
    </row>
    <row r="91" spans="2:4" ht="16.5">
      <c r="B91" s="55"/>
      <c r="C91" s="55"/>
      <c r="D91" s="55"/>
    </row>
    <row r="92" spans="2:4" ht="16.5">
      <c r="B92" s="55"/>
      <c r="C92" s="55"/>
      <c r="D92" s="55"/>
    </row>
    <row r="93" spans="2:4" ht="16.5">
      <c r="B93" s="55"/>
      <c r="C93" s="55"/>
      <c r="D93" s="55"/>
    </row>
    <row r="94" spans="2:4" ht="16.5">
      <c r="B94" s="55"/>
      <c r="C94" s="55"/>
      <c r="D94" s="55"/>
    </row>
    <row r="95" spans="2:4" ht="16.5">
      <c r="B95" s="55"/>
      <c r="C95" s="55"/>
      <c r="D95" s="55"/>
    </row>
    <row r="96" spans="2:4" ht="16.5">
      <c r="B96" s="55"/>
      <c r="C96" s="55"/>
      <c r="D96" s="55"/>
    </row>
    <row r="97" spans="2:4" ht="16.5">
      <c r="B97" s="55"/>
      <c r="C97" s="55"/>
      <c r="D97" s="55"/>
    </row>
    <row r="98" spans="2:4" ht="16.5">
      <c r="B98" s="55"/>
      <c r="C98" s="55"/>
      <c r="D98" s="55"/>
    </row>
    <row r="99" spans="2:4" ht="16.5">
      <c r="B99" s="55"/>
      <c r="C99" s="55"/>
      <c r="D99" s="55"/>
    </row>
    <row r="100" spans="2:4" ht="16.5">
      <c r="B100" s="55"/>
      <c r="C100" s="55"/>
      <c r="D100" s="55"/>
    </row>
    <row r="101" spans="2:4" ht="16.5">
      <c r="B101" s="55"/>
      <c r="C101" s="55"/>
      <c r="D101" s="55"/>
    </row>
    <row r="102" spans="2:4" ht="16.5">
      <c r="B102" s="55"/>
      <c r="C102" s="55"/>
      <c r="D102" s="55"/>
    </row>
    <row r="103" spans="2:4" ht="16.5">
      <c r="B103" s="55"/>
      <c r="C103" s="55"/>
      <c r="D103" s="55"/>
    </row>
    <row r="104" spans="2:4" ht="16.5">
      <c r="B104" s="55"/>
      <c r="C104" s="55"/>
      <c r="D104" s="55"/>
    </row>
    <row r="105" spans="2:4" ht="16.5">
      <c r="B105" s="55"/>
      <c r="C105" s="55"/>
      <c r="D105" s="55"/>
    </row>
    <row r="106" spans="2:4" ht="16.5">
      <c r="B106" s="55"/>
      <c r="C106" s="55"/>
      <c r="D106" s="55"/>
    </row>
    <row r="107" spans="2:4" ht="16.5">
      <c r="B107" s="55"/>
      <c r="C107" s="55"/>
      <c r="D107" s="55"/>
    </row>
  </sheetData>
  <sheetProtection password="AF00" sheet="1"/>
  <mergeCells count="8">
    <mergeCell ref="A9:A11"/>
    <mergeCell ref="B9:B11"/>
    <mergeCell ref="C9:C11"/>
    <mergeCell ref="B7:C7"/>
    <mergeCell ref="B1:C1"/>
    <mergeCell ref="B3:C3"/>
    <mergeCell ref="B5:C5"/>
    <mergeCell ref="B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61"/>
  <sheetViews>
    <sheetView view="pageBreakPreview" zoomScale="124" zoomScaleSheetLayoutView="124" zoomScalePageLayoutView="0" workbookViewId="0" topLeftCell="A1">
      <selection activeCell="I30" sqref="I30"/>
    </sheetView>
  </sheetViews>
  <sheetFormatPr defaultColWidth="9.00390625" defaultRowHeight="12.75"/>
  <cols>
    <col min="1" max="1" width="10.125" style="8" bestFit="1" customWidth="1"/>
    <col min="2" max="3" width="9.125" style="8" customWidth="1"/>
    <col min="4" max="4" width="24.25390625" style="8" customWidth="1"/>
    <col min="5" max="5" width="17.375" style="8" customWidth="1"/>
    <col min="6" max="6" width="18.00390625" style="8" customWidth="1"/>
    <col min="7" max="7" width="17.125" style="8" customWidth="1"/>
    <col min="8" max="16384" width="9.125" style="8" customWidth="1"/>
  </cols>
  <sheetData>
    <row r="1" spans="4:10" ht="15.75">
      <c r="D1" s="561" t="s">
        <v>478</v>
      </c>
      <c r="E1" s="561"/>
      <c r="F1" s="561"/>
      <c r="G1" s="561"/>
      <c r="H1" s="18"/>
      <c r="I1" s="18"/>
      <c r="J1" s="18"/>
    </row>
    <row r="2" spans="2:7" ht="9" customHeight="1">
      <c r="B2" s="565"/>
      <c r="C2" s="565"/>
      <c r="D2" s="565"/>
      <c r="E2" s="565"/>
      <c r="F2" s="565"/>
      <c r="G2" s="565"/>
    </row>
    <row r="3" spans="2:7" ht="15.75">
      <c r="B3" s="563"/>
      <c r="C3" s="563"/>
      <c r="D3" s="563"/>
      <c r="E3" s="563"/>
      <c r="F3" s="563"/>
      <c r="G3" s="563"/>
    </row>
    <row r="4" ht="12.75" customHeight="1"/>
    <row r="5" spans="1:7" s="9" customFormat="1" ht="15.75">
      <c r="A5" s="566" t="s">
        <v>7</v>
      </c>
      <c r="B5" s="566"/>
      <c r="C5" s="566"/>
      <c r="D5" s="566"/>
      <c r="E5" s="566"/>
      <c r="F5" s="566"/>
      <c r="G5" s="566"/>
    </row>
    <row r="6" spans="1:7" s="9" customFormat="1" ht="15.75">
      <c r="A6" s="566" t="s">
        <v>10</v>
      </c>
      <c r="B6" s="566"/>
      <c r="C6" s="566"/>
      <c r="D6" s="566"/>
      <c r="E6" s="566"/>
      <c r="F6" s="566"/>
      <c r="G6" s="566"/>
    </row>
    <row r="7" spans="1:7" ht="15">
      <c r="A7" s="566" t="s">
        <v>457</v>
      </c>
      <c r="B7" s="566"/>
      <c r="C7" s="566"/>
      <c r="D7" s="566"/>
      <c r="E7" s="566"/>
      <c r="F7" s="566"/>
      <c r="G7" s="566"/>
    </row>
    <row r="8" spans="1:7" ht="15.75" thickBot="1">
      <c r="A8"/>
      <c r="B8"/>
      <c r="C8"/>
      <c r="D8" s="129"/>
      <c r="E8" s="129"/>
      <c r="F8" s="129"/>
      <c r="G8" s="129" t="s">
        <v>383</v>
      </c>
    </row>
    <row r="9" spans="1:7" ht="15" customHeight="1" thickBot="1">
      <c r="A9" s="678" t="s">
        <v>395</v>
      </c>
      <c r="B9" s="679" t="s">
        <v>2</v>
      </c>
      <c r="C9" s="680"/>
      <c r="D9" s="680"/>
      <c r="E9" s="680"/>
      <c r="F9" s="681"/>
      <c r="G9" s="682" t="s">
        <v>3</v>
      </c>
    </row>
    <row r="10" spans="1:7" ht="15" customHeight="1">
      <c r="A10" s="683"/>
      <c r="B10" s="683"/>
      <c r="C10" s="683"/>
      <c r="D10" s="683"/>
      <c r="E10" s="683"/>
      <c r="F10" s="683"/>
      <c r="G10" s="684"/>
    </row>
    <row r="11" spans="1:7" ht="15" customHeight="1">
      <c r="A11" t="s">
        <v>17</v>
      </c>
      <c r="B11" s="152" t="s">
        <v>502</v>
      </c>
      <c r="C11" s="152"/>
      <c r="D11" s="152"/>
      <c r="E11" s="152"/>
      <c r="F11" s="152"/>
      <c r="G11" s="684"/>
    </row>
    <row r="12" spans="1:7" ht="15">
      <c r="A12" s="150" t="s">
        <v>412</v>
      </c>
      <c r="B12" t="s">
        <v>503</v>
      </c>
      <c r="C12"/>
      <c r="D12"/>
      <c r="E12"/>
      <c r="F12" s="132"/>
      <c r="G12" s="685">
        <v>33060</v>
      </c>
    </row>
    <row r="13" spans="1:7" ht="15">
      <c r="A13" s="683"/>
      <c r="B13" s="683"/>
      <c r="C13" s="683"/>
      <c r="D13" s="683"/>
      <c r="E13" s="683"/>
      <c r="F13" s="683"/>
      <c r="G13" s="684"/>
    </row>
    <row r="14" spans="1:7" ht="15.75" customHeight="1">
      <c r="A14" s="683"/>
      <c r="B14" s="152" t="s">
        <v>504</v>
      </c>
      <c r="C14" s="152"/>
      <c r="D14" s="152"/>
      <c r="E14" s="152"/>
      <c r="F14" s="152"/>
      <c r="G14" s="686">
        <f>G12</f>
        <v>33060</v>
      </c>
    </row>
    <row r="15" spans="1:7" ht="20.25" customHeight="1">
      <c r="A15" s="683"/>
      <c r="B15" s="683"/>
      <c r="C15" s="683"/>
      <c r="D15" s="683"/>
      <c r="E15" s="683"/>
      <c r="F15" s="683"/>
      <c r="G15" s="684"/>
    </row>
    <row r="16" spans="1:256" ht="15.75">
      <c r="A16"/>
      <c r="B16"/>
      <c r="C16"/>
      <c r="D16"/>
      <c r="E16"/>
      <c r="F16"/>
      <c r="G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5.75">
      <c r="A17"/>
      <c r="B17"/>
      <c r="C17"/>
      <c r="D17"/>
      <c r="E17"/>
      <c r="F17"/>
      <c r="G1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5.75">
      <c r="A18"/>
      <c r="B18"/>
      <c r="C18"/>
      <c r="D18"/>
      <c r="E18"/>
      <c r="F18"/>
      <c r="G1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5.75">
      <c r="A19" s="151" t="s">
        <v>18</v>
      </c>
      <c r="B19" s="152" t="s">
        <v>11</v>
      </c>
      <c r="C19" s="152"/>
      <c r="D19" s="152"/>
      <c r="E19" s="152"/>
      <c r="F19" s="152"/>
      <c r="G1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5.5" customHeight="1">
      <c r="A20" s="151" t="s">
        <v>422</v>
      </c>
      <c r="B20" s="152" t="s">
        <v>12</v>
      </c>
      <c r="C20" s="152"/>
      <c r="D20" s="152"/>
      <c r="E20" s="152"/>
      <c r="F20" s="152"/>
      <c r="G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7" ht="35.25" customHeight="1">
      <c r="A21"/>
      <c r="B21"/>
      <c r="C21"/>
      <c r="D21"/>
      <c r="E21"/>
      <c r="F21"/>
      <c r="G21"/>
    </row>
    <row r="22" spans="1:7" ht="17.25" customHeight="1">
      <c r="A22" s="687" t="s">
        <v>423</v>
      </c>
      <c r="B22" t="s">
        <v>9</v>
      </c>
      <c r="C22"/>
      <c r="D22"/>
      <c r="E22"/>
      <c r="F22"/>
      <c r="G22" s="132">
        <v>85600</v>
      </c>
    </row>
    <row r="23" spans="1:7" ht="17.25" customHeight="1">
      <c r="A23" s="687" t="s">
        <v>424</v>
      </c>
      <c r="B23" t="s">
        <v>353</v>
      </c>
      <c r="C23"/>
      <c r="D23"/>
      <c r="E23"/>
      <c r="F23"/>
      <c r="G23"/>
    </row>
    <row r="24" spans="1:7" ht="18" customHeight="1">
      <c r="A24" t="s">
        <v>505</v>
      </c>
      <c r="B24" t="s">
        <v>450</v>
      </c>
      <c r="C24"/>
      <c r="D24"/>
      <c r="E24"/>
      <c r="F24"/>
      <c r="G24" s="132">
        <v>41700</v>
      </c>
    </row>
    <row r="25" spans="1:9" ht="26.25" customHeight="1">
      <c r="A25" t="s">
        <v>506</v>
      </c>
      <c r="B25" t="s">
        <v>451</v>
      </c>
      <c r="C25"/>
      <c r="D25"/>
      <c r="E25"/>
      <c r="F25"/>
      <c r="G25" s="132">
        <v>27800</v>
      </c>
      <c r="H25" s="13"/>
      <c r="I25" s="13"/>
    </row>
    <row r="26" spans="1:9" ht="12.75" customHeight="1">
      <c r="A26" s="687" t="s">
        <v>425</v>
      </c>
      <c r="B26" t="s">
        <v>468</v>
      </c>
      <c r="C26"/>
      <c r="D26"/>
      <c r="E26"/>
      <c r="F26"/>
      <c r="G26" s="132">
        <v>25000</v>
      </c>
      <c r="H26" s="13"/>
      <c r="I26" s="13"/>
    </row>
    <row r="27" spans="1:7" ht="15">
      <c r="A27" s="687"/>
      <c r="B27"/>
      <c r="C27"/>
      <c r="D27"/>
      <c r="E27"/>
      <c r="F27"/>
      <c r="G27" s="132"/>
    </row>
    <row r="28" spans="1:7" ht="15">
      <c r="A28" s="687" t="s">
        <v>426</v>
      </c>
      <c r="B28" t="s">
        <v>507</v>
      </c>
      <c r="C28"/>
      <c r="D28"/>
      <c r="E28"/>
      <c r="F28"/>
      <c r="G28" s="132">
        <v>300000</v>
      </c>
    </row>
    <row r="29" spans="1:7" ht="15">
      <c r="A29" s="687"/>
      <c r="B29"/>
      <c r="C29"/>
      <c r="D29"/>
      <c r="E29"/>
      <c r="F29"/>
      <c r="G29" s="132"/>
    </row>
    <row r="30" spans="1:7" ht="15">
      <c r="A30"/>
      <c r="B30" s="152" t="s">
        <v>13</v>
      </c>
      <c r="C30" s="152"/>
      <c r="D30" s="152"/>
      <c r="E30" s="152"/>
      <c r="F30" s="152"/>
      <c r="G30" s="153">
        <f>G22+G24+G25+G26+G28</f>
        <v>480100</v>
      </c>
    </row>
    <row r="31" spans="1:7" ht="15">
      <c r="A31"/>
      <c r="B31"/>
      <c r="C31"/>
      <c r="D31"/>
      <c r="E31"/>
      <c r="F31"/>
      <c r="G31"/>
    </row>
    <row r="32" spans="1:7" ht="15">
      <c r="A32"/>
      <c r="B32"/>
      <c r="C32"/>
      <c r="D32"/>
      <c r="E32"/>
      <c r="F32"/>
      <c r="G32"/>
    </row>
    <row r="33" spans="1:7" ht="15">
      <c r="A33"/>
      <c r="B33"/>
      <c r="C33"/>
      <c r="D33"/>
      <c r="E33"/>
      <c r="F33"/>
      <c r="G33"/>
    </row>
    <row r="34" spans="1:7" ht="15">
      <c r="A34"/>
      <c r="B34" s="152" t="s">
        <v>14</v>
      </c>
      <c r="C34" s="152"/>
      <c r="D34" s="152"/>
      <c r="E34" s="152"/>
      <c r="F34" s="152"/>
      <c r="G34" s="153">
        <f>G14+G30</f>
        <v>513160</v>
      </c>
    </row>
    <row r="35" spans="1:7" ht="15">
      <c r="A35"/>
      <c r="B35"/>
      <c r="C35"/>
      <c r="D35"/>
      <c r="E35"/>
      <c r="F35"/>
      <c r="G35"/>
    </row>
    <row r="36" spans="2:7" ht="15.75">
      <c r="B36" s="19"/>
      <c r="C36" s="19"/>
      <c r="D36" s="19"/>
      <c r="E36" s="19"/>
      <c r="F36" s="19"/>
      <c r="G36" s="19"/>
    </row>
    <row r="37" spans="2:7" ht="15.75">
      <c r="B37" s="19"/>
      <c r="C37" s="19"/>
      <c r="D37" s="19"/>
      <c r="E37" s="19"/>
      <c r="F37" s="19"/>
      <c r="G37" s="19"/>
    </row>
    <row r="38" spans="2:7" ht="15.75">
      <c r="B38" s="19"/>
      <c r="C38" s="19"/>
      <c r="D38" s="19"/>
      <c r="E38" s="19"/>
      <c r="F38" s="19"/>
      <c r="G38" s="19"/>
    </row>
    <row r="39" spans="2:7" ht="15.75">
      <c r="B39" s="19"/>
      <c r="C39" s="19"/>
      <c r="D39" s="19"/>
      <c r="E39" s="19"/>
      <c r="F39" s="19"/>
      <c r="G39" s="19"/>
    </row>
    <row r="40" spans="2:7" ht="15.75">
      <c r="B40" s="19"/>
      <c r="C40" s="19"/>
      <c r="D40" s="19"/>
      <c r="E40" s="19"/>
      <c r="F40" s="19"/>
      <c r="G40" s="19"/>
    </row>
    <row r="41" spans="2:7" ht="15.75">
      <c r="B41" s="19"/>
      <c r="C41" s="19"/>
      <c r="D41" s="19"/>
      <c r="E41" s="19"/>
      <c r="F41" s="19"/>
      <c r="G41" s="19"/>
    </row>
    <row r="42" spans="2:7" ht="15.75">
      <c r="B42" s="19"/>
      <c r="C42" s="19"/>
      <c r="D42" s="19"/>
      <c r="E42" s="19"/>
      <c r="F42" s="19"/>
      <c r="G42" s="19"/>
    </row>
    <row r="43" spans="2:7" ht="15.75">
      <c r="B43" s="19"/>
      <c r="C43" s="19"/>
      <c r="D43" s="19"/>
      <c r="E43" s="19"/>
      <c r="F43" s="19"/>
      <c r="G43" s="19"/>
    </row>
    <row r="44" spans="2:7" ht="15.75">
      <c r="B44" s="19"/>
      <c r="C44" s="19"/>
      <c r="D44" s="19"/>
      <c r="E44" s="19"/>
      <c r="F44" s="19"/>
      <c r="G44" s="19"/>
    </row>
    <row r="45" spans="2:7" ht="15.75">
      <c r="B45" s="19"/>
      <c r="C45" s="19"/>
      <c r="D45" s="19"/>
      <c r="E45" s="19"/>
      <c r="F45" s="19"/>
      <c r="G45" s="19"/>
    </row>
    <row r="46" spans="2:7" ht="15.75">
      <c r="B46" s="19"/>
      <c r="C46" s="19"/>
      <c r="D46" s="19"/>
      <c r="E46" s="19"/>
      <c r="F46" s="19"/>
      <c r="G46" s="19"/>
    </row>
    <row r="47" spans="2:7" ht="15.75">
      <c r="B47" s="19"/>
      <c r="C47" s="19"/>
      <c r="D47" s="19"/>
      <c r="E47" s="19"/>
      <c r="F47" s="19"/>
      <c r="G47" s="19"/>
    </row>
    <row r="48" spans="2:7" ht="15.75">
      <c r="B48" s="19"/>
      <c r="C48" s="19"/>
      <c r="D48" s="19"/>
      <c r="E48" s="19"/>
      <c r="F48" s="19"/>
      <c r="G48" s="19"/>
    </row>
    <row r="49" spans="2:7" ht="15.75">
      <c r="B49" s="19"/>
      <c r="C49" s="19"/>
      <c r="D49" s="19"/>
      <c r="E49" s="19"/>
      <c r="F49" s="19"/>
      <c r="G49" s="19"/>
    </row>
    <row r="50" spans="2:7" ht="15.75">
      <c r="B50" s="19"/>
      <c r="C50" s="19"/>
      <c r="D50" s="19"/>
      <c r="E50" s="19"/>
      <c r="F50" s="19"/>
      <c r="G50" s="19"/>
    </row>
    <row r="51" spans="2:7" ht="15.75">
      <c r="B51" s="19"/>
      <c r="C51" s="19"/>
      <c r="D51" s="19"/>
      <c r="E51" s="19"/>
      <c r="F51" s="19"/>
      <c r="G51" s="19"/>
    </row>
    <row r="52" spans="2:7" ht="15.75">
      <c r="B52" s="19"/>
      <c r="C52" s="19"/>
      <c r="D52" s="19"/>
      <c r="E52" s="19"/>
      <c r="F52" s="19"/>
      <c r="G52" s="19"/>
    </row>
    <row r="53" spans="2:7" ht="15.75">
      <c r="B53" s="19"/>
      <c r="C53" s="19"/>
      <c r="D53" s="19"/>
      <c r="E53" s="19"/>
      <c r="F53" s="19"/>
      <c r="G53" s="19"/>
    </row>
    <row r="54" spans="2:7" ht="15.75">
      <c r="B54" s="19"/>
      <c r="C54" s="19"/>
      <c r="D54" s="19"/>
      <c r="E54" s="19"/>
      <c r="F54" s="19"/>
      <c r="G54" s="19"/>
    </row>
    <row r="55" spans="2:7" ht="15.75">
      <c r="B55" s="19"/>
      <c r="C55" s="19"/>
      <c r="D55" s="19"/>
      <c r="E55" s="19"/>
      <c r="F55" s="19"/>
      <c r="G55" s="19"/>
    </row>
    <row r="56" spans="2:7" ht="15.75">
      <c r="B56" s="19"/>
      <c r="C56" s="19"/>
      <c r="D56" s="19"/>
      <c r="E56" s="19"/>
      <c r="F56" s="19"/>
      <c r="G56" s="19"/>
    </row>
    <row r="57" spans="2:7" ht="15.75">
      <c r="B57" s="19"/>
      <c r="C57" s="19"/>
      <c r="D57" s="19"/>
      <c r="E57" s="19"/>
      <c r="F57" s="19"/>
      <c r="G57" s="19"/>
    </row>
    <row r="58" spans="2:7" ht="15.75">
      <c r="B58" s="19"/>
      <c r="C58" s="19"/>
      <c r="D58" s="19"/>
      <c r="E58" s="19"/>
      <c r="F58" s="19"/>
      <c r="G58" s="19"/>
    </row>
    <row r="59" spans="2:7" ht="15.75">
      <c r="B59" s="19"/>
      <c r="C59" s="19"/>
      <c r="D59" s="19"/>
      <c r="E59" s="19"/>
      <c r="F59" s="19"/>
      <c r="G59" s="19"/>
    </row>
    <row r="60" spans="2:7" ht="15.75">
      <c r="B60" s="19"/>
      <c r="C60" s="19"/>
      <c r="D60" s="19"/>
      <c r="E60" s="19"/>
      <c r="F60" s="19"/>
      <c r="G60" s="19"/>
    </row>
    <row r="61" spans="2:7" ht="15.75">
      <c r="B61" s="19"/>
      <c r="C61" s="19"/>
      <c r="D61" s="19"/>
      <c r="E61" s="19"/>
      <c r="F61" s="19"/>
      <c r="G61" s="19"/>
    </row>
  </sheetData>
  <sheetProtection password="AF00" sheet="1"/>
  <mergeCells count="7">
    <mergeCell ref="A5:G5"/>
    <mergeCell ref="A6:G6"/>
    <mergeCell ref="A7:G7"/>
    <mergeCell ref="B9:F9"/>
    <mergeCell ref="D1:G1"/>
    <mergeCell ref="B2:G2"/>
    <mergeCell ref="B3:G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34"/>
  <sheetViews>
    <sheetView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10.875" style="0" customWidth="1"/>
    <col min="2" max="2" width="70.625" style="0" customWidth="1"/>
    <col min="3" max="3" width="11.875" style="0" customWidth="1"/>
    <col min="4" max="4" width="14.75390625" style="0" customWidth="1"/>
  </cols>
  <sheetData>
    <row r="1" spans="1:2" ht="12.75">
      <c r="A1" s="455" t="s">
        <v>479</v>
      </c>
      <c r="B1" s="455"/>
    </row>
    <row r="3" spans="1:3" ht="12.75">
      <c r="A3" s="566"/>
      <c r="B3" s="566"/>
      <c r="C3" s="566"/>
    </row>
    <row r="5" spans="1:3" ht="12.75">
      <c r="A5" s="566" t="s">
        <v>7</v>
      </c>
      <c r="B5" s="566"/>
      <c r="C5" s="566"/>
    </row>
    <row r="6" spans="1:3" ht="12.75">
      <c r="A6" s="566" t="s">
        <v>394</v>
      </c>
      <c r="B6" s="566"/>
      <c r="C6" s="566"/>
    </row>
    <row r="7" ht="12.75">
      <c r="B7" s="149" t="s">
        <v>457</v>
      </c>
    </row>
    <row r="9" ht="13.5" thickBot="1"/>
    <row r="10" spans="1:3" ht="42.75" customHeight="1" thickBot="1">
      <c r="A10" s="157" t="s">
        <v>395</v>
      </c>
      <c r="B10" s="155" t="s">
        <v>2</v>
      </c>
      <c r="C10" s="156" t="s">
        <v>396</v>
      </c>
    </row>
    <row r="12" spans="1:2" ht="12.75">
      <c r="A12" t="s">
        <v>17</v>
      </c>
      <c r="B12" s="152" t="s">
        <v>397</v>
      </c>
    </row>
    <row r="14" spans="1:3" ht="12.75">
      <c r="A14" s="150" t="s">
        <v>412</v>
      </c>
      <c r="B14" t="s">
        <v>398</v>
      </c>
      <c r="C14" s="132">
        <v>34339195</v>
      </c>
    </row>
    <row r="16" spans="2:3" ht="12.75">
      <c r="B16" s="152" t="s">
        <v>246</v>
      </c>
      <c r="C16" s="153">
        <f>C14</f>
        <v>34339195</v>
      </c>
    </row>
    <row r="18" spans="1:2" ht="12.75">
      <c r="A18" t="s">
        <v>18</v>
      </c>
      <c r="B18" s="152" t="s">
        <v>413</v>
      </c>
    </row>
    <row r="19" ht="12.75">
      <c r="B19" s="152"/>
    </row>
    <row r="20" spans="1:3" ht="30.75" customHeight="1">
      <c r="A20" s="150" t="s">
        <v>422</v>
      </c>
      <c r="B20" s="173" t="s">
        <v>469</v>
      </c>
      <c r="C20" s="153">
        <v>2000000</v>
      </c>
    </row>
    <row r="21" ht="12.75">
      <c r="B21" s="152"/>
    </row>
    <row r="23" spans="1:3" ht="12.75">
      <c r="A23" s="151" t="s">
        <v>414</v>
      </c>
      <c r="B23" t="s">
        <v>415</v>
      </c>
      <c r="C23" s="132">
        <v>393700</v>
      </c>
    </row>
    <row r="24" spans="1:3" ht="12.75">
      <c r="A24" s="151"/>
      <c r="B24" t="s">
        <v>399</v>
      </c>
      <c r="C24" s="158">
        <v>106300</v>
      </c>
    </row>
    <row r="25" spans="2:3" ht="12.75">
      <c r="B25" s="152" t="s">
        <v>400</v>
      </c>
      <c r="C25" s="153">
        <f>C23+C24</f>
        <v>500000</v>
      </c>
    </row>
    <row r="28" spans="1:2" ht="12.75">
      <c r="A28" t="s">
        <v>19</v>
      </c>
      <c r="B28" s="152" t="s">
        <v>401</v>
      </c>
    </row>
    <row r="29" spans="1:3" ht="12.75">
      <c r="A29" s="150" t="s">
        <v>416</v>
      </c>
      <c r="B29" t="s">
        <v>402</v>
      </c>
      <c r="C29" s="132">
        <v>250000</v>
      </c>
    </row>
    <row r="30" spans="2:3" ht="12.75">
      <c r="B30" t="s">
        <v>399</v>
      </c>
      <c r="C30" s="154">
        <v>67500</v>
      </c>
    </row>
    <row r="31" spans="2:3" ht="12.75">
      <c r="B31" s="152" t="s">
        <v>400</v>
      </c>
      <c r="C31" s="153">
        <f>C29+C30</f>
        <v>317500</v>
      </c>
    </row>
    <row r="34" spans="2:3" ht="12.75">
      <c r="B34" s="152" t="s">
        <v>403</v>
      </c>
      <c r="C34" s="153">
        <f>C16+C25+C31+C20</f>
        <v>37156695</v>
      </c>
    </row>
  </sheetData>
  <sheetProtection password="AF00" sheet="1"/>
  <mergeCells count="4">
    <mergeCell ref="A1:B1"/>
    <mergeCell ref="A3:C3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2018-02-21T12:41:01Z</cp:lastPrinted>
  <dcterms:created xsi:type="dcterms:W3CDTF">2002-11-26T17:22:50Z</dcterms:created>
  <dcterms:modified xsi:type="dcterms:W3CDTF">2018-10-09T08:41:50Z</dcterms:modified>
  <cp:category/>
  <cp:version/>
  <cp:contentType/>
  <cp:contentStatus/>
</cp:coreProperties>
</file>