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44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worksheets/sheet5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49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Override PartName="/xl/worksheets/sheet52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worksheets/sheet50.xml" ContentType="application/vnd.openxmlformats-officedocument.spreadsheetml.workshee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2760" yWindow="32760" windowWidth="17400" windowHeight="12225" tabRatio="973" firstSheet="3" activeTab="3"/>
  </bookViews>
  <sheets>
    <sheet name="TARTALOMJEGYZÉK" sheetId="134" r:id="rId1"/>
    <sheet name="ALAPADATOK" sheetId="94" r:id="rId2"/>
    <sheet name="KV_ÖSSZEFÜGGÉSEK" sheetId="75" r:id="rId3"/>
    <sheet name="KV_1.1.sz.mell." sheetId="1" r:id="rId4"/>
    <sheet name="KV_1.2.sz.mell." sheetId="130" r:id="rId5"/>
    <sheet name="KV_1.3.sz.mell." sheetId="131" r:id="rId6"/>
    <sheet name="KV_1.4.sz.mell." sheetId="132" r:id="rId7"/>
    <sheet name="KV_2.1.sz.mell." sheetId="73" r:id="rId8"/>
    <sheet name="KV_2.2.sz.mell." sheetId="61" r:id="rId9"/>
    <sheet name="KV_ELLENŐRZÉS" sheetId="76" r:id="rId10"/>
    <sheet name="KV_3.sz.mell." sheetId="62" r:id="rId11"/>
    <sheet name="KV_4.sz.mell." sheetId="77" r:id="rId12"/>
    <sheet name="KV_5.sz.mell." sheetId="78" r:id="rId13"/>
    <sheet name="KV_6.sz.mell." sheetId="63" r:id="rId14"/>
    <sheet name="KV_7.sz.mell." sheetId="64" r:id="rId15"/>
    <sheet name="KV_8.sz.mell." sheetId="71" r:id="rId16"/>
    <sheet name="KV_9.1.sz.mell" sheetId="3" r:id="rId17"/>
    <sheet name="KV_9.1.1.sz.mell" sheetId="119" r:id="rId18"/>
    <sheet name="KV_9.1.2.sz.mell." sheetId="120" r:id="rId19"/>
    <sheet name="KV_9.1.3.sz.mell" sheetId="121" r:id="rId20"/>
    <sheet name="KV_9.2.sz.mell" sheetId="79" r:id="rId21"/>
    <sheet name="KV_9.2.1.sz.mell" sheetId="122" r:id="rId22"/>
    <sheet name="KV_9.2.2.sz.mell" sheetId="123" r:id="rId23"/>
    <sheet name="KV_9.2.3.sz.mell" sheetId="124" r:id="rId24"/>
    <sheet name="KV_9.3.sz.mell" sheetId="105" r:id="rId25"/>
    <sheet name="KV_9.3.1.sz.mell" sheetId="125" r:id="rId26"/>
    <sheet name="KV_9.3.2.sz.mell" sheetId="126" r:id="rId27"/>
    <sheet name="KV_9.3.3.sz.mell" sheetId="127" r:id="rId28"/>
    <sheet name="KV_9.4.sz.mell" sheetId="136" r:id="rId29"/>
    <sheet name="KV_9.4.1.sz.mell" sheetId="137" r:id="rId30"/>
    <sheet name="KV_9.4.2.sz.mell" sheetId="138" r:id="rId31"/>
    <sheet name="KV_9.4.3.sz.mell" sheetId="139" r:id="rId32"/>
    <sheet name="KV_9.5.sz.mell" sheetId="140" r:id="rId33"/>
    <sheet name="KV_9.5.1.sz.mell" sheetId="141" r:id="rId34"/>
    <sheet name="KV_9.5.2.sz.mell" sheetId="142" r:id="rId35"/>
    <sheet name="KV_9.5.3.sz.mell" sheetId="143" r:id="rId36"/>
    <sheet name="KV_9.6.sz.mell" sheetId="144" r:id="rId37"/>
    <sheet name="KV_9.6.1.sz.mell" sheetId="145" r:id="rId38"/>
    <sheet name="KV_9.6.2.sz.mell" sheetId="146" r:id="rId39"/>
    <sheet name="KV_9.6.3.sz.mell" sheetId="147" r:id="rId40"/>
    <sheet name="KV_9.7.sz.mell" sheetId="148" r:id="rId41"/>
    <sheet name="KV_9.7.1.sz.mell" sheetId="149" r:id="rId42"/>
    <sheet name="KV_9.7.2.sz.mell" sheetId="150" r:id="rId43"/>
    <sheet name="KV_9.7.3.sz.mell" sheetId="151" r:id="rId44"/>
    <sheet name="KV_10.sz.mell" sheetId="89" r:id="rId45"/>
    <sheet name="KV_1.sz.tájékoztató_t." sheetId="87" r:id="rId46"/>
    <sheet name="KV_2.sz.tájékoztató_t." sheetId="66" r:id="rId47"/>
    <sheet name="KV_3.sz.tájékoztató_t." sheetId="88" r:id="rId48"/>
    <sheet name="KV_4.sz.tájékoztató_t." sheetId="24" r:id="rId49"/>
    <sheet name="KV_5.sz.tájékoztató_t" sheetId="172" r:id="rId50"/>
    <sheet name="KV_6.sz.tájékoztató_t." sheetId="70" r:id="rId51"/>
    <sheet name="KV_7.sz.tájékoztató_t." sheetId="128" r:id="rId52"/>
  </sheets>
  <definedNames>
    <definedName name="_xlnm.Print_Titles" localSheetId="17">KV_9.1.1.sz.mell!$1:$6</definedName>
    <definedName name="_xlnm.Print_Titles" localSheetId="18">KV_9.1.2.sz.mell.!$1:$6</definedName>
    <definedName name="_xlnm.Print_Titles" localSheetId="19">KV_9.1.3.sz.mell!$1:$6</definedName>
    <definedName name="_xlnm.Print_Titles" localSheetId="16">KV_9.1.sz.mell!$1:$6</definedName>
    <definedName name="_xlnm.Print_Titles" localSheetId="21">KV_9.2.1.sz.mell!$1:$6</definedName>
    <definedName name="_xlnm.Print_Titles" localSheetId="22">KV_9.2.2.sz.mell!$1:$6</definedName>
    <definedName name="_xlnm.Print_Titles" localSheetId="23">KV_9.2.3.sz.mell!$1:$6</definedName>
    <definedName name="_xlnm.Print_Titles" localSheetId="20">KV_9.2.sz.mell!$1:$6</definedName>
    <definedName name="_xlnm.Print_Titles" localSheetId="25">KV_9.3.1.sz.mell!$1:$6</definedName>
    <definedName name="_xlnm.Print_Titles" localSheetId="26">KV_9.3.2.sz.mell!$1:$6</definedName>
    <definedName name="_xlnm.Print_Titles" localSheetId="27">KV_9.3.3.sz.mell!$1:$6</definedName>
    <definedName name="_xlnm.Print_Titles" localSheetId="24">KV_9.3.sz.mell!$1:$6</definedName>
    <definedName name="_xlnm.Print_Titles" localSheetId="29">KV_9.4.1.sz.mell!$1:$6</definedName>
    <definedName name="_xlnm.Print_Titles" localSheetId="30">KV_9.4.2.sz.mell!$1:$6</definedName>
    <definedName name="_xlnm.Print_Titles" localSheetId="31">KV_9.4.3.sz.mell!$1:$6</definedName>
    <definedName name="_xlnm.Print_Titles" localSheetId="28">KV_9.4.sz.mell!$1:$6</definedName>
    <definedName name="_xlnm.Print_Titles" localSheetId="33">KV_9.5.1.sz.mell!$1:$6</definedName>
    <definedName name="_xlnm.Print_Titles" localSheetId="34">KV_9.5.2.sz.mell!$1:$6</definedName>
    <definedName name="_xlnm.Print_Titles" localSheetId="35">KV_9.5.3.sz.mell!$1:$6</definedName>
    <definedName name="_xlnm.Print_Titles" localSheetId="32">KV_9.5.sz.mell!$1:$6</definedName>
    <definedName name="_xlnm.Print_Titles" localSheetId="37">KV_9.6.1.sz.mell!$1:$6</definedName>
    <definedName name="_xlnm.Print_Titles" localSheetId="38">KV_9.6.2.sz.mell!$1:$6</definedName>
    <definedName name="_xlnm.Print_Titles" localSheetId="39">KV_9.6.3.sz.mell!$1:$6</definedName>
    <definedName name="_xlnm.Print_Titles" localSheetId="36">KV_9.6.sz.mell!$1:$6</definedName>
    <definedName name="_xlnm.Print_Titles" localSheetId="41">KV_9.7.1.sz.mell!$1:$6</definedName>
    <definedName name="_xlnm.Print_Titles" localSheetId="42">KV_9.7.2.sz.mell!$1:$6</definedName>
    <definedName name="_xlnm.Print_Titles" localSheetId="43">KV_9.7.3.sz.mell!$1:$6</definedName>
    <definedName name="_xlnm.Print_Titles" localSheetId="40">KV_9.7.sz.mell!$1:$6</definedName>
    <definedName name="_xlnm.Print_Area" localSheetId="3">KV_1.1.sz.mell.!$A$1:$C$164</definedName>
    <definedName name="_xlnm.Print_Area" localSheetId="4">KV_1.2.sz.mell.!$A$1:$C$164</definedName>
    <definedName name="_xlnm.Print_Area" localSheetId="5">KV_1.3.sz.mell.!$A$1:$C$164</definedName>
    <definedName name="_xlnm.Print_Area" localSheetId="6">KV_1.4.sz.mell.!$A$1:$C$164</definedName>
    <definedName name="_xlnm.Print_Area" localSheetId="45">KV_1.sz.tájékoztató_t.!$A$1:$E$150</definedName>
    <definedName name="_xlnm.Print_Area" localSheetId="51">KV_7.sz.tájékoztató_t.!$A$2:$E$40</definedName>
  </definedNames>
  <calcPr calcId="181029" fullCalcOnLoad="1"/>
</workbook>
</file>

<file path=xl/calcChain.xml><?xml version="1.0" encoding="utf-8"?>
<calcChain xmlns="http://schemas.openxmlformats.org/spreadsheetml/2006/main">
  <c r="J42" i="1"/>
  <c r="J22"/>
  <c r="J120"/>
  <c r="J101"/>
  <c r="J100"/>
  <c r="J99"/>
  <c r="J116"/>
  <c r="K116"/>
  <c r="O68" i="63"/>
  <c r="O69"/>
  <c r="O70"/>
  <c r="O71"/>
  <c r="O81"/>
  <c r="O82"/>
  <c r="O83"/>
  <c r="O84"/>
  <c r="O85"/>
  <c r="L16" i="64"/>
  <c r="L17"/>
  <c r="L15"/>
  <c r="J29" i="3"/>
  <c r="J30"/>
  <c r="C30"/>
  <c r="J111"/>
  <c r="K162" i="1"/>
  <c r="K150"/>
  <c r="J150"/>
  <c r="K147"/>
  <c r="J145"/>
  <c r="K145"/>
  <c r="K138"/>
  <c r="J138"/>
  <c r="K134"/>
  <c r="K158"/>
  <c r="J134"/>
  <c r="J158"/>
  <c r="K124"/>
  <c r="K122"/>
  <c r="K120"/>
  <c r="J119"/>
  <c r="K119"/>
  <c r="K118"/>
  <c r="K117"/>
  <c r="K103"/>
  <c r="K102"/>
  <c r="K101"/>
  <c r="K100"/>
  <c r="K99"/>
  <c r="K84"/>
  <c r="J84"/>
  <c r="K80"/>
  <c r="J80"/>
  <c r="K78"/>
  <c r="K77"/>
  <c r="J77"/>
  <c r="K72"/>
  <c r="J72"/>
  <c r="K68"/>
  <c r="K91"/>
  <c r="J68"/>
  <c r="J91"/>
  <c r="K66"/>
  <c r="K65"/>
  <c r="K64"/>
  <c r="K63"/>
  <c r="J62"/>
  <c r="K62"/>
  <c r="K60"/>
  <c r="J57"/>
  <c r="K57"/>
  <c r="K56"/>
  <c r="K55"/>
  <c r="K54"/>
  <c r="K53"/>
  <c r="K52"/>
  <c r="K51"/>
  <c r="J51"/>
  <c r="K50"/>
  <c r="K49"/>
  <c r="K48"/>
  <c r="K47"/>
  <c r="K46"/>
  <c r="K45"/>
  <c r="K44"/>
  <c r="K43"/>
  <c r="K42"/>
  <c r="K41"/>
  <c r="K40"/>
  <c r="J39"/>
  <c r="K39"/>
  <c r="K38"/>
  <c r="K37"/>
  <c r="K36"/>
  <c r="K35"/>
  <c r="K34"/>
  <c r="K33"/>
  <c r="K32"/>
  <c r="J31"/>
  <c r="K31"/>
  <c r="K29"/>
  <c r="K28"/>
  <c r="K27"/>
  <c r="K26"/>
  <c r="K25"/>
  <c r="J24"/>
  <c r="K24"/>
  <c r="K67"/>
  <c r="K22"/>
  <c r="K21"/>
  <c r="K20"/>
  <c r="K19"/>
  <c r="K18"/>
  <c r="J17"/>
  <c r="K17"/>
  <c r="K16"/>
  <c r="K15"/>
  <c r="K14"/>
  <c r="K13"/>
  <c r="K12"/>
  <c r="K11"/>
  <c r="J10"/>
  <c r="K10"/>
  <c r="N133" i="63"/>
  <c r="O132"/>
  <c r="O131"/>
  <c r="O130"/>
  <c r="O129"/>
  <c r="O133"/>
  <c r="N126"/>
  <c r="O125"/>
  <c r="O124"/>
  <c r="O123"/>
  <c r="O122"/>
  <c r="O126"/>
  <c r="N119"/>
  <c r="O118"/>
  <c r="O117"/>
  <c r="O116"/>
  <c r="O115"/>
  <c r="O119"/>
  <c r="N112"/>
  <c r="O111"/>
  <c r="O110"/>
  <c r="O109"/>
  <c r="O108"/>
  <c r="O112"/>
  <c r="N105"/>
  <c r="O104"/>
  <c r="O103"/>
  <c r="O105"/>
  <c r="O102"/>
  <c r="O101"/>
  <c r="N98"/>
  <c r="O97"/>
  <c r="O96"/>
  <c r="O95"/>
  <c r="O94"/>
  <c r="O98"/>
  <c r="N88"/>
  <c r="N74"/>
  <c r="O8"/>
  <c r="K20" i="64"/>
  <c r="K146" i="3"/>
  <c r="J146"/>
  <c r="K145"/>
  <c r="K144"/>
  <c r="K143"/>
  <c r="K140"/>
  <c r="K154"/>
  <c r="K142"/>
  <c r="J140"/>
  <c r="K133"/>
  <c r="J133"/>
  <c r="K129"/>
  <c r="J129"/>
  <c r="K127"/>
  <c r="K126"/>
  <c r="K125"/>
  <c r="K124"/>
  <c r="K123"/>
  <c r="K122"/>
  <c r="K121"/>
  <c r="K120"/>
  <c r="K119"/>
  <c r="K118"/>
  <c r="K117"/>
  <c r="K115"/>
  <c r="J114"/>
  <c r="K113"/>
  <c r="K112"/>
  <c r="K111"/>
  <c r="K98"/>
  <c r="K97"/>
  <c r="K96"/>
  <c r="K95"/>
  <c r="K94"/>
  <c r="K88"/>
  <c r="K87"/>
  <c r="K86"/>
  <c r="K85"/>
  <c r="K84"/>
  <c r="K83"/>
  <c r="K82"/>
  <c r="J82"/>
  <c r="K81"/>
  <c r="K80"/>
  <c r="K79"/>
  <c r="J78"/>
  <c r="K78"/>
  <c r="K77"/>
  <c r="K76"/>
  <c r="J75"/>
  <c r="K75"/>
  <c r="K74"/>
  <c r="K73"/>
  <c r="K72"/>
  <c r="K71"/>
  <c r="J70"/>
  <c r="K70"/>
  <c r="K69"/>
  <c r="K68"/>
  <c r="K67"/>
  <c r="K66"/>
  <c r="J66"/>
  <c r="J89"/>
  <c r="K89"/>
  <c r="K64"/>
  <c r="K63"/>
  <c r="K62"/>
  <c r="K61"/>
  <c r="J60"/>
  <c r="K60"/>
  <c r="K58"/>
  <c r="K57"/>
  <c r="K56"/>
  <c r="J55"/>
  <c r="K55"/>
  <c r="K54"/>
  <c r="K53"/>
  <c r="K52"/>
  <c r="K51"/>
  <c r="K50"/>
  <c r="K49"/>
  <c r="J49"/>
  <c r="K48"/>
  <c r="K47"/>
  <c r="K46"/>
  <c r="K45"/>
  <c r="K44"/>
  <c r="K43"/>
  <c r="K42"/>
  <c r="K41"/>
  <c r="K40"/>
  <c r="K39"/>
  <c r="K38"/>
  <c r="J37"/>
  <c r="K37"/>
  <c r="K36"/>
  <c r="K35"/>
  <c r="K34"/>
  <c r="K33"/>
  <c r="K32"/>
  <c r="K31"/>
  <c r="K27"/>
  <c r="K26"/>
  <c r="K25"/>
  <c r="K24"/>
  <c r="K23"/>
  <c r="J22"/>
  <c r="J65"/>
  <c r="K22"/>
  <c r="K21"/>
  <c r="K20"/>
  <c r="K19"/>
  <c r="K18"/>
  <c r="K17"/>
  <c r="K16"/>
  <c r="J15"/>
  <c r="K15"/>
  <c r="K14"/>
  <c r="K13"/>
  <c r="K12"/>
  <c r="K11"/>
  <c r="K10"/>
  <c r="K9"/>
  <c r="J8"/>
  <c r="K8"/>
  <c r="J51" i="140"/>
  <c r="J45"/>
  <c r="J37"/>
  <c r="J20"/>
  <c r="J8"/>
  <c r="J36"/>
  <c r="J52" i="79"/>
  <c r="J46"/>
  <c r="J38"/>
  <c r="J20"/>
  <c r="J8"/>
  <c r="F51" i="144"/>
  <c r="F45"/>
  <c r="F57"/>
  <c r="F37"/>
  <c r="F20"/>
  <c r="F8"/>
  <c r="H51" i="148"/>
  <c r="H45"/>
  <c r="H37"/>
  <c r="H20"/>
  <c r="H36"/>
  <c r="H8"/>
  <c r="H51" i="136"/>
  <c r="H45"/>
  <c r="H57"/>
  <c r="H37"/>
  <c r="H41"/>
  <c r="I41"/>
  <c r="H20"/>
  <c r="H8"/>
  <c r="H51" i="105"/>
  <c r="I51"/>
  <c r="H45"/>
  <c r="H37"/>
  <c r="H41"/>
  <c r="H20"/>
  <c r="H8"/>
  <c r="F51" i="148"/>
  <c r="F45"/>
  <c r="F37"/>
  <c r="F20"/>
  <c r="F8"/>
  <c r="F36"/>
  <c r="M65" i="63"/>
  <c r="O65"/>
  <c r="M66"/>
  <c r="O66"/>
  <c r="M67"/>
  <c r="O67"/>
  <c r="M72"/>
  <c r="O72"/>
  <c r="M63"/>
  <c r="O63"/>
  <c r="M64"/>
  <c r="O64"/>
  <c r="M86"/>
  <c r="O86"/>
  <c r="L133"/>
  <c r="L126"/>
  <c r="L119"/>
  <c r="L112"/>
  <c r="L105"/>
  <c r="L98"/>
  <c r="L88"/>
  <c r="L74"/>
  <c r="H116" i="1"/>
  <c r="I162"/>
  <c r="I150"/>
  <c r="H150"/>
  <c r="H145"/>
  <c r="I138"/>
  <c r="H138"/>
  <c r="I134"/>
  <c r="H134"/>
  <c r="H158"/>
  <c r="H119"/>
  <c r="I84"/>
  <c r="H84"/>
  <c r="I80"/>
  <c r="H80"/>
  <c r="H77"/>
  <c r="I72"/>
  <c r="H72"/>
  <c r="I68"/>
  <c r="H68"/>
  <c r="H62"/>
  <c r="H57"/>
  <c r="H51"/>
  <c r="H39"/>
  <c r="H31"/>
  <c r="H24"/>
  <c r="H17"/>
  <c r="I13"/>
  <c r="H10"/>
  <c r="H111" i="3"/>
  <c r="I146"/>
  <c r="H146"/>
  <c r="H140"/>
  <c r="I133"/>
  <c r="H133"/>
  <c r="I129"/>
  <c r="H129"/>
  <c r="H154"/>
  <c r="H114"/>
  <c r="H82"/>
  <c r="H78"/>
  <c r="H75"/>
  <c r="H70"/>
  <c r="H66"/>
  <c r="H60"/>
  <c r="H55"/>
  <c r="H49"/>
  <c r="H37"/>
  <c r="H29"/>
  <c r="H22"/>
  <c r="H15"/>
  <c r="H8"/>
  <c r="H51" i="140"/>
  <c r="H45"/>
  <c r="H37"/>
  <c r="H20"/>
  <c r="H8"/>
  <c r="H36"/>
  <c r="F51" i="136"/>
  <c r="G47"/>
  <c r="I47"/>
  <c r="F45"/>
  <c r="F37"/>
  <c r="F41"/>
  <c r="G35"/>
  <c r="I35"/>
  <c r="F20"/>
  <c r="F8"/>
  <c r="F51" i="105"/>
  <c r="F45"/>
  <c r="F37"/>
  <c r="F41"/>
  <c r="F20"/>
  <c r="F8"/>
  <c r="H52" i="79"/>
  <c r="H46"/>
  <c r="H38"/>
  <c r="H20"/>
  <c r="H8"/>
  <c r="D37" i="148"/>
  <c r="C116" i="1"/>
  <c r="E116"/>
  <c r="G116"/>
  <c r="I116"/>
  <c r="F137" i="63"/>
  <c r="H105"/>
  <c r="H135"/>
  <c r="J133"/>
  <c r="E133"/>
  <c r="G133"/>
  <c r="I133"/>
  <c r="I132"/>
  <c r="K132"/>
  <c r="M132"/>
  <c r="G132"/>
  <c r="G131"/>
  <c r="I131"/>
  <c r="K131"/>
  <c r="M131"/>
  <c r="G130"/>
  <c r="I130"/>
  <c r="K130"/>
  <c r="M130"/>
  <c r="G129"/>
  <c r="I129"/>
  <c r="K129"/>
  <c r="M129"/>
  <c r="J126"/>
  <c r="E126"/>
  <c r="G126"/>
  <c r="I126"/>
  <c r="G125"/>
  <c r="I125"/>
  <c r="K125"/>
  <c r="M125"/>
  <c r="G124"/>
  <c r="I124"/>
  <c r="K124"/>
  <c r="M124"/>
  <c r="G123"/>
  <c r="I123"/>
  <c r="K123"/>
  <c r="M123"/>
  <c r="G122"/>
  <c r="I122"/>
  <c r="K122"/>
  <c r="M122"/>
  <c r="J119"/>
  <c r="E119"/>
  <c r="G119"/>
  <c r="I119"/>
  <c r="G118"/>
  <c r="I118"/>
  <c r="K118"/>
  <c r="M118"/>
  <c r="I117"/>
  <c r="K117"/>
  <c r="M117"/>
  <c r="G117"/>
  <c r="G116"/>
  <c r="I116"/>
  <c r="K116"/>
  <c r="M116"/>
  <c r="G115"/>
  <c r="I115"/>
  <c r="K115"/>
  <c r="M115"/>
  <c r="M119"/>
  <c r="J112"/>
  <c r="E112"/>
  <c r="G112"/>
  <c r="I112"/>
  <c r="G111"/>
  <c r="I111"/>
  <c r="K111"/>
  <c r="M111"/>
  <c r="G110"/>
  <c r="I110"/>
  <c r="K110"/>
  <c r="M110"/>
  <c r="G109"/>
  <c r="I109"/>
  <c r="K109"/>
  <c r="M109"/>
  <c r="G108"/>
  <c r="I108"/>
  <c r="K108"/>
  <c r="M108"/>
  <c r="J105"/>
  <c r="J98"/>
  <c r="J135"/>
  <c r="J137"/>
  <c r="E105"/>
  <c r="G105"/>
  <c r="I105"/>
  <c r="G104"/>
  <c r="I104"/>
  <c r="K104"/>
  <c r="M104"/>
  <c r="G103"/>
  <c r="I103"/>
  <c r="K103"/>
  <c r="M103"/>
  <c r="G102"/>
  <c r="I102"/>
  <c r="K102"/>
  <c r="M102"/>
  <c r="G101"/>
  <c r="I101"/>
  <c r="K101"/>
  <c r="M101"/>
  <c r="K97"/>
  <c r="M97"/>
  <c r="I97"/>
  <c r="G95"/>
  <c r="I95"/>
  <c r="K95"/>
  <c r="M95"/>
  <c r="G96"/>
  <c r="I96"/>
  <c r="K96"/>
  <c r="M96"/>
  <c r="G97"/>
  <c r="G94"/>
  <c r="I94"/>
  <c r="K94"/>
  <c r="E98"/>
  <c r="G98"/>
  <c r="I98"/>
  <c r="K62"/>
  <c r="M62"/>
  <c r="O62"/>
  <c r="K61"/>
  <c r="M61"/>
  <c r="O61"/>
  <c r="J74"/>
  <c r="K58"/>
  <c r="M58"/>
  <c r="O58"/>
  <c r="K59"/>
  <c r="M59"/>
  <c r="O59"/>
  <c r="K60"/>
  <c r="M60"/>
  <c r="O60"/>
  <c r="H12" i="64"/>
  <c r="J12"/>
  <c r="L12"/>
  <c r="H13"/>
  <c r="J13"/>
  <c r="L13"/>
  <c r="H14"/>
  <c r="J14"/>
  <c r="L14"/>
  <c r="H18"/>
  <c r="J18"/>
  <c r="L18"/>
  <c r="G20"/>
  <c r="F116" i="1"/>
  <c r="F98"/>
  <c r="G162"/>
  <c r="G150"/>
  <c r="F150"/>
  <c r="F145"/>
  <c r="G138"/>
  <c r="F138"/>
  <c r="F158"/>
  <c r="F159"/>
  <c r="G134"/>
  <c r="F134"/>
  <c r="F119"/>
  <c r="G84"/>
  <c r="F84"/>
  <c r="G80"/>
  <c r="F80"/>
  <c r="G78"/>
  <c r="I78"/>
  <c r="F77"/>
  <c r="G72"/>
  <c r="F72"/>
  <c r="G68"/>
  <c r="F68"/>
  <c r="F91"/>
  <c r="F164"/>
  <c r="F62"/>
  <c r="F57"/>
  <c r="G53"/>
  <c r="I53"/>
  <c r="F51"/>
  <c r="G46"/>
  <c r="I46"/>
  <c r="G43"/>
  <c r="I43"/>
  <c r="F39"/>
  <c r="G37"/>
  <c r="I37"/>
  <c r="G33"/>
  <c r="I33"/>
  <c r="G32"/>
  <c r="I32"/>
  <c r="F31"/>
  <c r="F24"/>
  <c r="F67"/>
  <c r="G20"/>
  <c r="I20"/>
  <c r="F17"/>
  <c r="G16"/>
  <c r="I16"/>
  <c r="G13"/>
  <c r="G12"/>
  <c r="I12"/>
  <c r="F10"/>
  <c r="F133"/>
  <c r="G113" i="3"/>
  <c r="I113"/>
  <c r="F111"/>
  <c r="F93"/>
  <c r="F128"/>
  <c r="F155"/>
  <c r="E112"/>
  <c r="G112"/>
  <c r="I112"/>
  <c r="E113"/>
  <c r="G143"/>
  <c r="I143"/>
  <c r="G144"/>
  <c r="I144"/>
  <c r="G145"/>
  <c r="I145"/>
  <c r="E143"/>
  <c r="E144"/>
  <c r="E145"/>
  <c r="D37" i="144"/>
  <c r="I26" i="63"/>
  <c r="K26"/>
  <c r="M26"/>
  <c r="O26"/>
  <c r="I27"/>
  <c r="K27"/>
  <c r="M27"/>
  <c r="O27"/>
  <c r="I28"/>
  <c r="K28"/>
  <c r="M28"/>
  <c r="O28"/>
  <c r="I29"/>
  <c r="K29"/>
  <c r="M29"/>
  <c r="O29"/>
  <c r="I8"/>
  <c r="K8"/>
  <c r="M8"/>
  <c r="F74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I30"/>
  <c r="K30"/>
  <c r="M30"/>
  <c r="O30"/>
  <c r="G31"/>
  <c r="I31"/>
  <c r="K31"/>
  <c r="M31"/>
  <c r="O31"/>
  <c r="G32"/>
  <c r="I32"/>
  <c r="K32"/>
  <c r="M32"/>
  <c r="O32"/>
  <c r="G33"/>
  <c r="I33"/>
  <c r="K33"/>
  <c r="M33"/>
  <c r="O33"/>
  <c r="G34"/>
  <c r="I34"/>
  <c r="K34"/>
  <c r="M34"/>
  <c r="O34"/>
  <c r="G35"/>
  <c r="I35"/>
  <c r="K35"/>
  <c r="M35"/>
  <c r="O35"/>
  <c r="G36"/>
  <c r="I36"/>
  <c r="K36"/>
  <c r="M36"/>
  <c r="O36"/>
  <c r="G37"/>
  <c r="I37"/>
  <c r="K37"/>
  <c r="M37"/>
  <c r="O37"/>
  <c r="G38"/>
  <c r="I38"/>
  <c r="K38"/>
  <c r="M38"/>
  <c r="O38"/>
  <c r="G39"/>
  <c r="I39"/>
  <c r="K39"/>
  <c r="M39"/>
  <c r="O39"/>
  <c r="G40"/>
  <c r="I40"/>
  <c r="K40"/>
  <c r="M40"/>
  <c r="O40"/>
  <c r="G41"/>
  <c r="I41"/>
  <c r="K41"/>
  <c r="M41"/>
  <c r="O41"/>
  <c r="G42"/>
  <c r="I42"/>
  <c r="K42"/>
  <c r="M42"/>
  <c r="O42"/>
  <c r="G43"/>
  <c r="I43"/>
  <c r="K43"/>
  <c r="M43"/>
  <c r="O43"/>
  <c r="G44"/>
  <c r="I44"/>
  <c r="K44"/>
  <c r="M44"/>
  <c r="O44"/>
  <c r="G45"/>
  <c r="I45"/>
  <c r="K45"/>
  <c r="M45"/>
  <c r="O45"/>
  <c r="G46"/>
  <c r="I46"/>
  <c r="K46"/>
  <c r="M46"/>
  <c r="O46"/>
  <c r="G47"/>
  <c r="I47"/>
  <c r="K47"/>
  <c r="M47"/>
  <c r="O47"/>
  <c r="G48"/>
  <c r="I48"/>
  <c r="K48"/>
  <c r="M48"/>
  <c r="O48"/>
  <c r="G49"/>
  <c r="I49"/>
  <c r="K49"/>
  <c r="M49"/>
  <c r="O49"/>
  <c r="G50"/>
  <c r="I50"/>
  <c r="K50"/>
  <c r="M50"/>
  <c r="O50"/>
  <c r="G51"/>
  <c r="I51"/>
  <c r="K51"/>
  <c r="M51"/>
  <c r="O51"/>
  <c r="G52"/>
  <c r="I52"/>
  <c r="K52"/>
  <c r="M52"/>
  <c r="O52"/>
  <c r="G53"/>
  <c r="I53"/>
  <c r="K53"/>
  <c r="M53"/>
  <c r="O53"/>
  <c r="G54"/>
  <c r="I54"/>
  <c r="K54"/>
  <c r="M54"/>
  <c r="O54"/>
  <c r="G55"/>
  <c r="I55"/>
  <c r="K55"/>
  <c r="M55"/>
  <c r="O55"/>
  <c r="G56"/>
  <c r="I56"/>
  <c r="K56"/>
  <c r="M56"/>
  <c r="O56"/>
  <c r="G57"/>
  <c r="I57"/>
  <c r="K57"/>
  <c r="M57"/>
  <c r="O57"/>
  <c r="G73"/>
  <c r="I73"/>
  <c r="K73"/>
  <c r="M73"/>
  <c r="O73"/>
  <c r="G8"/>
  <c r="F52" i="79"/>
  <c r="F37" i="140"/>
  <c r="G53" i="79"/>
  <c r="I53"/>
  <c r="K53"/>
  <c r="F46"/>
  <c r="F58"/>
  <c r="G39"/>
  <c r="I39"/>
  <c r="K39"/>
  <c r="F38"/>
  <c r="G27"/>
  <c r="I27"/>
  <c r="K27"/>
  <c r="F20"/>
  <c r="F8"/>
  <c r="H9" i="64"/>
  <c r="J9"/>
  <c r="L9"/>
  <c r="H10"/>
  <c r="J10"/>
  <c r="L10"/>
  <c r="H11"/>
  <c r="J11"/>
  <c r="L11"/>
  <c r="H19"/>
  <c r="J19"/>
  <c r="L19"/>
  <c r="H8"/>
  <c r="J8"/>
  <c r="L8"/>
  <c r="J88" i="63"/>
  <c r="G146" i="3"/>
  <c r="F146"/>
  <c r="F140"/>
  <c r="G133"/>
  <c r="F133"/>
  <c r="G129"/>
  <c r="F129"/>
  <c r="G126"/>
  <c r="I126"/>
  <c r="G117"/>
  <c r="I117"/>
  <c r="F114"/>
  <c r="G96"/>
  <c r="I96"/>
  <c r="F82"/>
  <c r="F78"/>
  <c r="F75"/>
  <c r="G72"/>
  <c r="I72"/>
  <c r="G71"/>
  <c r="I71"/>
  <c r="F70"/>
  <c r="F66"/>
  <c r="F89"/>
  <c r="G62"/>
  <c r="I62"/>
  <c r="F60"/>
  <c r="F55"/>
  <c r="F49"/>
  <c r="G45"/>
  <c r="I45"/>
  <c r="G41"/>
  <c r="I41"/>
  <c r="F37"/>
  <c r="G36"/>
  <c r="I36"/>
  <c r="G33"/>
  <c r="I33"/>
  <c r="F29"/>
  <c r="G27"/>
  <c r="I27"/>
  <c r="G23"/>
  <c r="I23"/>
  <c r="F22"/>
  <c r="G21"/>
  <c r="I21"/>
  <c r="F15"/>
  <c r="G14"/>
  <c r="I14"/>
  <c r="G10"/>
  <c r="I10"/>
  <c r="F8"/>
  <c r="E60" i="148"/>
  <c r="G60"/>
  <c r="I60"/>
  <c r="E59"/>
  <c r="G59"/>
  <c r="I59"/>
  <c r="E56"/>
  <c r="G56"/>
  <c r="I56"/>
  <c r="E55"/>
  <c r="G55"/>
  <c r="I55"/>
  <c r="E54"/>
  <c r="G54"/>
  <c r="I54"/>
  <c r="E53"/>
  <c r="G53"/>
  <c r="I53"/>
  <c r="E52"/>
  <c r="G52"/>
  <c r="I52"/>
  <c r="D51"/>
  <c r="E50"/>
  <c r="G50"/>
  <c r="I50"/>
  <c r="E49"/>
  <c r="G49"/>
  <c r="I49"/>
  <c r="E48"/>
  <c r="G48"/>
  <c r="I48"/>
  <c r="E47"/>
  <c r="G47"/>
  <c r="I47"/>
  <c r="E46"/>
  <c r="G46"/>
  <c r="I46"/>
  <c r="D45"/>
  <c r="E42"/>
  <c r="G42"/>
  <c r="I42"/>
  <c r="E40"/>
  <c r="G40"/>
  <c r="I40"/>
  <c r="E39"/>
  <c r="G39"/>
  <c r="I39"/>
  <c r="E35"/>
  <c r="G35"/>
  <c r="I35"/>
  <c r="E34"/>
  <c r="G34"/>
  <c r="I34"/>
  <c r="E33"/>
  <c r="G33"/>
  <c r="I33"/>
  <c r="E32"/>
  <c r="G32"/>
  <c r="I32"/>
  <c r="E31"/>
  <c r="G31"/>
  <c r="I31"/>
  <c r="E29"/>
  <c r="G29"/>
  <c r="I29"/>
  <c r="E28"/>
  <c r="G28"/>
  <c r="I28"/>
  <c r="E27"/>
  <c r="G27"/>
  <c r="I27"/>
  <c r="E25"/>
  <c r="G25"/>
  <c r="I25"/>
  <c r="E24"/>
  <c r="G24"/>
  <c r="I24"/>
  <c r="E23"/>
  <c r="G23"/>
  <c r="I23"/>
  <c r="E22"/>
  <c r="G22"/>
  <c r="I22"/>
  <c r="E21"/>
  <c r="G21"/>
  <c r="I21"/>
  <c r="D20"/>
  <c r="E19"/>
  <c r="G19"/>
  <c r="I19"/>
  <c r="E18"/>
  <c r="G18"/>
  <c r="I18"/>
  <c r="E17"/>
  <c r="G17"/>
  <c r="I17"/>
  <c r="E16"/>
  <c r="G16"/>
  <c r="I16"/>
  <c r="E15"/>
  <c r="G15"/>
  <c r="I15"/>
  <c r="E14"/>
  <c r="G14"/>
  <c r="I14"/>
  <c r="E13"/>
  <c r="G13"/>
  <c r="I13"/>
  <c r="E12"/>
  <c r="G12"/>
  <c r="I12"/>
  <c r="E11"/>
  <c r="G11"/>
  <c r="I11"/>
  <c r="E10"/>
  <c r="G10"/>
  <c r="I10"/>
  <c r="E9"/>
  <c r="G9"/>
  <c r="I9"/>
  <c r="D8"/>
  <c r="D36"/>
  <c r="E60" i="144"/>
  <c r="G60"/>
  <c r="E59"/>
  <c r="G59"/>
  <c r="E56"/>
  <c r="G56"/>
  <c r="E55"/>
  <c r="G55"/>
  <c r="E54"/>
  <c r="G54"/>
  <c r="E53"/>
  <c r="G53"/>
  <c r="E52"/>
  <c r="G52"/>
  <c r="D51"/>
  <c r="E50"/>
  <c r="G50"/>
  <c r="E49"/>
  <c r="G49"/>
  <c r="E48"/>
  <c r="G48"/>
  <c r="E47"/>
  <c r="G47"/>
  <c r="E46"/>
  <c r="G46"/>
  <c r="D45"/>
  <c r="E42"/>
  <c r="G42"/>
  <c r="E40"/>
  <c r="G40"/>
  <c r="E39"/>
  <c r="G39"/>
  <c r="E35"/>
  <c r="G35"/>
  <c r="E34"/>
  <c r="G34"/>
  <c r="E33"/>
  <c r="G33"/>
  <c r="E32"/>
  <c r="G32"/>
  <c r="E31"/>
  <c r="G31"/>
  <c r="E29"/>
  <c r="G29"/>
  <c r="E28"/>
  <c r="G28"/>
  <c r="E27"/>
  <c r="G27"/>
  <c r="E25"/>
  <c r="G25"/>
  <c r="E24"/>
  <c r="G24"/>
  <c r="E23"/>
  <c r="G23"/>
  <c r="E22"/>
  <c r="G22"/>
  <c r="E21"/>
  <c r="G21"/>
  <c r="D20"/>
  <c r="E19"/>
  <c r="G19"/>
  <c r="E18"/>
  <c r="G18"/>
  <c r="E17"/>
  <c r="G17"/>
  <c r="E16"/>
  <c r="G16"/>
  <c r="E15"/>
  <c r="G15"/>
  <c r="E14"/>
  <c r="G14"/>
  <c r="E13"/>
  <c r="G13"/>
  <c r="E12"/>
  <c r="G12"/>
  <c r="E11"/>
  <c r="G11"/>
  <c r="E10"/>
  <c r="G10"/>
  <c r="E9"/>
  <c r="G9"/>
  <c r="D8"/>
  <c r="D36"/>
  <c r="D41"/>
  <c r="G53" i="140"/>
  <c r="I53"/>
  <c r="K53"/>
  <c r="G52"/>
  <c r="I52"/>
  <c r="K52"/>
  <c r="F51"/>
  <c r="G49"/>
  <c r="I49"/>
  <c r="K49"/>
  <c r="G46"/>
  <c r="I46"/>
  <c r="K46"/>
  <c r="F45"/>
  <c r="F57"/>
  <c r="G34"/>
  <c r="I34"/>
  <c r="K34"/>
  <c r="G33"/>
  <c r="I33"/>
  <c r="K33"/>
  <c r="G29"/>
  <c r="I29"/>
  <c r="K29"/>
  <c r="G25"/>
  <c r="I25"/>
  <c r="K25"/>
  <c r="G21"/>
  <c r="I21"/>
  <c r="K21"/>
  <c r="F20"/>
  <c r="G15"/>
  <c r="I15"/>
  <c r="K15"/>
  <c r="F8"/>
  <c r="F36"/>
  <c r="E60" i="136"/>
  <c r="G60"/>
  <c r="I60"/>
  <c r="E59"/>
  <c r="G59"/>
  <c r="I59"/>
  <c r="E56"/>
  <c r="G56"/>
  <c r="I56"/>
  <c r="E55"/>
  <c r="G55"/>
  <c r="I55"/>
  <c r="E54"/>
  <c r="G54"/>
  <c r="I54"/>
  <c r="E53"/>
  <c r="G53"/>
  <c r="I53"/>
  <c r="E52"/>
  <c r="G52"/>
  <c r="I52"/>
  <c r="D51"/>
  <c r="E50"/>
  <c r="G50"/>
  <c r="I50"/>
  <c r="E49"/>
  <c r="G49"/>
  <c r="I49"/>
  <c r="E48"/>
  <c r="G48"/>
  <c r="I48"/>
  <c r="E47"/>
  <c r="E46"/>
  <c r="G46"/>
  <c r="I46"/>
  <c r="D45"/>
  <c r="E42"/>
  <c r="G42"/>
  <c r="I42"/>
  <c r="E40"/>
  <c r="G40"/>
  <c r="I40"/>
  <c r="E39"/>
  <c r="G39"/>
  <c r="I39"/>
  <c r="E38"/>
  <c r="G38"/>
  <c r="I38"/>
  <c r="D37"/>
  <c r="D41"/>
  <c r="E35"/>
  <c r="E34"/>
  <c r="G34"/>
  <c r="I34"/>
  <c r="E33"/>
  <c r="G33"/>
  <c r="I33"/>
  <c r="E32"/>
  <c r="G32"/>
  <c r="I32"/>
  <c r="E31"/>
  <c r="G31"/>
  <c r="I31"/>
  <c r="E29"/>
  <c r="G29"/>
  <c r="I29"/>
  <c r="E28"/>
  <c r="G28"/>
  <c r="I28"/>
  <c r="E27"/>
  <c r="G27"/>
  <c r="I27"/>
  <c r="E25"/>
  <c r="G25"/>
  <c r="I25"/>
  <c r="E24"/>
  <c r="G24"/>
  <c r="I24"/>
  <c r="E23"/>
  <c r="G23"/>
  <c r="I23"/>
  <c r="E22"/>
  <c r="G22"/>
  <c r="I22"/>
  <c r="E21"/>
  <c r="G21"/>
  <c r="I21"/>
  <c r="D20"/>
  <c r="E19"/>
  <c r="G19"/>
  <c r="I19"/>
  <c r="E18"/>
  <c r="G18"/>
  <c r="I18"/>
  <c r="E17"/>
  <c r="G17"/>
  <c r="I17"/>
  <c r="E16"/>
  <c r="G16"/>
  <c r="I16"/>
  <c r="E15"/>
  <c r="G15"/>
  <c r="I15"/>
  <c r="E14"/>
  <c r="G14"/>
  <c r="I14"/>
  <c r="E13"/>
  <c r="G13"/>
  <c r="I13"/>
  <c r="E12"/>
  <c r="G12"/>
  <c r="I12"/>
  <c r="E11"/>
  <c r="G11"/>
  <c r="I11"/>
  <c r="E10"/>
  <c r="G10"/>
  <c r="I10"/>
  <c r="E9"/>
  <c r="G9"/>
  <c r="I9"/>
  <c r="D8"/>
  <c r="D51" i="105"/>
  <c r="E60"/>
  <c r="G60"/>
  <c r="I60"/>
  <c r="E59"/>
  <c r="G59"/>
  <c r="I59"/>
  <c r="E56"/>
  <c r="G56"/>
  <c r="I56"/>
  <c r="E55"/>
  <c r="G55"/>
  <c r="I55"/>
  <c r="E54"/>
  <c r="G54"/>
  <c r="I54"/>
  <c r="E53"/>
  <c r="G53"/>
  <c r="I53"/>
  <c r="E52"/>
  <c r="G52"/>
  <c r="I52"/>
  <c r="E50"/>
  <c r="G50"/>
  <c r="I50"/>
  <c r="E49"/>
  <c r="G49"/>
  <c r="I49"/>
  <c r="E48"/>
  <c r="G48"/>
  <c r="I48"/>
  <c r="E47"/>
  <c r="G47"/>
  <c r="I47"/>
  <c r="E46"/>
  <c r="G46"/>
  <c r="I46"/>
  <c r="D45"/>
  <c r="D57"/>
  <c r="D37"/>
  <c r="D41"/>
  <c r="D8"/>
  <c r="E9"/>
  <c r="G9"/>
  <c r="I9"/>
  <c r="E10"/>
  <c r="G10"/>
  <c r="I10"/>
  <c r="E11"/>
  <c r="G11"/>
  <c r="I11"/>
  <c r="E12"/>
  <c r="G12"/>
  <c r="I12"/>
  <c r="E13"/>
  <c r="G13"/>
  <c r="I13"/>
  <c r="E14"/>
  <c r="G14"/>
  <c r="I14"/>
  <c r="E15"/>
  <c r="G15"/>
  <c r="I15"/>
  <c r="E16"/>
  <c r="G16"/>
  <c r="I16"/>
  <c r="E17"/>
  <c r="G17"/>
  <c r="I17"/>
  <c r="E18"/>
  <c r="G18"/>
  <c r="I18"/>
  <c r="E19"/>
  <c r="G19"/>
  <c r="I19"/>
  <c r="D20"/>
  <c r="E21"/>
  <c r="G21"/>
  <c r="I21"/>
  <c r="E22"/>
  <c r="G22"/>
  <c r="I22"/>
  <c r="E23"/>
  <c r="G23"/>
  <c r="I23"/>
  <c r="E24"/>
  <c r="G24"/>
  <c r="I24"/>
  <c r="E25"/>
  <c r="G25"/>
  <c r="I25"/>
  <c r="E27"/>
  <c r="G27"/>
  <c r="I27"/>
  <c r="E28"/>
  <c r="G28"/>
  <c r="I28"/>
  <c r="E29"/>
  <c r="G29"/>
  <c r="I29"/>
  <c r="E31"/>
  <c r="G31"/>
  <c r="I31"/>
  <c r="E32"/>
  <c r="G32"/>
  <c r="I32"/>
  <c r="E33"/>
  <c r="G33"/>
  <c r="I33"/>
  <c r="E34"/>
  <c r="G34"/>
  <c r="I34"/>
  <c r="E35"/>
  <c r="G35"/>
  <c r="I35"/>
  <c r="E38"/>
  <c r="G38"/>
  <c r="I38"/>
  <c r="E39"/>
  <c r="G39"/>
  <c r="I39"/>
  <c r="E40"/>
  <c r="G40"/>
  <c r="I40"/>
  <c r="E147" i="1"/>
  <c r="G147"/>
  <c r="I147"/>
  <c r="D116"/>
  <c r="E124"/>
  <c r="G124"/>
  <c r="I124"/>
  <c r="E122"/>
  <c r="G122"/>
  <c r="I122"/>
  <c r="E120"/>
  <c r="G120"/>
  <c r="I120"/>
  <c r="E118"/>
  <c r="G118"/>
  <c r="I118"/>
  <c r="E117"/>
  <c r="G117"/>
  <c r="I117"/>
  <c r="E100"/>
  <c r="G100"/>
  <c r="I100"/>
  <c r="E101"/>
  <c r="G101"/>
  <c r="I101"/>
  <c r="E102"/>
  <c r="G102"/>
  <c r="I102"/>
  <c r="E103"/>
  <c r="G103"/>
  <c r="I103"/>
  <c r="E99"/>
  <c r="G99"/>
  <c r="I99"/>
  <c r="E60"/>
  <c r="G60"/>
  <c r="I60"/>
  <c r="E78"/>
  <c r="E64"/>
  <c r="G64"/>
  <c r="I64"/>
  <c r="E65"/>
  <c r="G65"/>
  <c r="I65"/>
  <c r="E66"/>
  <c r="G66"/>
  <c r="I66"/>
  <c r="E63"/>
  <c r="G63"/>
  <c r="I63"/>
  <c r="E53"/>
  <c r="E54"/>
  <c r="G54"/>
  <c r="I54"/>
  <c r="E55"/>
  <c r="G55"/>
  <c r="I55"/>
  <c r="E56"/>
  <c r="G56"/>
  <c r="I56"/>
  <c r="E52"/>
  <c r="G52"/>
  <c r="I52"/>
  <c r="E41"/>
  <c r="G41"/>
  <c r="I41"/>
  <c r="E42"/>
  <c r="G42"/>
  <c r="I42"/>
  <c r="E43"/>
  <c r="E44"/>
  <c r="G44"/>
  <c r="I44"/>
  <c r="E45"/>
  <c r="G45"/>
  <c r="I45"/>
  <c r="E46"/>
  <c r="E47"/>
  <c r="G47"/>
  <c r="I47"/>
  <c r="E48"/>
  <c r="G48"/>
  <c r="I48"/>
  <c r="E49"/>
  <c r="G49"/>
  <c r="I49"/>
  <c r="E50"/>
  <c r="G50"/>
  <c r="I50"/>
  <c r="E40"/>
  <c r="G40"/>
  <c r="I40"/>
  <c r="E33"/>
  <c r="E34"/>
  <c r="G34"/>
  <c r="I34"/>
  <c r="E35"/>
  <c r="G35"/>
  <c r="I35"/>
  <c r="E36"/>
  <c r="G36"/>
  <c r="I36"/>
  <c r="E37"/>
  <c r="E38"/>
  <c r="G38"/>
  <c r="I38"/>
  <c r="E32"/>
  <c r="E26"/>
  <c r="G26"/>
  <c r="I26"/>
  <c r="E27"/>
  <c r="G27"/>
  <c r="I27"/>
  <c r="E28"/>
  <c r="G28"/>
  <c r="I28"/>
  <c r="E29"/>
  <c r="G29"/>
  <c r="I29"/>
  <c r="E25"/>
  <c r="G25"/>
  <c r="I25"/>
  <c r="E19"/>
  <c r="G19"/>
  <c r="I19"/>
  <c r="E20"/>
  <c r="E21"/>
  <c r="G21"/>
  <c r="I21"/>
  <c r="E22"/>
  <c r="G22"/>
  <c r="I22"/>
  <c r="E18"/>
  <c r="G18"/>
  <c r="I18"/>
  <c r="E12"/>
  <c r="E13"/>
  <c r="E14"/>
  <c r="G14"/>
  <c r="I14"/>
  <c r="E15"/>
  <c r="G15"/>
  <c r="I15"/>
  <c r="E16"/>
  <c r="E11"/>
  <c r="G11"/>
  <c r="I11"/>
  <c r="I78" i="63"/>
  <c r="K78"/>
  <c r="M78"/>
  <c r="O78"/>
  <c r="I79"/>
  <c r="K79"/>
  <c r="M79"/>
  <c r="O79"/>
  <c r="I80"/>
  <c r="K80"/>
  <c r="M80"/>
  <c r="O80"/>
  <c r="I87"/>
  <c r="K87"/>
  <c r="M87"/>
  <c r="O87"/>
  <c r="I88"/>
  <c r="K88"/>
  <c r="M88"/>
  <c r="O88"/>
  <c r="I77"/>
  <c r="K77"/>
  <c r="M77"/>
  <c r="O77"/>
  <c r="H88"/>
  <c r="B88"/>
  <c r="I21"/>
  <c r="K21"/>
  <c r="M21"/>
  <c r="O21"/>
  <c r="I22"/>
  <c r="K22"/>
  <c r="M22"/>
  <c r="O22"/>
  <c r="I23"/>
  <c r="K23"/>
  <c r="M23"/>
  <c r="O23"/>
  <c r="I24"/>
  <c r="K24"/>
  <c r="M24"/>
  <c r="O24"/>
  <c r="I25"/>
  <c r="K25"/>
  <c r="M25"/>
  <c r="O25"/>
  <c r="B2" i="64"/>
  <c r="F6"/>
  <c r="F8"/>
  <c r="F9"/>
  <c r="F10"/>
  <c r="F11"/>
  <c r="F19"/>
  <c r="B20"/>
  <c r="D20"/>
  <c r="E20"/>
  <c r="D51" i="140"/>
  <c r="D57"/>
  <c r="E60"/>
  <c r="G60"/>
  <c r="I60"/>
  <c r="K60"/>
  <c r="E59"/>
  <c r="G59"/>
  <c r="I59"/>
  <c r="K59"/>
  <c r="E56"/>
  <c r="G56"/>
  <c r="I56"/>
  <c r="K56"/>
  <c r="E55"/>
  <c r="G55"/>
  <c r="I55"/>
  <c r="K55"/>
  <c r="E54"/>
  <c r="G54"/>
  <c r="I54"/>
  <c r="K54"/>
  <c r="E53"/>
  <c r="E52"/>
  <c r="E50"/>
  <c r="G50"/>
  <c r="I50"/>
  <c r="K50"/>
  <c r="E49"/>
  <c r="E48"/>
  <c r="G48"/>
  <c r="I48"/>
  <c r="K48"/>
  <c r="E47"/>
  <c r="G47"/>
  <c r="I47"/>
  <c r="K47"/>
  <c r="E46"/>
  <c r="D45"/>
  <c r="E40"/>
  <c r="G40"/>
  <c r="I40"/>
  <c r="K40"/>
  <c r="E39"/>
  <c r="G39"/>
  <c r="I39"/>
  <c r="K39"/>
  <c r="E38"/>
  <c r="E35"/>
  <c r="G35"/>
  <c r="I35"/>
  <c r="K35"/>
  <c r="E34"/>
  <c r="E33"/>
  <c r="E32"/>
  <c r="G32"/>
  <c r="I32"/>
  <c r="K32"/>
  <c r="E31"/>
  <c r="G31"/>
  <c r="I31"/>
  <c r="K31"/>
  <c r="E29"/>
  <c r="E28"/>
  <c r="G28"/>
  <c r="I28"/>
  <c r="K28"/>
  <c r="E27"/>
  <c r="G27"/>
  <c r="I27"/>
  <c r="K27"/>
  <c r="E25"/>
  <c r="E24"/>
  <c r="G24"/>
  <c r="I24"/>
  <c r="K24"/>
  <c r="E23"/>
  <c r="G23"/>
  <c r="I23"/>
  <c r="K23"/>
  <c r="E22"/>
  <c r="G22"/>
  <c r="I22"/>
  <c r="K22"/>
  <c r="E21"/>
  <c r="D20"/>
  <c r="E19"/>
  <c r="G19"/>
  <c r="I19"/>
  <c r="K19"/>
  <c r="E18"/>
  <c r="G18"/>
  <c r="I18"/>
  <c r="K18"/>
  <c r="E17"/>
  <c r="G17"/>
  <c r="I17"/>
  <c r="K17"/>
  <c r="E16"/>
  <c r="G16"/>
  <c r="I16"/>
  <c r="K16"/>
  <c r="E15"/>
  <c r="E14"/>
  <c r="G14"/>
  <c r="I14"/>
  <c r="K14"/>
  <c r="E13"/>
  <c r="G13"/>
  <c r="I13"/>
  <c r="K13"/>
  <c r="E12"/>
  <c r="G12"/>
  <c r="I12"/>
  <c r="K12"/>
  <c r="E11"/>
  <c r="G11"/>
  <c r="I11"/>
  <c r="K11"/>
  <c r="E10"/>
  <c r="G10"/>
  <c r="I10"/>
  <c r="K10"/>
  <c r="E9"/>
  <c r="G9"/>
  <c r="I9"/>
  <c r="K9"/>
  <c r="D8"/>
  <c r="D36"/>
  <c r="D41"/>
  <c r="E60" i="79"/>
  <c r="G60"/>
  <c r="I60"/>
  <c r="K60"/>
  <c r="E61"/>
  <c r="G61"/>
  <c r="I61"/>
  <c r="K61"/>
  <c r="E53"/>
  <c r="E54"/>
  <c r="G54"/>
  <c r="I54"/>
  <c r="K54"/>
  <c r="E55"/>
  <c r="G55"/>
  <c r="I55"/>
  <c r="K55"/>
  <c r="E56"/>
  <c r="G56"/>
  <c r="I56"/>
  <c r="K56"/>
  <c r="E57"/>
  <c r="G57"/>
  <c r="I57"/>
  <c r="K57"/>
  <c r="D58"/>
  <c r="E48"/>
  <c r="G48"/>
  <c r="I48"/>
  <c r="K48"/>
  <c r="E49"/>
  <c r="G49"/>
  <c r="I49"/>
  <c r="K49"/>
  <c r="E50"/>
  <c r="G50"/>
  <c r="I50"/>
  <c r="K50"/>
  <c r="E51"/>
  <c r="G51"/>
  <c r="I51"/>
  <c r="K51"/>
  <c r="E47"/>
  <c r="G47"/>
  <c r="I47"/>
  <c r="K47"/>
  <c r="D46"/>
  <c r="D38"/>
  <c r="D37"/>
  <c r="D42"/>
  <c r="E9"/>
  <c r="G9"/>
  <c r="I9"/>
  <c r="K9"/>
  <c r="E10"/>
  <c r="G10"/>
  <c r="I10"/>
  <c r="K10"/>
  <c r="E11"/>
  <c r="G11"/>
  <c r="I11"/>
  <c r="K11"/>
  <c r="E12"/>
  <c r="G12"/>
  <c r="I12"/>
  <c r="K12"/>
  <c r="E13"/>
  <c r="G13"/>
  <c r="I13"/>
  <c r="K13"/>
  <c r="E14"/>
  <c r="G14"/>
  <c r="I14"/>
  <c r="K14"/>
  <c r="E15"/>
  <c r="G15"/>
  <c r="I15"/>
  <c r="K15"/>
  <c r="E16"/>
  <c r="G16"/>
  <c r="I16"/>
  <c r="K16"/>
  <c r="E17"/>
  <c r="G17"/>
  <c r="I17"/>
  <c r="K17"/>
  <c r="E18"/>
  <c r="G18"/>
  <c r="I18"/>
  <c r="K18"/>
  <c r="E19"/>
  <c r="G19"/>
  <c r="I19"/>
  <c r="K19"/>
  <c r="E21"/>
  <c r="G21"/>
  <c r="I21"/>
  <c r="K21"/>
  <c r="E22"/>
  <c r="G22"/>
  <c r="I22"/>
  <c r="K22"/>
  <c r="E23"/>
  <c r="G23"/>
  <c r="I23"/>
  <c r="K23"/>
  <c r="E24"/>
  <c r="G24"/>
  <c r="I24"/>
  <c r="K24"/>
  <c r="E25"/>
  <c r="G25"/>
  <c r="I25"/>
  <c r="K25"/>
  <c r="E27"/>
  <c r="E28"/>
  <c r="G28"/>
  <c r="I28"/>
  <c r="K28"/>
  <c r="E29"/>
  <c r="G29"/>
  <c r="I29"/>
  <c r="K29"/>
  <c r="E30"/>
  <c r="G30"/>
  <c r="I30"/>
  <c r="K30"/>
  <c r="E32"/>
  <c r="G32"/>
  <c r="I32"/>
  <c r="K32"/>
  <c r="E33"/>
  <c r="G33"/>
  <c r="I33"/>
  <c r="K33"/>
  <c r="E34"/>
  <c r="G34"/>
  <c r="I34"/>
  <c r="K34"/>
  <c r="E35"/>
  <c r="G35"/>
  <c r="I35"/>
  <c r="K35"/>
  <c r="E36"/>
  <c r="G36"/>
  <c r="I36"/>
  <c r="K36"/>
  <c r="E39"/>
  <c r="E40"/>
  <c r="G40"/>
  <c r="I40"/>
  <c r="K40"/>
  <c r="E41"/>
  <c r="G41"/>
  <c r="I41"/>
  <c r="K41"/>
  <c r="D8"/>
  <c r="D20"/>
  <c r="E142" i="3"/>
  <c r="G142"/>
  <c r="I142"/>
  <c r="E111"/>
  <c r="G111"/>
  <c r="I111"/>
  <c r="D111"/>
  <c r="D119"/>
  <c r="E119"/>
  <c r="E118"/>
  <c r="G118"/>
  <c r="I118"/>
  <c r="E120"/>
  <c r="G120"/>
  <c r="I120"/>
  <c r="E121"/>
  <c r="G121"/>
  <c r="I121"/>
  <c r="E122"/>
  <c r="G122"/>
  <c r="I122"/>
  <c r="E123"/>
  <c r="G123"/>
  <c r="I123"/>
  <c r="E124"/>
  <c r="G124"/>
  <c r="I124"/>
  <c r="E125"/>
  <c r="G125"/>
  <c r="I125"/>
  <c r="E126"/>
  <c r="E127"/>
  <c r="G127"/>
  <c r="I127"/>
  <c r="E117"/>
  <c r="E115"/>
  <c r="G115"/>
  <c r="E95"/>
  <c r="G95"/>
  <c r="I95"/>
  <c r="E96"/>
  <c r="E97"/>
  <c r="G97"/>
  <c r="I97"/>
  <c r="E98"/>
  <c r="E94"/>
  <c r="G94"/>
  <c r="I94"/>
  <c r="E14"/>
  <c r="E16"/>
  <c r="G16"/>
  <c r="I16"/>
  <c r="E17"/>
  <c r="G17"/>
  <c r="I17"/>
  <c r="E18"/>
  <c r="G18"/>
  <c r="I18"/>
  <c r="E19"/>
  <c r="G19"/>
  <c r="I19"/>
  <c r="E20"/>
  <c r="G20"/>
  <c r="I20"/>
  <c r="E21"/>
  <c r="E23"/>
  <c r="E24"/>
  <c r="G24"/>
  <c r="I24"/>
  <c r="E25"/>
  <c r="G25"/>
  <c r="I25"/>
  <c r="E26"/>
  <c r="G26"/>
  <c r="I26"/>
  <c r="E27"/>
  <c r="E31"/>
  <c r="G31"/>
  <c r="I31"/>
  <c r="E32"/>
  <c r="G32"/>
  <c r="I32"/>
  <c r="E33"/>
  <c r="E34"/>
  <c r="G34"/>
  <c r="I34"/>
  <c r="E35"/>
  <c r="G35"/>
  <c r="I35"/>
  <c r="E36"/>
  <c r="E38"/>
  <c r="G38"/>
  <c r="I38"/>
  <c r="E39"/>
  <c r="G39"/>
  <c r="I39"/>
  <c r="E40"/>
  <c r="G40"/>
  <c r="I40"/>
  <c r="E41"/>
  <c r="E42"/>
  <c r="G42"/>
  <c r="I42"/>
  <c r="E43"/>
  <c r="G43"/>
  <c r="I43"/>
  <c r="E44"/>
  <c r="G44"/>
  <c r="I44"/>
  <c r="E45"/>
  <c r="E46"/>
  <c r="G46"/>
  <c r="I46"/>
  <c r="E47"/>
  <c r="G47"/>
  <c r="I47"/>
  <c r="E48"/>
  <c r="G48"/>
  <c r="I48"/>
  <c r="E50"/>
  <c r="G50"/>
  <c r="I50"/>
  <c r="E51"/>
  <c r="G51"/>
  <c r="I51"/>
  <c r="E52"/>
  <c r="G52"/>
  <c r="I52"/>
  <c r="E53"/>
  <c r="G53"/>
  <c r="I53"/>
  <c r="E54"/>
  <c r="G54"/>
  <c r="I54"/>
  <c r="E56"/>
  <c r="G56"/>
  <c r="I56"/>
  <c r="E57"/>
  <c r="G57"/>
  <c r="I57"/>
  <c r="E58"/>
  <c r="G58"/>
  <c r="I58"/>
  <c r="E61"/>
  <c r="G61"/>
  <c r="I61"/>
  <c r="E62"/>
  <c r="E63"/>
  <c r="G63"/>
  <c r="I63"/>
  <c r="E64"/>
  <c r="G64"/>
  <c r="I64"/>
  <c r="E67"/>
  <c r="G67"/>
  <c r="I67"/>
  <c r="E68"/>
  <c r="G68"/>
  <c r="I68"/>
  <c r="E69"/>
  <c r="G69"/>
  <c r="I69"/>
  <c r="E71"/>
  <c r="E72"/>
  <c r="E73"/>
  <c r="G73"/>
  <c r="I73"/>
  <c r="E74"/>
  <c r="G74"/>
  <c r="I74"/>
  <c r="E76"/>
  <c r="G76"/>
  <c r="I76"/>
  <c r="E77"/>
  <c r="G77"/>
  <c r="I77"/>
  <c r="E79"/>
  <c r="G79"/>
  <c r="I79"/>
  <c r="E80"/>
  <c r="G80"/>
  <c r="I80"/>
  <c r="E81"/>
  <c r="G81"/>
  <c r="I81"/>
  <c r="E83"/>
  <c r="G83"/>
  <c r="I83"/>
  <c r="E84"/>
  <c r="G84"/>
  <c r="I84"/>
  <c r="E85"/>
  <c r="G85"/>
  <c r="I85"/>
  <c r="E86"/>
  <c r="G86"/>
  <c r="I86"/>
  <c r="E87"/>
  <c r="G87"/>
  <c r="I87"/>
  <c r="E88"/>
  <c r="G88"/>
  <c r="I88"/>
  <c r="E9"/>
  <c r="G9"/>
  <c r="I9"/>
  <c r="E10"/>
  <c r="E11"/>
  <c r="G11"/>
  <c r="I11"/>
  <c r="E12"/>
  <c r="G12"/>
  <c r="I12"/>
  <c r="E13"/>
  <c r="G13"/>
  <c r="I13"/>
  <c r="E146"/>
  <c r="E140"/>
  <c r="E154"/>
  <c r="E133"/>
  <c r="E129"/>
  <c r="D146"/>
  <c r="D140"/>
  <c r="D133"/>
  <c r="D129"/>
  <c r="D114"/>
  <c r="D93"/>
  <c r="D82"/>
  <c r="D78"/>
  <c r="D75"/>
  <c r="D70"/>
  <c r="D66"/>
  <c r="D89"/>
  <c r="D90"/>
  <c r="D60"/>
  <c r="D55"/>
  <c r="D49"/>
  <c r="D37"/>
  <c r="D29"/>
  <c r="D22"/>
  <c r="D15"/>
  <c r="D8"/>
  <c r="E150" i="1"/>
  <c r="E138"/>
  <c r="E134"/>
  <c r="E158"/>
  <c r="E95"/>
  <c r="E162"/>
  <c r="E84"/>
  <c r="E80"/>
  <c r="E72"/>
  <c r="E68"/>
  <c r="D150"/>
  <c r="D145"/>
  <c r="D138"/>
  <c r="D134"/>
  <c r="D119"/>
  <c r="D98"/>
  <c r="D95"/>
  <c r="D84"/>
  <c r="D80"/>
  <c r="D77"/>
  <c r="D72"/>
  <c r="D68"/>
  <c r="D91"/>
  <c r="D62"/>
  <c r="D57"/>
  <c r="D51"/>
  <c r="D39"/>
  <c r="D31"/>
  <c r="D24"/>
  <c r="D17"/>
  <c r="D10"/>
  <c r="B74" i="63"/>
  <c r="I20"/>
  <c r="K20"/>
  <c r="M20"/>
  <c r="O20"/>
  <c r="C3" i="172"/>
  <c r="B1"/>
  <c r="D1"/>
  <c r="C25"/>
  <c r="C8" i="130"/>
  <c r="C96"/>
  <c r="B2" i="148"/>
  <c r="B2" i="149"/>
  <c r="B2" i="150"/>
  <c r="B2" i="151"/>
  <c r="B2" i="144"/>
  <c r="B2" i="145"/>
  <c r="B2" i="146"/>
  <c r="B2" i="147"/>
  <c r="B2" i="140"/>
  <c r="B2" i="141"/>
  <c r="B2" i="142"/>
  <c r="B2" i="143"/>
  <c r="C18" i="73"/>
  <c r="B2" i="119"/>
  <c r="C51" i="149"/>
  <c r="B2" i="79"/>
  <c r="B2" i="89"/>
  <c r="A1" i="71"/>
  <c r="B2" i="63"/>
  <c r="B2" i="78"/>
  <c r="B2" i="77"/>
  <c r="B2" i="62"/>
  <c r="B36" i="134"/>
  <c r="B35"/>
  <c r="B34"/>
  <c r="B33"/>
  <c r="B32"/>
  <c r="B31"/>
  <c r="B30"/>
  <c r="B29"/>
  <c r="B27"/>
  <c r="E1" i="128"/>
  <c r="D1" i="70"/>
  <c r="O1" i="24"/>
  <c r="D1" i="88"/>
  <c r="J1" i="66"/>
  <c r="E1" i="87"/>
  <c r="C1" i="151"/>
  <c r="C1" i="150"/>
  <c r="C1" i="149"/>
  <c r="C1" i="148"/>
  <c r="C1" i="147"/>
  <c r="C1" i="146"/>
  <c r="C1" i="145"/>
  <c r="C1" i="144"/>
  <c r="C1" i="143"/>
  <c r="C1" i="142"/>
  <c r="C1" i="141"/>
  <c r="C1" i="140"/>
  <c r="C1" i="139"/>
  <c r="C1" i="138"/>
  <c r="C1" i="137"/>
  <c r="C1" i="136"/>
  <c r="C1" i="127"/>
  <c r="C1" i="126"/>
  <c r="C1" i="125"/>
  <c r="C1" i="105"/>
  <c r="B2"/>
  <c r="B2" i="125"/>
  <c r="B2" i="126"/>
  <c r="B2" i="127"/>
  <c r="C1" i="124"/>
  <c r="C1" i="123"/>
  <c r="C1" i="122"/>
  <c r="C1" i="79"/>
  <c r="C1" i="121"/>
  <c r="C1" i="120"/>
  <c r="C1" i="119"/>
  <c r="C1" i="3"/>
  <c r="F1" i="61"/>
  <c r="F1" i="73"/>
  <c r="B1" i="132"/>
  <c r="B1" i="131"/>
  <c r="B1" i="130"/>
  <c r="B1" i="1"/>
  <c r="B2" i="3"/>
  <c r="B28" i="134"/>
  <c r="A2" i="128"/>
  <c r="C6"/>
  <c r="C29"/>
  <c r="D6"/>
  <c r="D29"/>
  <c r="E6"/>
  <c r="E29"/>
  <c r="C11"/>
  <c r="C23"/>
  <c r="C25"/>
  <c r="D12"/>
  <c r="D11"/>
  <c r="D23"/>
  <c r="D25"/>
  <c r="D39"/>
  <c r="E12"/>
  <c r="E11"/>
  <c r="E23"/>
  <c r="E25"/>
  <c r="C32"/>
  <c r="C36"/>
  <c r="C38"/>
  <c r="D32"/>
  <c r="D36"/>
  <c r="D38"/>
  <c r="E32"/>
  <c r="E36"/>
  <c r="E38"/>
  <c r="A2" i="70"/>
  <c r="D39"/>
  <c r="A2" i="24"/>
  <c r="O6"/>
  <c r="O7"/>
  <c r="O8"/>
  <c r="O9"/>
  <c r="O10"/>
  <c r="O11"/>
  <c r="O12"/>
  <c r="O13"/>
  <c r="O14"/>
  <c r="C15"/>
  <c r="C27"/>
  <c r="D15"/>
  <c r="E15"/>
  <c r="F15"/>
  <c r="F27"/>
  <c r="G15"/>
  <c r="G27"/>
  <c r="H15"/>
  <c r="H27"/>
  <c r="I15"/>
  <c r="J15"/>
  <c r="J27"/>
  <c r="K15"/>
  <c r="K27"/>
  <c r="L15"/>
  <c r="M15"/>
  <c r="M27"/>
  <c r="N15"/>
  <c r="O17"/>
  <c r="O18"/>
  <c r="O19"/>
  <c r="O20"/>
  <c r="O21"/>
  <c r="O22"/>
  <c r="O23"/>
  <c r="O24"/>
  <c r="O25"/>
  <c r="C26"/>
  <c r="D26"/>
  <c r="E26"/>
  <c r="F26"/>
  <c r="G26"/>
  <c r="H26"/>
  <c r="I26"/>
  <c r="J26"/>
  <c r="K26"/>
  <c r="L26"/>
  <c r="L27"/>
  <c r="M26"/>
  <c r="N26"/>
  <c r="C32" i="88"/>
  <c r="D32"/>
  <c r="D3" i="66"/>
  <c r="E4"/>
  <c r="F4"/>
  <c r="G4"/>
  <c r="H4"/>
  <c r="D6"/>
  <c r="E6"/>
  <c r="F6"/>
  <c r="I6"/>
  <c r="G6"/>
  <c r="H6"/>
  <c r="I7"/>
  <c r="I8"/>
  <c r="D9"/>
  <c r="E9"/>
  <c r="F9"/>
  <c r="G9"/>
  <c r="H9"/>
  <c r="H18"/>
  <c r="I10"/>
  <c r="I11"/>
  <c r="D12"/>
  <c r="E12"/>
  <c r="F12"/>
  <c r="I12"/>
  <c r="G12"/>
  <c r="H12"/>
  <c r="I13"/>
  <c r="D14"/>
  <c r="I14"/>
  <c r="E14"/>
  <c r="F14"/>
  <c r="G14"/>
  <c r="G18"/>
  <c r="H14"/>
  <c r="I15"/>
  <c r="D16"/>
  <c r="E16"/>
  <c r="E18"/>
  <c r="F16"/>
  <c r="G16"/>
  <c r="H16"/>
  <c r="I17"/>
  <c r="A2" i="87"/>
  <c r="C6"/>
  <c r="C94"/>
  <c r="D6"/>
  <c r="D94"/>
  <c r="C8"/>
  <c r="D8"/>
  <c r="D65"/>
  <c r="D90"/>
  <c r="E8"/>
  <c r="C15"/>
  <c r="D15"/>
  <c r="E15"/>
  <c r="E65"/>
  <c r="E90"/>
  <c r="C22"/>
  <c r="D22"/>
  <c r="E22"/>
  <c r="C29"/>
  <c r="C65"/>
  <c r="C90"/>
  <c r="D29"/>
  <c r="E29"/>
  <c r="C37"/>
  <c r="D37"/>
  <c r="E37"/>
  <c r="C49"/>
  <c r="D49"/>
  <c r="E49"/>
  <c r="C55"/>
  <c r="D55"/>
  <c r="E55"/>
  <c r="C60"/>
  <c r="D60"/>
  <c r="E60"/>
  <c r="C66"/>
  <c r="D66"/>
  <c r="E66"/>
  <c r="E89"/>
  <c r="C70"/>
  <c r="D70"/>
  <c r="E70"/>
  <c r="C75"/>
  <c r="C89"/>
  <c r="D75"/>
  <c r="E75"/>
  <c r="C78"/>
  <c r="D78"/>
  <c r="E78"/>
  <c r="C82"/>
  <c r="D82"/>
  <c r="E82"/>
  <c r="C96"/>
  <c r="C131"/>
  <c r="C157"/>
  <c r="D96"/>
  <c r="E96"/>
  <c r="C117"/>
  <c r="D117"/>
  <c r="D131"/>
  <c r="D157"/>
  <c r="E117"/>
  <c r="E131"/>
  <c r="C132"/>
  <c r="D132"/>
  <c r="E132"/>
  <c r="E156"/>
  <c r="C136"/>
  <c r="D136"/>
  <c r="E136"/>
  <c r="C143"/>
  <c r="D143"/>
  <c r="D156"/>
  <c r="E143"/>
  <c r="C148"/>
  <c r="D148"/>
  <c r="E148"/>
  <c r="G13" i="89"/>
  <c r="G14"/>
  <c r="G15"/>
  <c r="G16"/>
  <c r="G17"/>
  <c r="G18"/>
  <c r="C19"/>
  <c r="D19"/>
  <c r="E19"/>
  <c r="G19"/>
  <c r="F19"/>
  <c r="A23"/>
  <c r="C8" i="151"/>
  <c r="C20"/>
  <c r="C36"/>
  <c r="C41"/>
  <c r="C26"/>
  <c r="C30"/>
  <c r="C37"/>
  <c r="C45"/>
  <c r="C57"/>
  <c r="C51"/>
  <c r="C8" i="150"/>
  <c r="C20"/>
  <c r="C36"/>
  <c r="C41"/>
  <c r="C26"/>
  <c r="C30"/>
  <c r="C37"/>
  <c r="C45"/>
  <c r="C57"/>
  <c r="C51"/>
  <c r="C8" i="149"/>
  <c r="C36"/>
  <c r="C41"/>
  <c r="C58"/>
  <c r="C20"/>
  <c r="C26"/>
  <c r="C30"/>
  <c r="C37"/>
  <c r="C45"/>
  <c r="C57"/>
  <c r="C8" i="148"/>
  <c r="C20"/>
  <c r="E20"/>
  <c r="G20"/>
  <c r="C26"/>
  <c r="E26"/>
  <c r="G26"/>
  <c r="I26"/>
  <c r="C30"/>
  <c r="E30"/>
  <c r="G30"/>
  <c r="I30"/>
  <c r="C37"/>
  <c r="C45"/>
  <c r="C57"/>
  <c r="E57"/>
  <c r="C51"/>
  <c r="E51"/>
  <c r="G51"/>
  <c r="C8" i="147"/>
  <c r="C36"/>
  <c r="C41"/>
  <c r="C58"/>
  <c r="C20"/>
  <c r="C26"/>
  <c r="C30"/>
  <c r="C37"/>
  <c r="C45"/>
  <c r="C51"/>
  <c r="C8" i="146"/>
  <c r="C20"/>
  <c r="C26"/>
  <c r="C30"/>
  <c r="C37"/>
  <c r="C45"/>
  <c r="C51"/>
  <c r="C8" i="145"/>
  <c r="C36"/>
  <c r="C20"/>
  <c r="C26"/>
  <c r="C30"/>
  <c r="C37"/>
  <c r="C45"/>
  <c r="C51"/>
  <c r="C57"/>
  <c r="C8" i="144"/>
  <c r="E8"/>
  <c r="G8"/>
  <c r="C20"/>
  <c r="C26"/>
  <c r="E26"/>
  <c r="G26"/>
  <c r="C30"/>
  <c r="E30"/>
  <c r="G30"/>
  <c r="C37"/>
  <c r="C45"/>
  <c r="C57"/>
  <c r="C51"/>
  <c r="E51"/>
  <c r="G51"/>
  <c r="C8" i="143"/>
  <c r="C20"/>
  <c r="C36"/>
  <c r="C41"/>
  <c r="C58"/>
  <c r="C26"/>
  <c r="C30"/>
  <c r="C37"/>
  <c r="C45"/>
  <c r="C51"/>
  <c r="C57"/>
  <c r="C8" i="142"/>
  <c r="C20"/>
  <c r="C36"/>
  <c r="C41"/>
  <c r="C58"/>
  <c r="C26"/>
  <c r="C30"/>
  <c r="C37"/>
  <c r="C45"/>
  <c r="C51"/>
  <c r="C8" i="141"/>
  <c r="C20"/>
  <c r="C26"/>
  <c r="C30"/>
  <c r="C36"/>
  <c r="C41"/>
  <c r="C58"/>
  <c r="C37"/>
  <c r="C45"/>
  <c r="C57"/>
  <c r="C51"/>
  <c r="C8" i="140"/>
  <c r="C20"/>
  <c r="E20"/>
  <c r="G20"/>
  <c r="I20"/>
  <c r="K20"/>
  <c r="C26"/>
  <c r="E26"/>
  <c r="G26"/>
  <c r="I26"/>
  <c r="K26"/>
  <c r="C30"/>
  <c r="E30"/>
  <c r="G30"/>
  <c r="I30"/>
  <c r="K30"/>
  <c r="C37"/>
  <c r="C45"/>
  <c r="C57"/>
  <c r="E57"/>
  <c r="G57"/>
  <c r="I57"/>
  <c r="K57"/>
  <c r="C51"/>
  <c r="E51"/>
  <c r="G51"/>
  <c r="I51"/>
  <c r="K51"/>
  <c r="C8" i="139"/>
  <c r="C36"/>
  <c r="C41"/>
  <c r="C20"/>
  <c r="C26"/>
  <c r="C30"/>
  <c r="C37"/>
  <c r="C45"/>
  <c r="C51"/>
  <c r="C57"/>
  <c r="C8" i="138"/>
  <c r="C20"/>
  <c r="C26"/>
  <c r="C30"/>
  <c r="C37"/>
  <c r="C45"/>
  <c r="C51"/>
  <c r="C57"/>
  <c r="C8" i="137"/>
  <c r="C20"/>
  <c r="C26"/>
  <c r="C30"/>
  <c r="C37"/>
  <c r="C45"/>
  <c r="C51"/>
  <c r="B2" i="136"/>
  <c r="B2" i="137"/>
  <c r="B2" i="138"/>
  <c r="B2" i="139"/>
  <c r="C8" i="136"/>
  <c r="E8"/>
  <c r="G8"/>
  <c r="I8"/>
  <c r="C20"/>
  <c r="E20"/>
  <c r="G20"/>
  <c r="I20"/>
  <c r="C26"/>
  <c r="E26"/>
  <c r="G26"/>
  <c r="I26"/>
  <c r="C30"/>
  <c r="E30"/>
  <c r="G30"/>
  <c r="I30"/>
  <c r="C37"/>
  <c r="C45"/>
  <c r="E45"/>
  <c r="G45"/>
  <c r="C51"/>
  <c r="E51"/>
  <c r="C8" i="127"/>
  <c r="C20"/>
  <c r="C26"/>
  <c r="C30"/>
  <c r="C37"/>
  <c r="C45"/>
  <c r="C51"/>
  <c r="C8" i="126"/>
  <c r="C36"/>
  <c r="C41"/>
  <c r="C58"/>
  <c r="C20"/>
  <c r="C26"/>
  <c r="C30"/>
  <c r="C37"/>
  <c r="C45"/>
  <c r="C51"/>
  <c r="C57"/>
  <c r="C8" i="125"/>
  <c r="C36"/>
  <c r="C41"/>
  <c r="C20"/>
  <c r="C26"/>
  <c r="C30"/>
  <c r="C37"/>
  <c r="C45"/>
  <c r="C57"/>
  <c r="C51"/>
  <c r="C8" i="105"/>
  <c r="E8"/>
  <c r="G8"/>
  <c r="I8"/>
  <c r="C20"/>
  <c r="E20"/>
  <c r="G20"/>
  <c r="I20"/>
  <c r="C26"/>
  <c r="E26"/>
  <c r="G26"/>
  <c r="I26"/>
  <c r="C30"/>
  <c r="E30"/>
  <c r="G30"/>
  <c r="I30"/>
  <c r="C37"/>
  <c r="E37"/>
  <c r="G37"/>
  <c r="I37"/>
  <c r="C45"/>
  <c r="C57"/>
  <c r="E57"/>
  <c r="G57"/>
  <c r="C51"/>
  <c r="E51"/>
  <c r="B2" i="124"/>
  <c r="C8"/>
  <c r="C37"/>
  <c r="C42"/>
  <c r="C59"/>
  <c r="C20"/>
  <c r="C26"/>
  <c r="C31"/>
  <c r="C38"/>
  <c r="C46"/>
  <c r="C52"/>
  <c r="B2" i="123"/>
  <c r="C8"/>
  <c r="C20"/>
  <c r="C26"/>
  <c r="C31"/>
  <c r="C37"/>
  <c r="C42"/>
  <c r="C59"/>
  <c r="C38"/>
  <c r="C46"/>
  <c r="C52"/>
  <c r="C58"/>
  <c r="B2" i="122"/>
  <c r="C8"/>
  <c r="C20"/>
  <c r="C37"/>
  <c r="C42"/>
  <c r="C26"/>
  <c r="C31"/>
  <c r="C38"/>
  <c r="C46"/>
  <c r="C58"/>
  <c r="C52"/>
  <c r="C8" i="79"/>
  <c r="E8"/>
  <c r="G8"/>
  <c r="I8"/>
  <c r="K8"/>
  <c r="C37"/>
  <c r="E37"/>
  <c r="C20"/>
  <c r="E20"/>
  <c r="G20"/>
  <c r="I20"/>
  <c r="K20"/>
  <c r="C26"/>
  <c r="E26"/>
  <c r="G26"/>
  <c r="I26"/>
  <c r="K26"/>
  <c r="C31"/>
  <c r="E31"/>
  <c r="G31"/>
  <c r="I31"/>
  <c r="K31"/>
  <c r="C38"/>
  <c r="E38"/>
  <c r="G38"/>
  <c r="I38"/>
  <c r="K38"/>
  <c r="C46"/>
  <c r="E46"/>
  <c r="G46"/>
  <c r="I46"/>
  <c r="K46"/>
  <c r="C52"/>
  <c r="E52"/>
  <c r="G52"/>
  <c r="I52"/>
  <c r="K52"/>
  <c r="B2" i="121"/>
  <c r="C8"/>
  <c r="C65"/>
  <c r="C90"/>
  <c r="C15"/>
  <c r="C22"/>
  <c r="C29"/>
  <c r="C37"/>
  <c r="C49"/>
  <c r="C55"/>
  <c r="C60"/>
  <c r="C66"/>
  <c r="C70"/>
  <c r="C75"/>
  <c r="C89"/>
  <c r="C78"/>
  <c r="C82"/>
  <c r="C93"/>
  <c r="C114"/>
  <c r="C128"/>
  <c r="C129"/>
  <c r="C154"/>
  <c r="C133"/>
  <c r="C140"/>
  <c r="C146"/>
  <c r="B2" i="120"/>
  <c r="C8"/>
  <c r="C15"/>
  <c r="C22"/>
  <c r="C29"/>
  <c r="C37"/>
  <c r="C49"/>
  <c r="C55"/>
  <c r="C60"/>
  <c r="C66"/>
  <c r="C70"/>
  <c r="C75"/>
  <c r="C78"/>
  <c r="C82"/>
  <c r="C89"/>
  <c r="C93"/>
  <c r="C128"/>
  <c r="C114"/>
  <c r="C129"/>
  <c r="C154"/>
  <c r="C133"/>
  <c r="C140"/>
  <c r="C146"/>
  <c r="C8" i="119"/>
  <c r="C15"/>
  <c r="C22"/>
  <c r="C29"/>
  <c r="C37"/>
  <c r="C49"/>
  <c r="C55"/>
  <c r="C60"/>
  <c r="C66"/>
  <c r="C70"/>
  <c r="C75"/>
  <c r="C78"/>
  <c r="C82"/>
  <c r="C93"/>
  <c r="C128"/>
  <c r="C114"/>
  <c r="C129"/>
  <c r="C133"/>
  <c r="C140"/>
  <c r="C146"/>
  <c r="C8" i="3"/>
  <c r="E8"/>
  <c r="G8"/>
  <c r="I8"/>
  <c r="C15"/>
  <c r="E15"/>
  <c r="G15"/>
  <c r="I15"/>
  <c r="C22"/>
  <c r="E22"/>
  <c r="G22"/>
  <c r="I22"/>
  <c r="E30"/>
  <c r="G30"/>
  <c r="I30"/>
  <c r="C29"/>
  <c r="E29"/>
  <c r="G29"/>
  <c r="I29"/>
  <c r="C37"/>
  <c r="E37"/>
  <c r="C49"/>
  <c r="E49"/>
  <c r="G49"/>
  <c r="I49"/>
  <c r="C55"/>
  <c r="E55"/>
  <c r="G55"/>
  <c r="I55"/>
  <c r="C60"/>
  <c r="E60"/>
  <c r="G60"/>
  <c r="I60"/>
  <c r="C66"/>
  <c r="E66"/>
  <c r="G66"/>
  <c r="I66"/>
  <c r="C70"/>
  <c r="E70"/>
  <c r="G70"/>
  <c r="I70"/>
  <c r="C75"/>
  <c r="E75"/>
  <c r="G75"/>
  <c r="I75"/>
  <c r="C78"/>
  <c r="E78"/>
  <c r="G78"/>
  <c r="I78"/>
  <c r="C82"/>
  <c r="E82"/>
  <c r="G82"/>
  <c r="I82"/>
  <c r="C93"/>
  <c r="C114"/>
  <c r="C128"/>
  <c r="C155"/>
  <c r="C129"/>
  <c r="C154"/>
  <c r="C133"/>
  <c r="C140"/>
  <c r="C146"/>
  <c r="B7" i="71"/>
  <c r="B17"/>
  <c r="B28"/>
  <c r="B38"/>
  <c r="C7"/>
  <c r="C17"/>
  <c r="C28"/>
  <c r="C38"/>
  <c r="D7"/>
  <c r="D17"/>
  <c r="D28"/>
  <c r="D38"/>
  <c r="E8"/>
  <c r="E9"/>
  <c r="E10"/>
  <c r="E11"/>
  <c r="E12"/>
  <c r="E13"/>
  <c r="E14"/>
  <c r="B15"/>
  <c r="C15"/>
  <c r="D15"/>
  <c r="E18"/>
  <c r="E19"/>
  <c r="E20"/>
  <c r="E21"/>
  <c r="E22"/>
  <c r="E23"/>
  <c r="B24"/>
  <c r="C24"/>
  <c r="D24"/>
  <c r="E29"/>
  <c r="E30"/>
  <c r="E31"/>
  <c r="E36"/>
  <c r="E32"/>
  <c r="E33"/>
  <c r="E34"/>
  <c r="E35"/>
  <c r="B36"/>
  <c r="C36"/>
  <c r="D36"/>
  <c r="E39"/>
  <c r="E40"/>
  <c r="E41"/>
  <c r="E42"/>
  <c r="E43"/>
  <c r="B44"/>
  <c r="C44"/>
  <c r="D44"/>
  <c r="A46"/>
  <c r="D51"/>
  <c r="D6" i="63"/>
  <c r="D6" i="64"/>
  <c r="H9" i="63"/>
  <c r="H10"/>
  <c r="H11"/>
  <c r="I11"/>
  <c r="K11"/>
  <c r="M11"/>
  <c r="O11"/>
  <c r="H12"/>
  <c r="I12"/>
  <c r="K12"/>
  <c r="M12"/>
  <c r="O12"/>
  <c r="H13"/>
  <c r="I13"/>
  <c r="K13"/>
  <c r="M13"/>
  <c r="O13"/>
  <c r="H14"/>
  <c r="I14"/>
  <c r="K14"/>
  <c r="M14"/>
  <c r="O14"/>
  <c r="H15"/>
  <c r="I15"/>
  <c r="K15"/>
  <c r="M15"/>
  <c r="O15"/>
  <c r="H16"/>
  <c r="I16"/>
  <c r="K16"/>
  <c r="M16"/>
  <c r="O16"/>
  <c r="H17"/>
  <c r="I17"/>
  <c r="K17"/>
  <c r="M17"/>
  <c r="O17"/>
  <c r="H18"/>
  <c r="I18"/>
  <c r="K18"/>
  <c r="M18"/>
  <c r="O18"/>
  <c r="H19"/>
  <c r="I19"/>
  <c r="K19"/>
  <c r="M19"/>
  <c r="O19"/>
  <c r="D74"/>
  <c r="E74"/>
  <c r="C11" i="78"/>
  <c r="C14" i="77"/>
  <c r="C7" i="62"/>
  <c r="D7"/>
  <c r="E7"/>
  <c r="F9"/>
  <c r="F10"/>
  <c r="F11"/>
  <c r="F12"/>
  <c r="F13"/>
  <c r="C14"/>
  <c r="D14"/>
  <c r="E14"/>
  <c r="A4" i="76"/>
  <c r="E2" i="61"/>
  <c r="C5" i="77"/>
  <c r="C5" i="78"/>
  <c r="H5" i="63"/>
  <c r="F5" i="64"/>
  <c r="C17" i="61"/>
  <c r="E17"/>
  <c r="C18"/>
  <c r="C24"/>
  <c r="E30"/>
  <c r="E2" i="73"/>
  <c r="E18"/>
  <c r="C19"/>
  <c r="C24"/>
  <c r="E29"/>
  <c r="D14" i="76"/>
  <c r="B2" i="132"/>
  <c r="C7"/>
  <c r="C95"/>
  <c r="C162"/>
  <c r="C8"/>
  <c r="C96"/>
  <c r="C10"/>
  <c r="C17"/>
  <c r="C67"/>
  <c r="C24"/>
  <c r="C31"/>
  <c r="C39"/>
  <c r="C51"/>
  <c r="C57"/>
  <c r="C62"/>
  <c r="C68"/>
  <c r="C91"/>
  <c r="C164"/>
  <c r="C72"/>
  <c r="C77"/>
  <c r="C80"/>
  <c r="C84"/>
  <c r="C98"/>
  <c r="C133"/>
  <c r="C119"/>
  <c r="C134"/>
  <c r="C138"/>
  <c r="C158"/>
  <c r="C159"/>
  <c r="C145"/>
  <c r="C150"/>
  <c r="B2" i="131"/>
  <c r="C7"/>
  <c r="C95"/>
  <c r="C162"/>
  <c r="C8"/>
  <c r="C96"/>
  <c r="C10"/>
  <c r="C17"/>
  <c r="C24"/>
  <c r="C67"/>
  <c r="C31"/>
  <c r="C39"/>
  <c r="C51"/>
  <c r="C57"/>
  <c r="C62"/>
  <c r="C68"/>
  <c r="C72"/>
  <c r="C91"/>
  <c r="C164"/>
  <c r="C77"/>
  <c r="C80"/>
  <c r="C84"/>
  <c r="C98"/>
  <c r="C133"/>
  <c r="C159"/>
  <c r="C119"/>
  <c r="C134"/>
  <c r="C138"/>
  <c r="C145"/>
  <c r="C150"/>
  <c r="B2" i="130"/>
  <c r="C7"/>
  <c r="C95"/>
  <c r="C162"/>
  <c r="C10"/>
  <c r="C17"/>
  <c r="C24"/>
  <c r="C31"/>
  <c r="C39"/>
  <c r="C67"/>
  <c r="C51"/>
  <c r="C57"/>
  <c r="C62"/>
  <c r="C68"/>
  <c r="C91"/>
  <c r="C164"/>
  <c r="C72"/>
  <c r="C77"/>
  <c r="C80"/>
  <c r="C84"/>
  <c r="C98"/>
  <c r="C119"/>
  <c r="C134"/>
  <c r="C138"/>
  <c r="C145"/>
  <c r="C150"/>
  <c r="B2" i="1"/>
  <c r="C8"/>
  <c r="E6" i="87"/>
  <c r="E94"/>
  <c r="C17" i="1"/>
  <c r="E17"/>
  <c r="G17"/>
  <c r="I17"/>
  <c r="C24"/>
  <c r="E24"/>
  <c r="G24"/>
  <c r="I24"/>
  <c r="C31"/>
  <c r="E31"/>
  <c r="C39"/>
  <c r="E39"/>
  <c r="G39"/>
  <c r="I39"/>
  <c r="C51"/>
  <c r="E51"/>
  <c r="G51"/>
  <c r="I51"/>
  <c r="C57"/>
  <c r="E57"/>
  <c r="G57"/>
  <c r="I57"/>
  <c r="C62"/>
  <c r="E62"/>
  <c r="G62"/>
  <c r="I62"/>
  <c r="C68"/>
  <c r="C72"/>
  <c r="C91"/>
  <c r="C77"/>
  <c r="E77"/>
  <c r="G77"/>
  <c r="I77"/>
  <c r="I91"/>
  <c r="C80"/>
  <c r="C84"/>
  <c r="C95"/>
  <c r="C162"/>
  <c r="C98"/>
  <c r="E98"/>
  <c r="C119"/>
  <c r="E119"/>
  <c r="C134"/>
  <c r="C138"/>
  <c r="C145"/>
  <c r="E145"/>
  <c r="G145"/>
  <c r="I145"/>
  <c r="C150"/>
  <c r="C158"/>
  <c r="B14" i="76"/>
  <c r="E14"/>
  <c r="A12" i="75"/>
  <c r="A11" i="76"/>
  <c r="C10" i="1"/>
  <c r="E10"/>
  <c r="C6" i="77"/>
  <c r="D6" i="76"/>
  <c r="D27" i="24"/>
  <c r="E6" i="63"/>
  <c r="E6" i="64"/>
  <c r="C4" i="73"/>
  <c r="C158" i="130"/>
  <c r="I27" i="24"/>
  <c r="C57" i="127"/>
  <c r="C36" i="137"/>
  <c r="C41"/>
  <c r="C58"/>
  <c r="C57" i="142"/>
  <c r="O15" i="24"/>
  <c r="N27"/>
  <c r="C58" i="79"/>
  <c r="E58"/>
  <c r="G58"/>
  <c r="C33" i="134"/>
  <c r="C32"/>
  <c r="C36"/>
  <c r="C34"/>
  <c r="C35"/>
  <c r="E31" i="61"/>
  <c r="E32"/>
  <c r="C32"/>
  <c r="D65" i="3"/>
  <c r="D67" i="1"/>
  <c r="D92"/>
  <c r="E5" i="62"/>
  <c r="E24" i="71"/>
  <c r="C41" i="145"/>
  <c r="C58"/>
  <c r="D13" i="76"/>
  <c r="E31" i="73"/>
  <c r="E30"/>
  <c r="D15" i="76"/>
  <c r="C31" i="73"/>
  <c r="E4"/>
  <c r="E4" i="61"/>
  <c r="C4"/>
  <c r="C30"/>
  <c r="C31"/>
  <c r="F14" i="62"/>
  <c r="E27" i="24"/>
  <c r="O26"/>
  <c r="O27"/>
  <c r="C158" i="131"/>
  <c r="E15" i="71"/>
  <c r="C65" i="119"/>
  <c r="C96" i="1"/>
  <c r="C133" i="130"/>
  <c r="C159"/>
  <c r="C29" i="73"/>
  <c r="C154" i="119"/>
  <c r="C155"/>
  <c r="C89"/>
  <c r="C90"/>
  <c r="C156"/>
  <c r="C65" i="120"/>
  <c r="C90"/>
  <c r="C58" i="124"/>
  <c r="C36" i="127"/>
  <c r="C41"/>
  <c r="C58"/>
  <c r="C36" i="136"/>
  <c r="E36"/>
  <c r="G36"/>
  <c r="I36"/>
  <c r="C41"/>
  <c r="C57" i="147"/>
  <c r="C36" i="148"/>
  <c r="C41"/>
  <c r="C156" i="87"/>
  <c r="I9" i="66"/>
  <c r="E44" i="71"/>
  <c r="C57" i="137"/>
  <c r="C57" i="146"/>
  <c r="C36"/>
  <c r="C41"/>
  <c r="C58"/>
  <c r="C89" i="3"/>
  <c r="E89"/>
  <c r="G89"/>
  <c r="I89"/>
  <c r="C36" i="138"/>
  <c r="C41"/>
  <c r="C58"/>
  <c r="C36" i="140"/>
  <c r="E36"/>
  <c r="G36"/>
  <c r="I36"/>
  <c r="K36"/>
  <c r="D89" i="87"/>
  <c r="I16" i="66"/>
  <c r="D18"/>
  <c r="C30" i="73"/>
  <c r="E32"/>
  <c r="C32"/>
  <c r="D133" i="1"/>
  <c r="D163"/>
  <c r="I10" i="63"/>
  <c r="K10"/>
  <c r="M10"/>
  <c r="O10"/>
  <c r="E45" i="140"/>
  <c r="G45"/>
  <c r="I45"/>
  <c r="K45"/>
  <c r="E37"/>
  <c r="G37"/>
  <c r="I37"/>
  <c r="K37"/>
  <c r="E42"/>
  <c r="G42"/>
  <c r="I42"/>
  <c r="K42"/>
  <c r="E8"/>
  <c r="G8"/>
  <c r="I8"/>
  <c r="K8"/>
  <c r="D128" i="3"/>
  <c r="F154"/>
  <c r="E36" i="148"/>
  <c r="G36"/>
  <c r="I36"/>
  <c r="E8"/>
  <c r="G8"/>
  <c r="I8"/>
  <c r="E45"/>
  <c r="G45"/>
  <c r="I45"/>
  <c r="E20" i="144"/>
  <c r="G20"/>
  <c r="E37" i="136"/>
  <c r="E45" i="105"/>
  <c r="G45"/>
  <c r="I45"/>
  <c r="E42"/>
  <c r="G42"/>
  <c r="I42"/>
  <c r="F41" i="140"/>
  <c r="G38"/>
  <c r="I38"/>
  <c r="K38"/>
  <c r="D57" i="136"/>
  <c r="F37" i="79"/>
  <c r="G37"/>
  <c r="I37"/>
  <c r="K37"/>
  <c r="F42"/>
  <c r="F65" i="3"/>
  <c r="F90"/>
  <c r="F156"/>
  <c r="E93"/>
  <c r="G98"/>
  <c r="I98"/>
  <c r="I93"/>
  <c r="G37"/>
  <c r="I37"/>
  <c r="D57" i="144"/>
  <c r="E57"/>
  <c r="G57"/>
  <c r="E45"/>
  <c r="G45"/>
  <c r="E37"/>
  <c r="G37"/>
  <c r="E38"/>
  <c r="G38"/>
  <c r="C133" i="1"/>
  <c r="C159"/>
  <c r="B15" i="76"/>
  <c r="E15"/>
  <c r="G98" i="1"/>
  <c r="K133" i="63"/>
  <c r="K126"/>
  <c r="K119"/>
  <c r="K112"/>
  <c r="K105"/>
  <c r="B13" i="76"/>
  <c r="E13"/>
  <c r="D57" i="148"/>
  <c r="E37"/>
  <c r="G37"/>
  <c r="I37"/>
  <c r="D41"/>
  <c r="E38"/>
  <c r="G38"/>
  <c r="I38"/>
  <c r="I20" i="64"/>
  <c r="L135" i="63"/>
  <c r="M105"/>
  <c r="G31" i="1"/>
  <c r="C67"/>
  <c r="H67"/>
  <c r="H98"/>
  <c r="I140" i="3"/>
  <c r="I154"/>
  <c r="H89"/>
  <c r="H65"/>
  <c r="H93"/>
  <c r="H128"/>
  <c r="H155"/>
  <c r="H57" i="140"/>
  <c r="H41"/>
  <c r="F57" i="136"/>
  <c r="G37"/>
  <c r="G51"/>
  <c r="I51"/>
  <c r="F57" i="105"/>
  <c r="G51"/>
  <c r="H58" i="79"/>
  <c r="I58"/>
  <c r="K58"/>
  <c r="H37"/>
  <c r="H42"/>
  <c r="L137" i="63"/>
  <c r="I31" i="1"/>
  <c r="C163"/>
  <c r="B6" i="76"/>
  <c r="E6"/>
  <c r="I98" i="1"/>
  <c r="H133"/>
  <c r="H159"/>
  <c r="H90" i="3"/>
  <c r="H156"/>
  <c r="H163" i="1"/>
  <c r="F41" i="148"/>
  <c r="H57" i="105"/>
  <c r="I57"/>
  <c r="J58" i="79"/>
  <c r="J37"/>
  <c r="J42"/>
  <c r="H57" i="148"/>
  <c r="H41"/>
  <c r="I51"/>
  <c r="I20"/>
  <c r="I37" i="136"/>
  <c r="I45"/>
  <c r="J57" i="140"/>
  <c r="J41"/>
  <c r="J164" i="1"/>
  <c r="K164"/>
  <c r="J154" i="3"/>
  <c r="K114"/>
  <c r="K93"/>
  <c r="K128"/>
  <c r="J93"/>
  <c r="J128"/>
  <c r="C33" i="61"/>
  <c r="D8" i="76"/>
  <c r="E33" i="61"/>
  <c r="G119" i="3"/>
  <c r="I119"/>
  <c r="E114"/>
  <c r="E128"/>
  <c r="E155"/>
  <c r="G10" i="1"/>
  <c r="E67"/>
  <c r="C92" i="131"/>
  <c r="C160"/>
  <c r="C163"/>
  <c r="C58" i="125"/>
  <c r="I115" i="3"/>
  <c r="I114"/>
  <c r="I128"/>
  <c r="I155"/>
  <c r="G114"/>
  <c r="C164" i="1"/>
  <c r="C92"/>
  <c r="B7" i="76"/>
  <c r="C163" i="130"/>
  <c r="C92"/>
  <c r="C160"/>
  <c r="C155" i="120"/>
  <c r="C156"/>
  <c r="C155" i="121"/>
  <c r="C58" i="139"/>
  <c r="C58" i="151"/>
  <c r="E39" i="128"/>
  <c r="C39"/>
  <c r="E41" i="148"/>
  <c r="G41"/>
  <c r="I41"/>
  <c r="C58"/>
  <c r="E58"/>
  <c r="G58"/>
  <c r="I58"/>
  <c r="C156" i="121"/>
  <c r="E133" i="1"/>
  <c r="E159"/>
  <c r="G119"/>
  <c r="C92" i="132"/>
  <c r="C160"/>
  <c r="C163"/>
  <c r="C59" i="122"/>
  <c r="C58" i="150"/>
  <c r="E157" i="87"/>
  <c r="E158"/>
  <c r="I18" i="66"/>
  <c r="E91" i="1"/>
  <c r="E164"/>
  <c r="F18" i="66"/>
  <c r="C36" i="105"/>
  <c r="C57" i="136"/>
  <c r="E57"/>
  <c r="G57"/>
  <c r="I57"/>
  <c r="G93" i="3"/>
  <c r="G128"/>
  <c r="C41" i="140"/>
  <c r="C42" i="79"/>
  <c r="C36" i="144"/>
  <c r="G91" i="1"/>
  <c r="D7" i="76"/>
  <c r="F20" i="64"/>
  <c r="E41" i="136"/>
  <c r="G41"/>
  <c r="G154" i="3"/>
  <c r="G140"/>
  <c r="F92" i="1"/>
  <c r="F160"/>
  <c r="F163"/>
  <c r="G158"/>
  <c r="M126" i="63"/>
  <c r="D158" i="1"/>
  <c r="D159"/>
  <c r="D160"/>
  <c r="D154" i="3"/>
  <c r="D155"/>
  <c r="D156"/>
  <c r="M94" i="63"/>
  <c r="M98"/>
  <c r="K98"/>
  <c r="M112"/>
  <c r="M133"/>
  <c r="E135"/>
  <c r="G135"/>
  <c r="I135"/>
  <c r="K135"/>
  <c r="M135"/>
  <c r="H91" i="1"/>
  <c r="I158"/>
  <c r="I164"/>
  <c r="F57" i="148"/>
  <c r="G57"/>
  <c r="I57"/>
  <c r="F36" i="144"/>
  <c r="F41"/>
  <c r="H164" i="1"/>
  <c r="H92"/>
  <c r="H160"/>
  <c r="E42" i="79"/>
  <c r="G42"/>
  <c r="I42"/>
  <c r="K42"/>
  <c r="C59"/>
  <c r="E59"/>
  <c r="G59"/>
  <c r="I59"/>
  <c r="K59"/>
  <c r="D164" i="1"/>
  <c r="I10"/>
  <c r="I67"/>
  <c r="G67"/>
  <c r="G164"/>
  <c r="E41" i="140"/>
  <c r="G41"/>
  <c r="I41"/>
  <c r="K41"/>
  <c r="C58"/>
  <c r="E58"/>
  <c r="G58"/>
  <c r="I58"/>
  <c r="K58"/>
  <c r="I119" i="1"/>
  <c r="I133"/>
  <c r="I159"/>
  <c r="G133"/>
  <c r="G159"/>
  <c r="E7" i="76"/>
  <c r="C58" i="136"/>
  <c r="E58"/>
  <c r="G58"/>
  <c r="I58"/>
  <c r="C41" i="144"/>
  <c r="E36"/>
  <c r="G36"/>
  <c r="G155" i="3"/>
  <c r="E36" i="105"/>
  <c r="G36"/>
  <c r="I36"/>
  <c r="C41"/>
  <c r="C160" i="1"/>
  <c r="B8" i="76"/>
  <c r="E8"/>
  <c r="E137" i="63"/>
  <c r="G137"/>
  <c r="E92" i="1"/>
  <c r="E160"/>
  <c r="E163"/>
  <c r="E41" i="105"/>
  <c r="G41"/>
  <c r="I41"/>
  <c r="C58"/>
  <c r="E58"/>
  <c r="G58"/>
  <c r="I58"/>
  <c r="E41" i="144"/>
  <c r="G41"/>
  <c r="C58"/>
  <c r="E58"/>
  <c r="G58"/>
  <c r="G92" i="1"/>
  <c r="G160"/>
  <c r="G163"/>
  <c r="I92"/>
  <c r="I160"/>
  <c r="I163"/>
  <c r="C65" i="3"/>
  <c r="C90"/>
  <c r="E65"/>
  <c r="G65"/>
  <c r="I65"/>
  <c r="E90"/>
  <c r="C156"/>
  <c r="E156"/>
  <c r="G90"/>
  <c r="G156"/>
  <c r="I90"/>
  <c r="I156"/>
  <c r="K30"/>
  <c r="K29"/>
  <c r="H20" i="64"/>
  <c r="J20"/>
  <c r="L20"/>
  <c r="J155" i="3"/>
  <c r="K155"/>
  <c r="N135" i="63"/>
  <c r="O135"/>
  <c r="N137"/>
  <c r="H74"/>
  <c r="I9"/>
  <c r="K9"/>
  <c r="M9"/>
  <c r="O9"/>
  <c r="C4" i="3"/>
  <c r="C4" i="119"/>
  <c r="C4" i="120"/>
  <c r="C4" i="121"/>
  <c r="C4" i="79"/>
  <c r="C4" i="122"/>
  <c r="C4" i="123"/>
  <c r="C4" i="124"/>
  <c r="D6" i="71"/>
  <c r="D27"/>
  <c r="C4" i="148"/>
  <c r="C4" i="149"/>
  <c r="C4" i="150"/>
  <c r="C4" i="151"/>
  <c r="C4" i="144"/>
  <c r="C4" i="145"/>
  <c r="C4" i="146"/>
  <c r="C4" i="147"/>
  <c r="C4" i="136"/>
  <c r="C4" i="137"/>
  <c r="C4" i="138"/>
  <c r="C4" i="139"/>
  <c r="C4" i="140"/>
  <c r="C4" i="141"/>
  <c r="C4" i="142"/>
  <c r="C4" i="143"/>
  <c r="C4" i="105"/>
  <c r="C4" i="125"/>
  <c r="C4" i="126"/>
  <c r="C4" i="127"/>
  <c r="G11" i="89"/>
  <c r="E5" i="87"/>
  <c r="H137" i="63"/>
  <c r="I137"/>
  <c r="K137"/>
  <c r="M137"/>
  <c r="O137"/>
  <c r="I74"/>
  <c r="K74"/>
  <c r="M74"/>
  <c r="O74"/>
  <c r="E93" i="87"/>
  <c r="I2" i="66"/>
  <c r="D4" i="88"/>
  <c r="O3" i="24"/>
  <c r="C4" i="70"/>
  <c r="E5" i="128"/>
  <c r="E28"/>
  <c r="C10" i="134"/>
  <c r="C12"/>
  <c r="C20"/>
  <c r="C14"/>
  <c r="C28"/>
  <c r="C11"/>
  <c r="C38"/>
  <c r="C42"/>
  <c r="C22"/>
  <c r="C7"/>
  <c r="C27"/>
  <c r="C25"/>
  <c r="C13"/>
  <c r="C9"/>
  <c r="C26"/>
  <c r="C16"/>
  <c r="C21"/>
  <c r="C44"/>
  <c r="C18"/>
  <c r="C8"/>
  <c r="C19"/>
  <c r="C39"/>
  <c r="C43"/>
  <c r="C40"/>
  <c r="C31"/>
  <c r="C24"/>
  <c r="C23"/>
  <c r="C29"/>
  <c r="C37"/>
  <c r="C30"/>
  <c r="C41"/>
  <c r="C17"/>
  <c r="C15"/>
  <c r="J98" i="1"/>
  <c r="K92"/>
  <c r="J67"/>
  <c r="K65" i="3"/>
  <c r="J90"/>
  <c r="J133" i="1"/>
  <c r="J159"/>
  <c r="K98"/>
  <c r="K133"/>
  <c r="J92"/>
  <c r="J160"/>
  <c r="K90" i="3"/>
  <c r="K156"/>
  <c r="J156"/>
  <c r="K159" i="1"/>
  <c r="K160"/>
  <c r="K163"/>
  <c r="J163"/>
</calcChain>
</file>

<file path=xl/sharedStrings.xml><?xml version="1.0" encoding="utf-8"?>
<sst xmlns="http://schemas.openxmlformats.org/spreadsheetml/2006/main" count="6407" uniqueCount="844">
  <si>
    <t>Beruházási (felhalmozási) kiadások előirányzata beruházásonként</t>
  </si>
  <si>
    <t>Felújítási kiadások előirányzata felújításonként</t>
  </si>
  <si>
    <t>Vállalkozási maradvány igénybevétele</t>
  </si>
  <si>
    <t>Adatszolgáltatás 
az elismert tartozásállományról</t>
  </si>
  <si>
    <t>Többéves kihatással járó döntések számszerűsítése évenkénti bontásban és összesítve célok szerint</t>
  </si>
  <si>
    <t>Működési célú finanszírozási kiadások
(hiteltörlesztés, értékpapír vásárlás, stb.)</t>
  </si>
  <si>
    <t>Felhalmozási célú finanszírozási kiadások
(hiteltörlesztés, értékpapír vásárlás, stb.)</t>
  </si>
  <si>
    <t>Az önkormányzat által adott közvetett támogatások
(kedvezmények)</t>
  </si>
  <si>
    <t>Eszközök hasznosítása utáni kedvezmény, mentesség</t>
  </si>
  <si>
    <t>Helyiségek hasznosítása utáni kedvezmény, mentesség</t>
  </si>
  <si>
    <t>Felhalmozási bevételek</t>
  </si>
  <si>
    <t>Finanszírozási bevételek</t>
  </si>
  <si>
    <t xml:space="preserve"> Egyéb működési célú kiadások</t>
  </si>
  <si>
    <t>Finanszírozási kiadások</t>
  </si>
  <si>
    <t>Támogatás összge</t>
  </si>
  <si>
    <t>B E V É T E L E K</t>
  </si>
  <si>
    <t>Sor-szám</t>
  </si>
  <si>
    <t>Bevételi jogcím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</si>
  <si>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</si>
  <si>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</si>
  <si>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</si>
  <si>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</si>
  <si>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</si>
  <si>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</si>
  <si>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</si>
  <si>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</si>
  <si>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</si>
  <si>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</si>
  <si>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</si>
  <si>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</si>
  <si>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</si>
  <si>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</si>
  <si>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</si>
  <si>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</si>
  <si>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</si>
  <si>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</si>
  <si>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</si>
  <si>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</si>
  <si>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</si>
  <si>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</si>
  <si>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</si>
  <si>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</si>
  <si>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</si>
  <si>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</si>
  <si>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</si>
  <si>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</si>
  <si>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</si>
  <si>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K I A D Á S O K</t>
  </si>
  <si>
    <t>Kiadási jogcímek</t>
  </si>
  <si>
    <t>Személyi  juttatások</t>
  </si>
  <si>
    <t>Tartalékok</t>
  </si>
  <si>
    <t>Összesen</t>
  </si>
  <si>
    <t>Jogcím</t>
  </si>
  <si>
    <t>Összesen:</t>
  </si>
  <si>
    <t>01</t>
  </si>
  <si>
    <t>Előirányzat</t>
  </si>
  <si>
    <t>Bevételek</t>
  </si>
  <si>
    <t>Kiadások</t>
  </si>
  <si>
    <t>Egyéb fejlesztési célú kiadások</t>
  </si>
  <si>
    <t>02</t>
  </si>
  <si>
    <t>03</t>
  </si>
  <si>
    <t>Megnevezés</t>
  </si>
  <si>
    <t>Személyi juttatások</t>
  </si>
  <si>
    <t>ÖSSZESEN:</t>
  </si>
  <si>
    <t>Beruházás  megnevezése</t>
  </si>
  <si>
    <t>Teljes költség</t>
  </si>
  <si>
    <t>Kivitelezés kezdési és befejezési éve</t>
  </si>
  <si>
    <t>Felújítás  megnevezése</t>
  </si>
  <si>
    <t>Kiadás vonzata évenként</t>
  </si>
  <si>
    <t>Sor-
szám</t>
  </si>
  <si>
    <t>............................</t>
  </si>
  <si>
    <t>Kedvezmény nélkül elérhető bevétel</t>
  </si>
  <si>
    <t>Kedvezmények összege</t>
  </si>
  <si>
    <t>Január</t>
  </si>
  <si>
    <t>Február</t>
  </si>
  <si>
    <t>Március</t>
  </si>
  <si>
    <t>Április</t>
  </si>
  <si>
    <t>Május</t>
  </si>
  <si>
    <t>Június</t>
  </si>
  <si>
    <t>Július</t>
  </si>
  <si>
    <t>Auguszt.</t>
  </si>
  <si>
    <t>Szept.</t>
  </si>
  <si>
    <t>Okt.</t>
  </si>
  <si>
    <t>Nov.</t>
  </si>
  <si>
    <t>Dec.</t>
  </si>
  <si>
    <t>Kötelezettség jogcíme</t>
  </si>
  <si>
    <t>Köt. váll.
 éve</t>
  </si>
  <si>
    <t>3.1.</t>
  </si>
  <si>
    <t>3.2.</t>
  </si>
  <si>
    <t>3.3.</t>
  </si>
  <si>
    <t>3.4.</t>
  </si>
  <si>
    <t>5.1.</t>
  </si>
  <si>
    <t>5.2.</t>
  </si>
  <si>
    <t>5.3.</t>
  </si>
  <si>
    <t>6.1.</t>
  </si>
  <si>
    <t>6.2.</t>
  </si>
  <si>
    <t>7.1.</t>
  </si>
  <si>
    <t>7.2.</t>
  </si>
  <si>
    <t>1.1.</t>
  </si>
  <si>
    <t>1.2.</t>
  </si>
  <si>
    <t>1.3.</t>
  </si>
  <si>
    <t>1.4.</t>
  </si>
  <si>
    <t>1.6.</t>
  </si>
  <si>
    <t>1.7.</t>
  </si>
  <si>
    <t>2.1.</t>
  </si>
  <si>
    <t>2.2.</t>
  </si>
  <si>
    <t>2.3.</t>
  </si>
  <si>
    <t>2.4.</t>
  </si>
  <si>
    <t>2.5.</t>
  </si>
  <si>
    <t>Bevételek összesen:</t>
  </si>
  <si>
    <t>Kiadások összesen:</t>
  </si>
  <si>
    <t>Egyenleg</t>
  </si>
  <si>
    <t>1.5</t>
  </si>
  <si>
    <t>1.8.</t>
  </si>
  <si>
    <t>1.9.</t>
  </si>
  <si>
    <t>1.10.</t>
  </si>
  <si>
    <t>1.11.</t>
  </si>
  <si>
    <t>2.6.</t>
  </si>
  <si>
    <t>1.12.</t>
  </si>
  <si>
    <t>2.7.</t>
  </si>
  <si>
    <t>Lakosság részére lakásépítéshez nyújtott kölcsön elengedése</t>
  </si>
  <si>
    <t>Lakosság részére lakásfelújításhoz nyújtott kölcsön elengedése</t>
  </si>
  <si>
    <t>Gépjárműadóból biztosított kedvezmény, mentesség</t>
  </si>
  <si>
    <t>Egyéb kedvezmény</t>
  </si>
  <si>
    <t>Egyéb kölcsön elengedése</t>
  </si>
  <si>
    <t>Támogatott szervezet neve</t>
  </si>
  <si>
    <t>Támogatás célja</t>
  </si>
  <si>
    <t>30.</t>
  </si>
  <si>
    <t>31.</t>
  </si>
  <si>
    <t>32.</t>
  </si>
  <si>
    <t>33.</t>
  </si>
  <si>
    <t>Források</t>
  </si>
  <si>
    <t>Saját erő</t>
  </si>
  <si>
    <t>EU-s forrás</t>
  </si>
  <si>
    <t>Hitel</t>
  </si>
  <si>
    <t>Egyéb forrás</t>
  </si>
  <si>
    <t>Kiadások, költségek</t>
  </si>
  <si>
    <t>Források összesen:</t>
  </si>
  <si>
    <t>EU-s projekt neve, azonosítója:</t>
  </si>
  <si>
    <t>Támogatott neve</t>
  </si>
  <si>
    <t>Dologi  kiadások</t>
  </si>
  <si>
    <t>Személyi jellegű</t>
  </si>
  <si>
    <t>Beruházások, beszerzések</t>
  </si>
  <si>
    <t>Szolgáltatások igénybe vétele</t>
  </si>
  <si>
    <t>Adminisztratív költségek</t>
  </si>
  <si>
    <t>- saját erőből központi támogatás</t>
  </si>
  <si>
    <t>Összesen (1+4+7+9+11)</t>
  </si>
  <si>
    <t>Társfinanszírozás</t>
  </si>
  <si>
    <t>1.5.</t>
  </si>
  <si>
    <t>11.1.</t>
  </si>
  <si>
    <t>11.2.</t>
  </si>
  <si>
    <t>Költségvetési rendelet űrlapjainak összefüggései:</t>
  </si>
  <si>
    <t>1. sz. táblázat</t>
  </si>
  <si>
    <t>2. sz. táblázat</t>
  </si>
  <si>
    <t>3. sz. táblázat</t>
  </si>
  <si>
    <t>ELTÉRÉS</t>
  </si>
  <si>
    <t>Rövid lejáratú hitelek törlesztése</t>
  </si>
  <si>
    <t>Hosszú lejáratú hitelek törlesztése</t>
  </si>
  <si>
    <t>I. Működési célú bevételek és kiadások mérlege
(Önkormányzati szinten)</t>
  </si>
  <si>
    <t>II. Felhalmozási célú bevételek és kiadások mérlege
(Önkormányzati szinten)</t>
  </si>
  <si>
    <t>Helyi adóból biztosított kedvezmény, mentesség összesen</t>
  </si>
  <si>
    <t xml:space="preserve">-ebből:            Építményadó </t>
  </si>
  <si>
    <t xml:space="preserve">Telekadó </t>
  </si>
  <si>
    <t xml:space="preserve">Magánszemélyek kommunális adója </t>
  </si>
  <si>
    <t xml:space="preserve">Idegenforgalmi adó tartózkodás után </t>
  </si>
  <si>
    <t xml:space="preserve">Idegenforgalmi adó épület után </t>
  </si>
  <si>
    <t xml:space="preserve">Iparűzési adó állandó jelleggel végzett iparűzési tevékenység után </t>
  </si>
  <si>
    <t>Ellátottak térítési díjának méltányosságból történő elengedése</t>
  </si>
  <si>
    <t>Ellátottak kártérítésének méltányosságból történő elengedése</t>
  </si>
  <si>
    <t>Költségvetési hiány:</t>
  </si>
  <si>
    <t>Költségvetési többlet:</t>
  </si>
  <si>
    <t>3.5.</t>
  </si>
  <si>
    <t>3.6.</t>
  </si>
  <si>
    <t xml:space="preserve">4. </t>
  </si>
  <si>
    <t>Közhatalmi bevételek</t>
  </si>
  <si>
    <t>5.4.</t>
  </si>
  <si>
    <t>5.5.</t>
  </si>
  <si>
    <t>5.6.</t>
  </si>
  <si>
    <t>5.7.</t>
  </si>
  <si>
    <t>5.8.</t>
  </si>
  <si>
    <t xml:space="preserve">7. </t>
  </si>
  <si>
    <t>8.1.</t>
  </si>
  <si>
    <t>8.2.</t>
  </si>
  <si>
    <t>Munkaadókat terhelő járulékok és szociális hozzájárulási adó</t>
  </si>
  <si>
    <t>Ellátottak pénzbeli juttatásai</t>
  </si>
  <si>
    <t>Egyéb működési célú kiadások</t>
  </si>
  <si>
    <t>1.13.</t>
  </si>
  <si>
    <t>Felújítások</t>
  </si>
  <si>
    <t>2.8.</t>
  </si>
  <si>
    <t>2.9.</t>
  </si>
  <si>
    <t>2.10.</t>
  </si>
  <si>
    <t>Értékpapír vásárlása, visszavásárlása</t>
  </si>
  <si>
    <t>Forgatási célú belföldi, külföldi értékpapírok vásárlása</t>
  </si>
  <si>
    <t>Betét elhelyezése</t>
  </si>
  <si>
    <t>Hitelek törlesztése</t>
  </si>
  <si>
    <t>Befektetési célú belföldi, külföldi értékpapírok vásárlása</t>
  </si>
  <si>
    <t>Bevételi jogcímek</t>
  </si>
  <si>
    <t>MEGNEVEZÉS</t>
  </si>
  <si>
    <t>ÖSSZES KÖTELEZETTSÉG</t>
  </si>
  <si>
    <t>SAJÁT BEVÉTELEK ÖSSZESEN*</t>
  </si>
  <si>
    <t>Fejlesztési cél leírása</t>
  </si>
  <si>
    <t>ADÓSSÁGOT KELETKEZTETŐ ÜGYLETEK VÁRHATÓ EGYÜTTES ÖSSZEGE</t>
  </si>
  <si>
    <t>Nem kötelező!</t>
  </si>
  <si>
    <t>Feladat megnevezése</t>
  </si>
  <si>
    <t>Költségvetési szerv megnevezése</t>
  </si>
  <si>
    <t>Száma</t>
  </si>
  <si>
    <t>Közfoglalkoztatottak létszáma (fő)</t>
  </si>
  <si>
    <t>Beruházási kiadások beruházásonként</t>
  </si>
  <si>
    <t>Felújítási kiadások felújításonként</t>
  </si>
  <si>
    <t>Egyéb (Pl.: garancia és kezességvállalás, stb.)</t>
  </si>
  <si>
    <t>Költségvetési szerv neve:</t>
  </si>
  <si>
    <t>…………………………………</t>
  </si>
  <si>
    <t>Költségvetési szerv számlaszáma:</t>
  </si>
  <si>
    <t>30 napon túli elismert tartozásállomány összesen: ……………… Ft</t>
  </si>
  <si>
    <t xml:space="preserve">Tartozásállomány megnevezése </t>
  </si>
  <si>
    <t>30 nap 
alatti
állomány</t>
  </si>
  <si>
    <t>30-60 nap 
közötti 
állomány</t>
  </si>
  <si>
    <t>60 napon 
túli 
állomány</t>
  </si>
  <si>
    <t>Át-ütemezett</t>
  </si>
  <si>
    <t>Állammal szembeni tartozások</t>
  </si>
  <si>
    <t>Központi költségvetéssel szemben fennálló tartozás</t>
  </si>
  <si>
    <t>Elkülönített állami pénzalapokkal szembeni tartozás</t>
  </si>
  <si>
    <t>TB alapokkal szembeni tartozás</t>
  </si>
  <si>
    <t>Tartozásállomány önkormányzatok és intézmények felé</t>
  </si>
  <si>
    <t>Egyéb tartozásállomány</t>
  </si>
  <si>
    <t>költségvetési szerv vezetője</t>
  </si>
  <si>
    <t>Fejlesztés várható kiadása</t>
  </si>
  <si>
    <t>*Az adósságot keletkeztető ügyletekhez történő hozzájárulás részletes szabályairól szóló 353/2011. (XII.31.) Korm. Rendelet 2.§ (1) bekezdése alapján.</t>
  </si>
  <si>
    <t xml:space="preserve">   Költségvetési maradvány igénybevétele </t>
  </si>
  <si>
    <t xml:space="preserve">   Vállalkozási maradvány igénybevétele </t>
  </si>
  <si>
    <t>Beruházások</t>
  </si>
  <si>
    <t>8.3.</t>
  </si>
  <si>
    <t>Egyéb felhalmozási kiadások</t>
  </si>
  <si>
    <t xml:space="preserve">   Betét visszavonásából származó bevétel </t>
  </si>
  <si>
    <t xml:space="preserve">Dologi kiadások </t>
  </si>
  <si>
    <t>Kölcsön törlesztése</t>
  </si>
  <si>
    <t>Költségvetési maradvány igénybevétele</t>
  </si>
  <si>
    <t xml:space="preserve">Vállalkozási maradvány igénybevétele </t>
  </si>
  <si>
    <t xml:space="preserve">Betét visszavonásából származó bevétel </t>
  </si>
  <si>
    <t>Értékpapír értékesítése</t>
  </si>
  <si>
    <t>Egyéb belső finanszírozási bevételek</t>
  </si>
  <si>
    <t>Hiány külső finanszírozásának bevételei (20+…+24 )</t>
  </si>
  <si>
    <t>Hosszú lejáratú hitelek, kölcsönök felvétele</t>
  </si>
  <si>
    <t>Likviditási célú hitelek, kölcsönök felvétele</t>
  </si>
  <si>
    <t>Rövid lejáratú hitelek, kölcsönök felvétele</t>
  </si>
  <si>
    <t>Értékpapírok kibocsátása</t>
  </si>
  <si>
    <t>Egyéb külső finanszírozási bevételek</t>
  </si>
  <si>
    <t>Hiány belső finanszírozás bevételei ( 14+…+18)</t>
  </si>
  <si>
    <t>Az önkormányzati vagyon és az önkormányzatot megillető vagyoni értékű jog értékesítéséből és hasznosításából származó bevétel</t>
  </si>
  <si>
    <t>Bírság-, pótlék- és díjbevétel</t>
  </si>
  <si>
    <t>Tárgyi eszköz és az immateriális jószág, részvény, részesedés, vállalat értékesítéséből vagy privatizációból származó bevétel</t>
  </si>
  <si>
    <t>Évek</t>
  </si>
  <si>
    <t>Önkormányzat működési támogatásai (1.1.+…+.1.6.)</t>
  </si>
  <si>
    <t>Helyi önkormányzatok működésének általános támogatása</t>
  </si>
  <si>
    <t>Önkormányzatok egyes köznevelési feladatainak támogatása</t>
  </si>
  <si>
    <t>Önkormányzatok szociális és gyermekjóléti feladatainak támogatása</t>
  </si>
  <si>
    <t>Önkormányzatok kulturális feladatainak támogatása</t>
  </si>
  <si>
    <t>Működési célú támogatások államháztartáson belülről (2.1.+…+.2.5.)</t>
  </si>
  <si>
    <t>Elvonások és befizetések bevételei</t>
  </si>
  <si>
    <t xml:space="preserve">Működési célú garancia- és kezességvállalásból megtérülések </t>
  </si>
  <si>
    <t xml:space="preserve">Egyéb működési célú támogatások bevételei </t>
  </si>
  <si>
    <t>2.5.-ből EU-s támogatás</t>
  </si>
  <si>
    <t>Felhalmozási célú támogatások államháztartáson belülről (3.1.+…+3.5.)</t>
  </si>
  <si>
    <t>Felhalmozási célú önkormányzati támogatások</t>
  </si>
  <si>
    <t>Felhalmozási célú garancia- és kezességvállalásból megtérülések</t>
  </si>
  <si>
    <t>Egyéb felhalmozási célú támogatások bevételei</t>
  </si>
  <si>
    <t>3.5.-ből EU-s támogatás</t>
  </si>
  <si>
    <t>Közhatalmi bevételek (4.1.+4.2.+4.3.+4.4.)</t>
  </si>
  <si>
    <t>4.1.</t>
  </si>
  <si>
    <t>4.2.</t>
  </si>
  <si>
    <t>4.3.</t>
  </si>
  <si>
    <t>4.4.</t>
  </si>
  <si>
    <t>Gépjárműadó</t>
  </si>
  <si>
    <t>Egyéb áruhasználati és szolgáltatási adók</t>
  </si>
  <si>
    <t>Egyéb közhatalmi bevételek</t>
  </si>
  <si>
    <t>5.9.</t>
  </si>
  <si>
    <t>5.10.</t>
  </si>
  <si>
    <t>Készletértékesítés ellenértéke</t>
  </si>
  <si>
    <t>Szolgáltatások ellenértéke</t>
  </si>
  <si>
    <t>Közvetített szolgáltatások értéke</t>
  </si>
  <si>
    <t>Tulajdonosi bevételek</t>
  </si>
  <si>
    <t>Ellátási díjak</t>
  </si>
  <si>
    <t xml:space="preserve">Kiszámlázott általános forgalmi adó </t>
  </si>
  <si>
    <t>Általános forgalmi adó visszatérítése</t>
  </si>
  <si>
    <t>Kamatbevételek</t>
  </si>
  <si>
    <t>Egyéb pénzügyi műveletek bevételei</t>
  </si>
  <si>
    <t>Egyéb működési bevételek</t>
  </si>
  <si>
    <t>Felhalmozási bevételek (6.1.+…+6.5.)</t>
  </si>
  <si>
    <t>6.3.</t>
  </si>
  <si>
    <t>6.4.</t>
  </si>
  <si>
    <t>6.5.</t>
  </si>
  <si>
    <t>Immateriális javak értékesítése</t>
  </si>
  <si>
    <t>Ingatlanok értékesítése</t>
  </si>
  <si>
    <t>Egyéb tárgyi eszközök értékesítése</t>
  </si>
  <si>
    <t>Részesedések értékesítése</t>
  </si>
  <si>
    <t>Részesedések megszűnéséhez kapcsolódó bevételek</t>
  </si>
  <si>
    <t>Működési célú átvett pénzeszközök (7.1. + … + 7.3.)</t>
  </si>
  <si>
    <t>Működési célú garancia- és kezességvállalásból megtérülések ÁH-n kívülről</t>
  </si>
  <si>
    <t>Egyéb működési célú átvett pénzeszköz</t>
  </si>
  <si>
    <t>7.3.-ból EU-s támogatás (közvetlen)</t>
  </si>
  <si>
    <t>7.3.</t>
  </si>
  <si>
    <t>7.4.</t>
  </si>
  <si>
    <t>Felhalmozási célú átvett pénzeszközök (8.1.+8.2.+8.3.)</t>
  </si>
  <si>
    <t>8.4.</t>
  </si>
  <si>
    <t>Felhalm. célú garancia- és kezességvállalásból megtérülések ÁH-n kívülről</t>
  </si>
  <si>
    <t>Egyéb felhalmozási célú átvett pénzeszköz</t>
  </si>
  <si>
    <t>8.3.-ból EU-s támogatás (közvetlen)</t>
  </si>
  <si>
    <t>KÖLTSÉGVETÉSI BEVÉTELEK ÖSSZESEN: (1+…+8)</t>
  </si>
  <si>
    <t xml:space="preserve">   10.</t>
  </si>
  <si>
    <t>Hitel-, kölcsönfelvétel államháztartáson kívülről  (10.1.+10.3.)</t>
  </si>
  <si>
    <t>Hosszú lejáratú  hitelek, kölcsönök felvétele</t>
  </si>
  <si>
    <t>Likviditási célú  hitelek, kölcsönök felvétele pénzügyi vállalkozástól</t>
  </si>
  <si>
    <t xml:space="preserve">    Rövid lejáratú  hitelek, kölcsönök felvétele</t>
  </si>
  <si>
    <t xml:space="preserve">   11.</t>
  </si>
  <si>
    <t>Belföldi értékpapírok bevételei (11.1. +…+ 11.4.)</t>
  </si>
  <si>
    <t>Forgatási célú belföldi értékpapírok beváltása,  értékesítése</t>
  </si>
  <si>
    <t>Befektetési célú belföldi értékpapírok beváltása,  értékesítése</t>
  </si>
  <si>
    <t xml:space="preserve">    12.</t>
  </si>
  <si>
    <t>Maradvány igénybevétele (12.1. + 12.2.)</t>
  </si>
  <si>
    <t>Előző év költségvetési maradványának igénybevétele</t>
  </si>
  <si>
    <t>Előző év vállalkozási maradványának igénybevétele</t>
  </si>
  <si>
    <t xml:space="preserve">    13.</t>
  </si>
  <si>
    <t>Belföldi finanszírozás bevételei (13.1. + … + 13.3.)</t>
  </si>
  <si>
    <t>Államháztartáson belüli megelőlegezések</t>
  </si>
  <si>
    <t>Államháztartáson belüli megelőlegezések törlesztése</t>
  </si>
  <si>
    <t xml:space="preserve">    14.</t>
  </si>
  <si>
    <t xml:space="preserve">    14.1.</t>
  </si>
  <si>
    <t>Forgatási célú külföldi értékpapírok beváltása,  értékesítése</t>
  </si>
  <si>
    <t xml:space="preserve">    14.2.</t>
  </si>
  <si>
    <t>Befektetési célú külföldi értékpapírok beváltása,  értékesítése</t>
  </si>
  <si>
    <t xml:space="preserve">    14.3.</t>
  </si>
  <si>
    <t>Külföldi értékpapírok kibocsátása</t>
  </si>
  <si>
    <t xml:space="preserve">    14.4.</t>
  </si>
  <si>
    <t>Külföldi hitelek, kölcsönök felvétele</t>
  </si>
  <si>
    <t xml:space="preserve">    15.</t>
  </si>
  <si>
    <t>Adóssághoz nem kapcsolódó származékos ügyletek bevételei</t>
  </si>
  <si>
    <t xml:space="preserve">    16.</t>
  </si>
  <si>
    <t>10.1.</t>
  </si>
  <si>
    <t>11.3.</t>
  </si>
  <si>
    <t>11.4.</t>
  </si>
  <si>
    <t>12.1.</t>
  </si>
  <si>
    <t>12.2.</t>
  </si>
  <si>
    <t>13.1.</t>
  </si>
  <si>
    <t>13.2.</t>
  </si>
  <si>
    <t>13.3.</t>
  </si>
  <si>
    <t>Külföldi finanszírozás bevételei (14.1.+…14.4.)</t>
  </si>
  <si>
    <t>10.2.</t>
  </si>
  <si>
    <t>10.3.</t>
  </si>
  <si>
    <t xml:space="preserve">    17.</t>
  </si>
  <si>
    <t>1.14.</t>
  </si>
  <si>
    <t>1.15.</t>
  </si>
  <si>
    <t xml:space="preserve">   - Garancia- és kezességvállalásból kifizetés ÁH-n belülre</t>
  </si>
  <si>
    <t xml:space="preserve">   -Visszatérítendő támogatások, kölcsönök nyújtása ÁH-n belülre</t>
  </si>
  <si>
    <t xml:space="preserve">   - Visszatérítendő támogatások, kölcsönök törlesztése ÁH-n belülre</t>
  </si>
  <si>
    <t xml:space="preserve">   - Egyéb működési célú támogatások ÁH-n belülre</t>
  </si>
  <si>
    <t xml:space="preserve">   - Garancia és kezességvállalásból kifizetés ÁH-n kívülre</t>
  </si>
  <si>
    <t xml:space="preserve">   - Visszatérítendő támogatások, kölcsönök nyújtása ÁH-n kívülre</t>
  </si>
  <si>
    <t xml:space="preserve">   - Árkiegészítések, ártámogatások</t>
  </si>
  <si>
    <t xml:space="preserve">   - Kamattámogatások</t>
  </si>
  <si>
    <t xml:space="preserve">   - Egyéb működési célú támogatások államháztartáson kívülre</t>
  </si>
  <si>
    <r>
      <t xml:space="preserve">   Felhalmozási költségvetés kiadásai </t>
    </r>
    <r>
      <rPr>
        <sz val="8"/>
        <rFont val="Times New Roman CE"/>
        <charset val="238"/>
      </rPr>
      <t>(2.1.+2.3.+2.5.)</t>
    </r>
  </si>
  <si>
    <t>2.11.</t>
  </si>
  <si>
    <t>2.12.</t>
  </si>
  <si>
    <t>2.13.</t>
  </si>
  <si>
    <t>2.1.-ből EU-s forrásból megvalósuló beruházás</t>
  </si>
  <si>
    <t>2.3.-ból EU-s forrásból megvalósuló felújítás</t>
  </si>
  <si>
    <t xml:space="preserve">   - Egyéb felhalmozási célú támogatások államháztartáson kívülre</t>
  </si>
  <si>
    <t xml:space="preserve">   - Lakástámogatás</t>
  </si>
  <si>
    <t xml:space="preserve">   - Garancia- és kezességvállalásból kifizetés ÁH-n kívülre</t>
  </si>
  <si>
    <t xml:space="preserve">   - Egyéb felhalmozási célú támogatások ÁH-n belülre</t>
  </si>
  <si>
    <t xml:space="preserve">   - Visszatérítendő támogatások, kölcsönök nyújtása ÁH-n belülre</t>
  </si>
  <si>
    <t>Államháztartáson belüli megelőlegezések folyósítása</t>
  </si>
  <si>
    <t>Államháztartáson belüli megelőlegezések visszafizetése</t>
  </si>
  <si>
    <t>KÖLTSÉGVETÉSI, FINANSZÍROZÁSI BEVÉTELEK ÉS KIADÁSOK EGYENLEGE</t>
  </si>
  <si>
    <t>Önkormányzatok működési támogatásai</t>
  </si>
  <si>
    <t>Működési célú támogatások államháztartáson belülről</t>
  </si>
  <si>
    <t>Működési célú átvett pénzeszközök</t>
  </si>
  <si>
    <t xml:space="preserve">   Likviditási célú hitelek, kölcsönök felvétele</t>
  </si>
  <si>
    <t>Hiány belső finanszírozásának bevételei (15.+…+18. )</t>
  </si>
  <si>
    <t xml:space="preserve">Hiány külső finanszírozásának bevételei (20.+…+21.) </t>
  </si>
  <si>
    <t>Likviditási célú hitelek törlesztése</t>
  </si>
  <si>
    <t>Költségvetési kiadások összesen (1.+...+12.)</t>
  </si>
  <si>
    <t>Felhalmozási célú támogatások államháztartáson belülről</t>
  </si>
  <si>
    <t>1.-ből EU-s támogatás</t>
  </si>
  <si>
    <t>Felhalmozási célú átvett pénzeszközök átvétele</t>
  </si>
  <si>
    <t>4.-ből EU-s támogatás (közvetlen)</t>
  </si>
  <si>
    <t>Egyéb felhalmozási célú bevételek</t>
  </si>
  <si>
    <t>Felhalmozási célú finanszírozási bevételek összesen (13.+19.)</t>
  </si>
  <si>
    <t>1.-ből EU-s forrásból megvalósuló beruházás</t>
  </si>
  <si>
    <t>3.-ból EU-s forrásból megvalósuló felújítás</t>
  </si>
  <si>
    <t>Pénzügyi lízing kiadásai</t>
  </si>
  <si>
    <t>Felhalmozási célú finanszírozási kiadások összesen
(13.+...+24.)</t>
  </si>
  <si>
    <t>BEVÉTEL ÖSSZESEN (12+25)</t>
  </si>
  <si>
    <t>KIADÁSOK ÖSSZESEN (12+25)</t>
  </si>
  <si>
    <t xml:space="preserve"> 10.</t>
  </si>
  <si>
    <t>2.-ból EU-s támogatás</t>
  </si>
  <si>
    <t>Költségvetési bevételek összesen: (1.+3.+4.+6.+…+11.)</t>
  </si>
  <si>
    <t>Költségvetési kiadások összesen: (1.+3.+5.+...+11.)</t>
  </si>
  <si>
    <t>Összes bevétel, kiadás</t>
  </si>
  <si>
    <t>Kiszámlázott általános forgalmi adó</t>
  </si>
  <si>
    <t>Általános forgalmi adó visszatérülése</t>
  </si>
  <si>
    <t>Működési célú támogatások államháztartáson belülről (2.1.+…+2.3.)</t>
  </si>
  <si>
    <t>Visszatérítendő támogatások, kölcsönök visszatérülése ÁH-n belülről</t>
  </si>
  <si>
    <t>Egyéb működési célú támogatások bevételei államháztartáson belülről</t>
  </si>
  <si>
    <t>Felhalmozási célú támogatások államháztartáson belülről (4.1.+4.2.)</t>
  </si>
  <si>
    <t>Egyéb felhalmozási célú támogatások bevételei államháztartáson belülről</t>
  </si>
  <si>
    <t>Felhalmozási bevételek (5.1.+…+5.3.)</t>
  </si>
  <si>
    <t>Felhalmozási célú átvett pénzeszközök</t>
  </si>
  <si>
    <t>Költségvetési bevételek összesen (1.+…+7.)</t>
  </si>
  <si>
    <t>Finanszírozási bevételek (9.1.+…+9.3.)</t>
  </si>
  <si>
    <t>9.1.</t>
  </si>
  <si>
    <t>9.2.</t>
  </si>
  <si>
    <t>9.3.</t>
  </si>
  <si>
    <t>Irányító szervi (önkormányzati) támogatás (intézményfinanszírozás)</t>
  </si>
  <si>
    <t>BEVÉTELEK ÖSSZESEN: (8.+9.)</t>
  </si>
  <si>
    <t>Működési költségvetés kiadásai (1.1+…+1.5.)</t>
  </si>
  <si>
    <t>Felhalmozási költségvetés kiadásai (2.1.+…+2.3.)</t>
  </si>
  <si>
    <t>Kötelező feladatok bevételei, kiadásai</t>
  </si>
  <si>
    <t>Önként vállalt feladatok bevételei, kiadásai</t>
  </si>
  <si>
    <t>Működési célú támogatások ÁH-on belül</t>
  </si>
  <si>
    <t>Felhalmozási célú támogatások ÁH-on belül</t>
  </si>
  <si>
    <t>Működési bevételek</t>
  </si>
  <si>
    <t xml:space="preserve">Működési célú visszatérítendő támogatások, kölcsönök visszatérülése </t>
  </si>
  <si>
    <t>Működési célú visszatérítendő támogatások, kölcsönök igénybevétele</t>
  </si>
  <si>
    <t>Felhalmozási célú visszatérítendő támogatások, kölcsönök visszatérülése</t>
  </si>
  <si>
    <t>Felhalmozási célú visszatérítendő támogatások, kölcsönök igénybevétele</t>
  </si>
  <si>
    <t>Működési célú visszatérítendő támogatások, kölcsönök visszatér. ÁH-n kívülről</t>
  </si>
  <si>
    <t>Felhalm. célú visszatérítendő támogatások, kölcsönök visszatér. ÁH-n kívülről</t>
  </si>
  <si>
    <t>2.5.-ből        - Garancia- és kezességvállalásból kifizetés ÁH-n belülre</t>
  </si>
  <si>
    <t>Kötelező feladatok bevételei, kiadása</t>
  </si>
  <si>
    <t>Önként vállalt feladatok bevételei, kiadása</t>
  </si>
  <si>
    <t>04</t>
  </si>
  <si>
    <t xml:space="preserve">Működési célú kvi támogatások és kiegészítő támogatások </t>
  </si>
  <si>
    <t>Elszámolásból származó bevételek</t>
  </si>
  <si>
    <t>Működési bevételek (5.1.+…+ 5.11.)</t>
  </si>
  <si>
    <t>5.11.</t>
  </si>
  <si>
    <t>Biztosító által fizetett kártérítés</t>
  </si>
  <si>
    <r>
      <t xml:space="preserve">   Működési költségvetés kiadásai </t>
    </r>
    <r>
      <rPr>
        <sz val="8"/>
        <rFont val="Times New Roman CE"/>
        <charset val="238"/>
      </rPr>
      <t>(1.1+…+1.5.+1.18.)</t>
    </r>
  </si>
  <si>
    <t>1.16.</t>
  </si>
  <si>
    <t>1.17.</t>
  </si>
  <si>
    <t xml:space="preserve">   - Elvonások és befizetések</t>
  </si>
  <si>
    <t xml:space="preserve">   - Törvényi előíráson alapuló befizetések</t>
  </si>
  <si>
    <t xml:space="preserve"> - az 1.5-ből: - Előző évi elszámolásból származó befizetések</t>
  </si>
  <si>
    <t>1.18.</t>
  </si>
  <si>
    <t>1.19.</t>
  </si>
  <si>
    <t>1.20.</t>
  </si>
  <si>
    <t xml:space="preserve"> - az 1.18-ból: - Általános tartalék</t>
  </si>
  <si>
    <t xml:space="preserve">   - Céltartalék</t>
  </si>
  <si>
    <t>KÖLTSÉGVETÉSI KIADÁSOK ÖSSZESEN (1+2)</t>
  </si>
  <si>
    <t>Hitel-, kölcsöntörlesztés államháztartáson kívülre (4.1. + … + 4.3.)</t>
  </si>
  <si>
    <t>Belföldi értékpapírok kiadásai (5.1. + … + 5.6.)</t>
  </si>
  <si>
    <t>Befektetési célú belföldi értékpapírok vásárlása</t>
  </si>
  <si>
    <t>Kincstárjegyek beváltása</t>
  </si>
  <si>
    <t>Éven belüli lejáratú belföldi értékpapírok beváltása</t>
  </si>
  <si>
    <t>Belföldi kötvények beváltása</t>
  </si>
  <si>
    <t>Éven túli lejáratú belföldi értékpapírok beváltása</t>
  </si>
  <si>
    <t>Hosszú lejáratú hitelek, kölcsönök törlesztése pénzügyi vállalkozásnak</t>
  </si>
  <si>
    <t>Likviditási célú hitelek, kölcsönök törlesztése pénzügyi vállalkozásnak</t>
  </si>
  <si>
    <t>Rövid lejáratú hitelek, kölcsönök törlesztése pénzügyi vállalkozásnak</t>
  </si>
  <si>
    <t>Forgatási célú belföldi értékpapírok vásárlása</t>
  </si>
  <si>
    <t>Forgatási célú külföldi értékpapírok vásárlása</t>
  </si>
  <si>
    <t xml:space="preserve">   Rövid lejáratú  hitelek, kölcsönök felvétele</t>
  </si>
  <si>
    <t>Külföldi értékpapírok beváltása</t>
  </si>
  <si>
    <t>Belföldi finanszírozás kiadásai (6.1. + … + 6.4.)</t>
  </si>
  <si>
    <t>Pénzeszközök lekötött betétként elhelyezése</t>
  </si>
  <si>
    <t>Külföldi finanszírozás kiadásai (7.1. + … + 7.5.)</t>
  </si>
  <si>
    <t>7.5.</t>
  </si>
  <si>
    <t>Befektetési célú külföldi értékpapírok vásárlása</t>
  </si>
  <si>
    <t>Hitelek, kölcsönök törlesztése külföldi kormányoknak nemz. Szervezeteknek</t>
  </si>
  <si>
    <t>Hitelek, kölcsönök törlesztése külföldi pénzintézeteknek</t>
  </si>
  <si>
    <t>Adóssághoz nem kapcsolódó származékos ügyletek</t>
  </si>
  <si>
    <t>Váltókiadások</t>
  </si>
  <si>
    <t>KIADÁSOK ÖSSZESEN: (3.+10.)</t>
  </si>
  <si>
    <t>FINANSZÍROZÁSI KIADÁSOK ÖSSZESEN: (4.+…+9.)</t>
  </si>
  <si>
    <t>Költségvetési hiány, többlet ( költségvetési bevételek 9. sor - költségvetési kiadások 3. sor) (+/-)</t>
  </si>
  <si>
    <t>Váltóbevételek</t>
  </si>
  <si>
    <t xml:space="preserve">   9.</t>
  </si>
  <si>
    <t xml:space="preserve">    18.</t>
  </si>
  <si>
    <t>FINANSZÍROZÁSI BEVÉTELEK ÖSSZESEN: (10. + … +16.)</t>
  </si>
  <si>
    <t>KÖLTSÉGVETÉSI ÉS FINANSZÍROZÁSI BEVÉTELEK ÖSSZESEN: (9+17)</t>
  </si>
  <si>
    <t>Finanszírozási bevételek, kiadások egyenlege (finanszírozási bevételek 17. sor - finanszírozási kiadások 10. sor)
 (+/-)</t>
  </si>
  <si>
    <t>6.-ból EU-s támogatás (közvetlen)</t>
  </si>
  <si>
    <t>Költségvetési bevételek összesen (1.+2.+4.+5.+6.+8.+…+12.)</t>
  </si>
  <si>
    <t>Működési célú finanszírozási bevételek összesen (14.+19.+22.+23.)</t>
  </si>
  <si>
    <t>BEVÉTEL ÖSSZESEN (13.+24.)</t>
  </si>
  <si>
    <t>Működési célú finanszírozási kiadások összesen (14.+...+23.)</t>
  </si>
  <si>
    <t>KIADÁSOK ÖSSZESEN (13.+24.)</t>
  </si>
  <si>
    <t xml:space="preserve">2.1. számú melléklet C. oszlop 13. sor + 2.2. számú melléklet C. oszlop 12. sor </t>
  </si>
  <si>
    <t xml:space="preserve">2.1. számú melléklet C. oszlop 24. sor + 2.2. számú melléklet C. oszlop 25. sor </t>
  </si>
  <si>
    <t xml:space="preserve">2.1. számú melléklet C. oszlop 25. sor + 2.2. számú melléklet C. oszlop 26. sor </t>
  </si>
  <si>
    <t xml:space="preserve">2.1. számú melléklet E. oszlop 13. sor + 2.2. számú melléklet E. oszlop 12. sor </t>
  </si>
  <si>
    <t xml:space="preserve">2.1. számú melléklet E. oszlop 24. sor + 2.2. számú melléklet E. oszlop 25. sor </t>
  </si>
  <si>
    <t xml:space="preserve">2.1. számú melléklet E. oszlop 25. sor + 2.2. számú melléklet E. oszlop 26. sor </t>
  </si>
  <si>
    <t>A</t>
  </si>
  <si>
    <t>B</t>
  </si>
  <si>
    <t>C</t>
  </si>
  <si>
    <t>E</t>
  </si>
  <si>
    <t>D</t>
  </si>
  <si>
    <t>F</t>
  </si>
  <si>
    <t>G</t>
  </si>
  <si>
    <t>H</t>
  </si>
  <si>
    <t>I=(D+E+F+G+H)</t>
  </si>
  <si>
    <t>Összesen
(F=C+D+E)</t>
  </si>
  <si>
    <t>Helyi adóból és a települési adóból származó bevétel</t>
  </si>
  <si>
    <t>Osztalék, koncessziós díj és hozambevétel</t>
  </si>
  <si>
    <t>Kezesség-, illetve garanciavállalással kapcsolatos megtérülés</t>
  </si>
  <si>
    <t>Működési célú kvi támogatások és kiegészítő támogatások</t>
  </si>
  <si>
    <t xml:space="preserve">   16.</t>
  </si>
  <si>
    <t xml:space="preserve">   17.</t>
  </si>
  <si>
    <t xml:space="preserve">   18.</t>
  </si>
  <si>
    <t>BEVÉTELEK ÖSSZESEN: (9+17)</t>
  </si>
  <si>
    <t xml:space="preserve"> az 1.5-ből: - Előző évi elszámolásból származó befizetések</t>
  </si>
  <si>
    <t xml:space="preserve"> az 1.18-ból: - Általános tartalék</t>
  </si>
  <si>
    <t xml:space="preserve">     - Céltartalék</t>
  </si>
  <si>
    <r>
      <t xml:space="preserve">   Működési költségvetés kiadásai </t>
    </r>
    <r>
      <rPr>
        <sz val="8"/>
        <rFont val="Times New Roman CE"/>
        <charset val="238"/>
      </rPr>
      <t>(1.1+…+1.5+1.18.)</t>
    </r>
  </si>
  <si>
    <t>Éven belüli lejáatú belföldi értékpapírok beváltása</t>
  </si>
  <si>
    <t>Rövid lejáratú hitelek, kölcsönök törlesztése</t>
  </si>
  <si>
    <t>Hosszú lejáratú hitelek, kölcsönök törlesztése</t>
  </si>
  <si>
    <t>Hitelek, kölcsönök törlesztése külföldi kormányoknak nemz. szervezeteknek</t>
  </si>
  <si>
    <t>Éves tervezett létszám előirányzat (fő)</t>
  </si>
  <si>
    <t>Működési bevételek (1.1.+…+1.11.)</t>
  </si>
  <si>
    <t xml:space="preserve">  2.3-ból EU támogatás</t>
  </si>
  <si>
    <t>Felhalmozási célú támogatások államháztartáson belülről (4.1.+…+4.3.)</t>
  </si>
  <si>
    <t xml:space="preserve">  4.3.-ból EU-s támogatás</t>
  </si>
  <si>
    <t xml:space="preserve"> 2.3.-ból EU-s támogatásból megvalósuló programok, projektek kiadása</t>
  </si>
  <si>
    <t xml:space="preserve">  2.3.-ból EU támogatás</t>
  </si>
  <si>
    <t xml:space="preserve">  4.2.-ből EU-s támogatás</t>
  </si>
  <si>
    <t>KÖLTSÉGVETÉSI BEVÉTELEK ÖSSZESEN (1.+…+7.)</t>
  </si>
  <si>
    <t>Államigazgatási feladatok bevételei, kiadása</t>
  </si>
  <si>
    <t>KIADÁSOK ÖSSZESEN: (1.+2.+3.)</t>
  </si>
  <si>
    <t>Államigazgatási feladatok bevételei, kiadásai</t>
  </si>
  <si>
    <t>Önkormányzat működési támogatásai</t>
  </si>
  <si>
    <t xml:space="preserve">Felhalmozási célú átvett pénzeszközök </t>
  </si>
  <si>
    <t xml:space="preserve">Működési célú átvett pénzeszközök </t>
  </si>
  <si>
    <t xml:space="preserve">Működési bevételek </t>
  </si>
  <si>
    <t xml:space="preserve">FINANSZÍROZÁSI BEVÉTELEK ÖSSZESEN: </t>
  </si>
  <si>
    <t>KÖLTSÉGVETÉSI ÉS FINANSZÍROZÁSI BEVÉTELEK ÖSSZESEN: (9+10)</t>
  </si>
  <si>
    <t xml:space="preserve">   Működési költségvetés kiadásai </t>
  </si>
  <si>
    <t>FINANSZÍROZÁSI KIADÁSOK ÖSSZESEN:</t>
  </si>
  <si>
    <t>KIADÁSOK ÖSSZESEN: (3.+4.)</t>
  </si>
  <si>
    <t>Központi, irányító szervi támogatás</t>
  </si>
  <si>
    <t>Belföldi finanszírozás kiadásai (6.1. + … + 6.5.)</t>
  </si>
  <si>
    <t xml:space="preserve">   Felhalmozási költségvetés kiadásai (2.1.+2.2.+2.3.)</t>
  </si>
  <si>
    <t>Hitel-, kölcsönfelvétel államháztartáson kívülről  (10.1.+…+10.3.)</t>
  </si>
  <si>
    <t>1.1. sz. melléklet Bevételek táblázat C. oszlop 9 sora =</t>
  </si>
  <si>
    <t>1.1. sz. melléklet Bevételek táblázat C. oszlop 17 sora =</t>
  </si>
  <si>
    <t>1.1. sz. melléklet Bevételek táblázat C. oszlop 18 sora =</t>
  </si>
  <si>
    <t>1.1. sz. melléklet Kiadások táblázat C. oszlop 3 sora =</t>
  </si>
  <si>
    <t>1.1. sz. melléklet Kiadások táblázat C. oszlop 10 sora =</t>
  </si>
  <si>
    <t>1.1. sz. melléklet Kiadások táblázat C. oszlop 11 sora =</t>
  </si>
  <si>
    <t>Önkormányzatok szociális és gyermekjóléti, étkeztetési feladatainak támogatása</t>
  </si>
  <si>
    <t>Közhatalmi bevételek (4.1.+…+4.7.)</t>
  </si>
  <si>
    <t>4.5.</t>
  </si>
  <si>
    <t>4.6.</t>
  </si>
  <si>
    <t>4.7.</t>
  </si>
  <si>
    <t>Építményadó</t>
  </si>
  <si>
    <t>Idegenforgalmi adó</t>
  </si>
  <si>
    <t>Iparűzési adó</t>
  </si>
  <si>
    <t>Talajterhelési díj</t>
  </si>
  <si>
    <t>Kamatbevételek és más nyereségjellegű bevételek</t>
  </si>
  <si>
    <t>Közhatalmi bevételek (4.1.+...+4.7.)</t>
  </si>
  <si>
    <t>Kamatbevételek és más nyereség jellegű bevételek</t>
  </si>
  <si>
    <t>F=(B-D-E)</t>
  </si>
  <si>
    <t>Kiemelt előirányzat, előirányzat megnevezése</t>
  </si>
  <si>
    <t>Forintban!</t>
  </si>
  <si>
    <t>Hozzájárulás  (Ft)</t>
  </si>
  <si>
    <t>Éves eredeti kiadási előirányzat: …………… Ft</t>
  </si>
  <si>
    <t>Bruttó  hiány:</t>
  </si>
  <si>
    <t>Bruttó  többlet:</t>
  </si>
  <si>
    <t xml:space="preserve">   3.5.-ből EU-s támogatás</t>
  </si>
  <si>
    <t xml:space="preserve">   Rövid lejáratú  hitelek, kölcsönök felvétele pénzügyi vállalkozástól</t>
  </si>
  <si>
    <t>Éven belüli lejáratú belföldi értékpapírok kibocsátása</t>
  </si>
  <si>
    <t>Éven túli lejáratú belföldi értékpapírok kibocsátása</t>
  </si>
  <si>
    <t>Lekötött betétek megszüntetése</t>
  </si>
  <si>
    <t xml:space="preserve">Egyéb működési célú támogatások bevételei államháztartáson belülről </t>
  </si>
  <si>
    <t>Egyéb felhalmozási célú kiadások</t>
  </si>
  <si>
    <t xml:space="preserve">   Elszámolásból származó bevételek</t>
  </si>
  <si>
    <t xml:space="preserve">   2.5.-ből EU-s támogatás</t>
  </si>
  <si>
    <t xml:space="preserve">   Egyéb működési bevételek</t>
  </si>
  <si>
    <t>2019. évi előirányzat BEVÉTELEK</t>
  </si>
  <si>
    <t>2019. ÉVI KÖLTSÉGVETÉS</t>
  </si>
  <si>
    <t>ÖSSZEVONT MÉRLEGE</t>
  </si>
  <si>
    <t>KÖTELEZŐ FELADATOK MÉRLEGE</t>
  </si>
  <si>
    <t>ÖNKÉNT VÁLLALT FELADATOK MÉRLEGE</t>
  </si>
  <si>
    <t>ÁLLAMIGAZGATÁSI FELADATOK MÉRLEGE</t>
  </si>
  <si>
    <t>Tartalomjegyzék</t>
  </si>
  <si>
    <t>Ugrás</t>
  </si>
  <si>
    <t>ALAPADATOK</t>
  </si>
  <si>
    <t>KÖLTSÉGVETÉSI RENDLET</t>
  </si>
  <si>
    <t>1. költségvetési szerv neve</t>
  </si>
  <si>
    <t>2. költségvetési szerv neve</t>
  </si>
  <si>
    <t>3. költségvetési szerv neve</t>
  </si>
  <si>
    <t>4. költségvetési szerv neve</t>
  </si>
  <si>
    <t>5. költségvetési szerv neve</t>
  </si>
  <si>
    <t>6. költségvetési szerv neve</t>
  </si>
  <si>
    <t>7. költségvetési szerv neve</t>
  </si>
  <si>
    <t>8. költségvetési szerv neve</t>
  </si>
  <si>
    <t>10. költségvetési szerv neve</t>
  </si>
  <si>
    <t>6 kvi név</t>
  </si>
  <si>
    <t>7 kvi név</t>
  </si>
  <si>
    <t>8 kvi név</t>
  </si>
  <si>
    <t>9 kvi név</t>
  </si>
  <si>
    <t>10 kvi név</t>
  </si>
  <si>
    <t>Tájékoztató a 2017. évi tény, 2018. évi várható és 2019. évi terv adatokról</t>
  </si>
  <si>
    <t>BEVÉTELEI, KIADÁSAI</t>
  </si>
  <si>
    <t>2019. ÉVI KÖLTSÉGVETÉSI ÉVET KÖVETŐ 3 ÉV TERVEZETT</t>
  </si>
  <si>
    <t>05</t>
  </si>
  <si>
    <t>06</t>
  </si>
  <si>
    <t>07</t>
  </si>
  <si>
    <t>A dokumentációs rendszerben található táblázatok listája</t>
  </si>
  <si>
    <t>Dokumentum neve</t>
  </si>
  <si>
    <t>Alapadatok</t>
  </si>
  <si>
    <t>Adatok megadása</t>
  </si>
  <si>
    <t>Összefüggések</t>
  </si>
  <si>
    <t>Táblázuatok adatainak összefüggései</t>
  </si>
  <si>
    <t xml:space="preserve">1.1. melléklet </t>
  </si>
  <si>
    <t>Önkormányzat összevont pénzügyi mérlege összesen</t>
  </si>
  <si>
    <t>1.2. melléklet</t>
  </si>
  <si>
    <t>1.3. melléklet</t>
  </si>
  <si>
    <t xml:space="preserve">Önkormányzat kötelező feladatainak összevont pénzügyi mérlege  </t>
  </si>
  <si>
    <t xml:space="preserve">Önkormányzat önként vállalt feladatainak összevont pénzügyi mérlege  </t>
  </si>
  <si>
    <t>1.4. melléklet</t>
  </si>
  <si>
    <t xml:space="preserve">Önkormányzat államigazgatási feladatainak összevont pénzügyi mérlege  </t>
  </si>
  <si>
    <t>2.1. melléklet</t>
  </si>
  <si>
    <t>Működési célú bevételek, kiadások mérlege</t>
  </si>
  <si>
    <t>2.2. melléklet</t>
  </si>
  <si>
    <t>Felhalmozási célú bevételek, kiadások mérlege</t>
  </si>
  <si>
    <t>Ellenőrző lista</t>
  </si>
  <si>
    <t>Ellenőrzés az 1-es és 2.1., 2.2. mellékletek adati esetében</t>
  </si>
  <si>
    <t>3. melléklet</t>
  </si>
  <si>
    <t>Adósságet keletekeztető ügyletek táblázata</t>
  </si>
  <si>
    <t>4. melléklet</t>
  </si>
  <si>
    <t>Önkormányzat saját bevételeinek bemutatása</t>
  </si>
  <si>
    <t>Az önkormányzat adósságot keletkeztető fejlesztései céljai</t>
  </si>
  <si>
    <t>5. melléklet</t>
  </si>
  <si>
    <t>6. melléklet</t>
  </si>
  <si>
    <t>Beruházások előirányzatai</t>
  </si>
  <si>
    <t>7. melléklet</t>
  </si>
  <si>
    <t>Felújítások előirányzatai</t>
  </si>
  <si>
    <t>8. melléklet</t>
  </si>
  <si>
    <t>EU-s projektek táblázatai</t>
  </si>
  <si>
    <t>9.1. melléklet</t>
  </si>
  <si>
    <t>Önkormányzat bevételei kiadásai (összesen)</t>
  </si>
  <si>
    <t>9.1.1. melléklet</t>
  </si>
  <si>
    <t xml:space="preserve">Önkormányzat kötelező feladatai  </t>
  </si>
  <si>
    <t>9.1.2. melléklet</t>
  </si>
  <si>
    <t xml:space="preserve">Önkormányzat önként vállalt feladatai </t>
  </si>
  <si>
    <t>9.1.3. melléklet</t>
  </si>
  <si>
    <t xml:space="preserve">Önkormányzat államigazgatási feladatai </t>
  </si>
  <si>
    <t>9.2. melléklet</t>
  </si>
  <si>
    <t>Polgármesteri/Közös hivatal költségvetési táblái (9.2.1., 9.2.2., 9.2.3.)</t>
  </si>
  <si>
    <t>9.3. melléklet</t>
  </si>
  <si>
    <t>9.4. melléklet</t>
  </si>
  <si>
    <t>/</t>
  </si>
  <si>
    <t>(</t>
  </si>
  <si>
    <t>)</t>
  </si>
  <si>
    <t>…</t>
  </si>
  <si>
    <t>a</t>
  </si>
  <si>
    <t>önkormányzati rendelethez</t>
  </si>
  <si>
    <t>9.5. melléklet</t>
  </si>
  <si>
    <t>9.6. melléklet</t>
  </si>
  <si>
    <t>9.7. melléklet</t>
  </si>
  <si>
    <t>9.8. melléklet</t>
  </si>
  <si>
    <t>9.9. melléklet</t>
  </si>
  <si>
    <t>9.10. melléklet</t>
  </si>
  <si>
    <t>9.11. melléklet</t>
  </si>
  <si>
    <t>9.12. melléklet</t>
  </si>
  <si>
    <t>10. melléklet</t>
  </si>
  <si>
    <t>1. számú tájékoztató tábla</t>
  </si>
  <si>
    <t>2. számú tájékoztató tábla</t>
  </si>
  <si>
    <t>3. számú tájékoztató tábla</t>
  </si>
  <si>
    <t>4. számú tájékoztató tábla</t>
  </si>
  <si>
    <t>5. számú tájékoztató tábla</t>
  </si>
  <si>
    <t>6. számú tájékoztató tábla</t>
  </si>
  <si>
    <t>7. számú tájékoztató tábla</t>
  </si>
  <si>
    <t>Adatszolgáltatás az elismert tartozásállományról</t>
  </si>
  <si>
    <t>Az önkormányzat által adott közvetett támogatások (kedvezmények)</t>
  </si>
  <si>
    <t>Előirányzat-felhasználási terv 2019. évre</t>
  </si>
  <si>
    <t>2019. évi általános működés és ágazati feladatok támogatásának alakulása jogcímenként</t>
  </si>
  <si>
    <t>Kimutatás a 2019. évben céljelleggel juttatott támogatásokról</t>
  </si>
  <si>
    <t>2019. évi költségvetési évet követő 3 év tervezett kiadásai, bevételei</t>
  </si>
  <si>
    <t>Európai uniós támogatással megvalósuló projektek</t>
  </si>
  <si>
    <t>bevételei, kiadási, hozzájárulások</t>
  </si>
  <si>
    <t>Előterjesztéskor</t>
  </si>
  <si>
    <t>Forintban</t>
  </si>
  <si>
    <t>* Magyarország 2019. évi központi költségvetéséról szóló törvény</t>
  </si>
  <si>
    <t>2018. évi L.
törvény 2. sz. melléklete száma*</t>
  </si>
  <si>
    <t>Egyéb</t>
  </si>
  <si>
    <t>DABAS ÖNKORMÁNYZATA</t>
  </si>
  <si>
    <t>Dabas Sári Óvoda</t>
  </si>
  <si>
    <t>Dabasi Egyesített Óvodák</t>
  </si>
  <si>
    <t>Kossuth Művelődési Központ és Halász Boldizsár Városi Könyvtár</t>
  </si>
  <si>
    <t>Dr. Halász Géza Szakorvosi Rendelőintézet</t>
  </si>
  <si>
    <t>Dabasi Intézményfenntartó Központ</t>
  </si>
  <si>
    <t>Dabas Önkormányzat adósságot keletkeztető ügyletekből és kezességvállalásokból fennálló kötelezettségei</t>
  </si>
  <si>
    <t>Dabas Önkormányzat saját bevételeinek részletezése az adósságot keletkeztető ügyletből származó tárgyévi fizetési kötelezettség megállapításához</t>
  </si>
  <si>
    <t>Dabas Önkormányzat 2019. évi adósságot keletkeztető fejlesztési céljai</t>
  </si>
  <si>
    <t>Szélmalom u. felújítása és járdafelújítás</t>
  </si>
  <si>
    <t>Piac fejlesztése</t>
  </si>
  <si>
    <t>Kerékpárút létesítése Dabasi-Szőlők és Dabas-Gyón közötti szakaszon</t>
  </si>
  <si>
    <t>Mini bölcsőde kialakítása</t>
  </si>
  <si>
    <t>Mánteleki tó turisztikai fejlesztése</t>
  </si>
  <si>
    <t>Dabasi Ligetfesztivál</t>
  </si>
  <si>
    <t>Rendezési terv</t>
  </si>
  <si>
    <t>Fehérakác, Zrinyi útfelújítás</t>
  </si>
  <si>
    <t>Adós szoftver</t>
  </si>
  <si>
    <t>Térfigyelő Rendszer</t>
  </si>
  <si>
    <t>36 lakásostársasház szigetelésének támogatása</t>
  </si>
  <si>
    <t>Zöldfelület gépkocsi vásárlás</t>
  </si>
  <si>
    <t>Vasút u. Dinnyés L.u. I.ütem szennyvíz</t>
  </si>
  <si>
    <t>Vasút u. Dinnyés L.u. I.ütem vízvezeték</t>
  </si>
  <si>
    <t>Rádió fejlesztés</t>
  </si>
  <si>
    <t>Lurkó ovifelújítása</t>
  </si>
  <si>
    <t xml:space="preserve">Levendula Ház </t>
  </si>
  <si>
    <t>Bennárik-Ház felújítása</t>
  </si>
  <si>
    <t>Dabas-Szőlő ingatlan vásárlás (kocsma)</t>
  </si>
  <si>
    <t>Önkormányzati ingatlanok fejlesztése</t>
  </si>
  <si>
    <t>2019.2019.</t>
  </si>
  <si>
    <t>Borzasi kápolna felújítása Dabas része Felhalmozásra átadott pénzeszköz</t>
  </si>
  <si>
    <t>OBO Aréna felújításához önrész Felhalmozásra átadott pénzeszköz</t>
  </si>
  <si>
    <t>FC Dabas Labdarúgó csarnok önrész Felhalmozásra átadott pénzeszköz</t>
  </si>
  <si>
    <t>Pantheon Kft fejlesztési támogatása Felhalmozásra átadott pénzeszköz</t>
  </si>
  <si>
    <t>2018.2019.</t>
  </si>
  <si>
    <t>2019.2020.</t>
  </si>
  <si>
    <t>Citera zenekar támogatása</t>
  </si>
  <si>
    <t>Rozmaring Népdalkör támogatása</t>
  </si>
  <si>
    <t>Civil szervezetek, egyesületek rezsi költsége</t>
  </si>
  <si>
    <t>FC Dabas SE támogatás</t>
  </si>
  <si>
    <t xml:space="preserve">Dabas Városi Kézilabda Club  </t>
  </si>
  <si>
    <t>Vívás, asztalitenisz és triatlon támogatása</t>
  </si>
  <si>
    <t>Magyar Zarándokút  támogatása(tagdíj)</t>
  </si>
  <si>
    <t>Sportcsarnok Kft támogatása</t>
  </si>
  <si>
    <t>Társult ÖK Együtt Segítőszolgálat támogatása</t>
  </si>
  <si>
    <t>OKÖT-Reménysugár Fogyatékosok támogatása</t>
  </si>
  <si>
    <t>OKÖT-Reménysugár Fogyatékosok támogatása- Dabas</t>
  </si>
  <si>
    <t>Országközepe Többcélú Társulás</t>
  </si>
  <si>
    <t>Révfülöpi Üdülő Tábor Alapítvány</t>
  </si>
  <si>
    <t>Dabas Városi Roma Nemzetiségi Önkormányzat támogatása</t>
  </si>
  <si>
    <t>Sári-Szlovákok Önkormányzat támogatása</t>
  </si>
  <si>
    <t xml:space="preserve">OKÖT- Reménysugár Fogyatékosok támogatása - Dabas </t>
  </si>
  <si>
    <t>Társult ÖK Együtt Segítőszolgálat támogatása -Dabas</t>
  </si>
  <si>
    <t>Módosított előirányzat</t>
  </si>
  <si>
    <t>Módosítás 2019. 05. 31én</t>
  </si>
  <si>
    <t xml:space="preserve"> Módosított 2019. 05. 31.</t>
  </si>
  <si>
    <t xml:space="preserve"> Módosított előirányzat</t>
  </si>
  <si>
    <t>Dabasi Polgármesteri Hivatal</t>
  </si>
  <si>
    <t>EREDETI ELŐIRÁNYZAT</t>
  </si>
  <si>
    <t>Módosítás 2019. 05.31.</t>
  </si>
  <si>
    <t>Székek vásárlása rendezvényekre</t>
  </si>
  <si>
    <t>2019</t>
  </si>
  <si>
    <t>Lelik szobor</t>
  </si>
  <si>
    <t>Laptop váráslás Kuli Imre képviselő úr részére</t>
  </si>
  <si>
    <t>Felhalmozási célú átadptt támogatások</t>
  </si>
  <si>
    <t xml:space="preserve"> Módosított 2019. 07.31..</t>
  </si>
  <si>
    <t xml:space="preserve"> Módosított 2019. 07. 31.</t>
  </si>
  <si>
    <t>Módosítás 2019. 07.31.</t>
  </si>
  <si>
    <t>Módosítás 2019. 07. 31.</t>
  </si>
  <si>
    <t>Utak fejlesztése Dabas területén</t>
  </si>
  <si>
    <t>Gyóni városrész fejlesztés</t>
  </si>
  <si>
    <t>Térfigyelőrendszer műszaki ellenőrzése</t>
  </si>
  <si>
    <t>Jubileumi park játszótér kerítés csere, Bővítés esetén anygobb terület kerítése Jubipark felé</t>
  </si>
  <si>
    <t>Sportpályák festése</t>
  </si>
  <si>
    <t>Közterületi utcabútorok vásárlása</t>
  </si>
  <si>
    <t>Kulturális Központ  terv (tanulmányterv)</t>
  </si>
  <si>
    <t>Sári Ravatalozó terv</t>
  </si>
  <si>
    <t>Tesco út ledes közvilágítás</t>
  </si>
  <si>
    <t>Bölcsőde régészeti feltárás</t>
  </si>
  <si>
    <t>Bölcsöde régészeti földmunka</t>
  </si>
  <si>
    <t>Okmányirodánál levő szolgálati lakás</t>
  </si>
  <si>
    <t>Mánteleki úti orvosi rendelő környezetrendezés</t>
  </si>
  <si>
    <t>Közvilágítási lámpák fejlesztése (50 db )</t>
  </si>
  <si>
    <t>Közművelődési intézmények felújítása</t>
  </si>
  <si>
    <t>Házszámtáblák 2019.évi ütem</t>
  </si>
  <si>
    <t>Légsátorhoz tároló konténer vásárlás + állítás, bontás</t>
  </si>
  <si>
    <t>Konyha zöldhomlokzat (aláírt szerződés alapján)</t>
  </si>
  <si>
    <t>Halász Ede-kúria ingatlan épületrész vásárlása</t>
  </si>
  <si>
    <t>Halász Ede-kúria ingatlan épületrész vásárlása többletköltség lakásfelújítás</t>
  </si>
  <si>
    <t>Dinnyés-kúria és Levendula ház udvarrendezés</t>
  </si>
  <si>
    <t>Sári bölcsöde kialakítás</t>
  </si>
  <si>
    <t>Szökőkút</t>
  </si>
  <si>
    <t>Fakivágások többletköltség</t>
  </si>
  <si>
    <t xml:space="preserve">Fatelepítések </t>
  </si>
  <si>
    <t>Zenesikola héjazat csere</t>
  </si>
  <si>
    <t>Játszóterek fejlesztése építése</t>
  </si>
  <si>
    <t xml:space="preserve">Szőlő ravatoló </t>
  </si>
  <si>
    <t>Módosítás 2019. 04.30.</t>
  </si>
  <si>
    <t>Módosítás 2019. 07. 31én</t>
  </si>
  <si>
    <t>Dabas-Sári orvosi rendelő felújítása</t>
  </si>
  <si>
    <t>Kúriától-Kúriáig II. ütem</t>
  </si>
  <si>
    <t>Gyóni Géza Iskola lépcső felújítás</t>
  </si>
  <si>
    <t>Erkel u. óvoda felújítása</t>
  </si>
  <si>
    <t xml:space="preserve">Dabas-Szőlő egészségház </t>
  </si>
  <si>
    <t>2018-2019</t>
  </si>
  <si>
    <t>Halász M. u. szabadvezeték kiváltás</t>
  </si>
  <si>
    <t>RD Szlezák ingatlan vásárlás</t>
  </si>
  <si>
    <t xml:space="preserve">Interaktív kül- beltépri terv </t>
  </si>
  <si>
    <t>Opel Mokka gépkocsi vásárlás</t>
  </si>
  <si>
    <t>Informatikai eszközök beszerzése</t>
  </si>
  <si>
    <t>Intézmények beruházásai</t>
  </si>
  <si>
    <t>Berendezések vásárlása</t>
  </si>
  <si>
    <t>Adós szoftver vásárlása</t>
  </si>
  <si>
    <t>Kisértékű tárgyi eszközök beszerzése</t>
  </si>
  <si>
    <t>ÖSSZESEN</t>
  </si>
  <si>
    <t>VEKOP pályázatból tárgyi eszköz vásárlás</t>
  </si>
  <si>
    <t>Könyv beszerzésre átcsoportosítás</t>
  </si>
  <si>
    <t>Eszközbeszerzésekre maradványból</t>
  </si>
  <si>
    <t>Ivókút létesítése</t>
  </si>
  <si>
    <t>Tárgyi eszközök beszerzése</t>
  </si>
  <si>
    <t>Maradványból eszközbeszerzés</t>
  </si>
  <si>
    <t xml:space="preserve">Intézmények összesen: </t>
  </si>
  <si>
    <t xml:space="preserve">DABAS ÖNKORMÁNYZAT ÖSSZESEN: </t>
  </si>
  <si>
    <t xml:space="preserve"> Módosított 2019. 09. 30.</t>
  </si>
  <si>
    <t xml:space="preserve"> Módosított 2019. 09.30..</t>
  </si>
  <si>
    <t>Módosítás 2019. 09. 30-án</t>
  </si>
  <si>
    <t>Módosítás 2019. 09.30.</t>
  </si>
  <si>
    <t>Módosítás 2019. 09. 30.</t>
  </si>
  <si>
    <t>Szabaduló szoba kialakítása</t>
  </si>
  <si>
    <t>2020</t>
  </si>
  <si>
    <t>2021</t>
  </si>
  <si>
    <t>2022</t>
  </si>
  <si>
    <t>2023</t>
  </si>
  <si>
    <t>Felekezeti Bölcsöde terv</t>
  </si>
  <si>
    <t>Ár-, és belvízvédelmi árkok, csatornák kialakítása</t>
  </si>
  <si>
    <t>József Attila u. 61 ingatlan vásárlás</t>
  </si>
  <si>
    <t>Zenepavilon építése</t>
  </si>
  <si>
    <t>Révfülöpi Alapítvány támogatása</t>
  </si>
  <si>
    <t xml:space="preserve"> Módosított 2019. 12.12..</t>
  </si>
  <si>
    <t xml:space="preserve"> Módosított 2019. 12. 12.</t>
  </si>
  <si>
    <t xml:space="preserve"> Módosított 2019.12. 12.</t>
  </si>
  <si>
    <t xml:space="preserve"> Módosított 2019. 12.12.</t>
  </si>
  <si>
    <t>Módosítás 2019. 12.12</t>
  </si>
  <si>
    <t>Módosítás 2019. 12.12.</t>
  </si>
  <si>
    <t>Vasút út felújítása</t>
  </si>
  <si>
    <t>útfelújítások Dabas területén</t>
  </si>
  <si>
    <t>József A- Szűk u. felújítása</t>
  </si>
  <si>
    <t>Dabas Otthontmentő KFT fejl. Támogatása</t>
  </si>
  <si>
    <t>Gyóni Református Egyház fejl. Támogatása (Tető)</t>
  </si>
  <si>
    <t>Háziorvosi Rendelő fejlesztési támogatása</t>
  </si>
  <si>
    <t>Zárdakert Idősek Otthona fejlesztési támogatása</t>
  </si>
  <si>
    <t>Közművelődési érdekeltségnövelő támogatásból eszközök vásárlása</t>
  </si>
  <si>
    <t>Dabasi Közművelődési Intézmények többletbevételből eszközök vásárlása</t>
  </si>
  <si>
    <t>Pantheon Kft fejlesztési kiadása ( függöny vásárlás)</t>
  </si>
  <si>
    <t>Vasút u. terv készítése</t>
  </si>
  <si>
    <t>Módosítás 2019. 12. 12-án</t>
  </si>
</sst>
</file>

<file path=xl/styles.xml><?xml version="1.0" encoding="utf-8"?>
<styleSheet xmlns="http://schemas.openxmlformats.org/spreadsheetml/2006/main">
  <numFmts count="5">
    <numFmt numFmtId="43" formatCode="_-* #,##0.00\ _F_t_-;\-* #,##0.00\ _F_t_-;_-* &quot;-&quot;??\ _F_t_-;_-@_-"/>
    <numFmt numFmtId="166" formatCode="#,###"/>
    <numFmt numFmtId="168" formatCode="_-* #,##0\ _F_t_-;\-* #,##0\ _F_t_-;_-* &quot;-&quot;??\ _F_t_-;_-@_-"/>
    <numFmt numFmtId="174" formatCode="0&quot;.&quot;"/>
    <numFmt numFmtId="175" formatCode="_-* #,##0_-;\-* #,##0_-;_-* &quot;-&quot;??_-;_-@_-"/>
  </numFmts>
  <fonts count="69">
    <font>
      <sz val="10"/>
      <name val="Times New Roman CE"/>
      <charset val="238"/>
    </font>
    <font>
      <sz val="10"/>
      <name val="Times New Roman CE"/>
      <charset val="238"/>
    </font>
    <font>
      <sz val="11"/>
      <name val="Times New Roman CE"/>
      <family val="1"/>
      <charset val="238"/>
    </font>
    <font>
      <sz val="12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11"/>
      <name val="Times New Roman CE"/>
      <family val="1"/>
      <charset val="238"/>
    </font>
    <font>
      <b/>
      <i/>
      <sz val="10"/>
      <name val="Times New Roman CE"/>
      <family val="1"/>
      <charset val="238"/>
    </font>
    <font>
      <b/>
      <sz val="12"/>
      <name val="Times New Roman CE"/>
      <family val="1"/>
      <charset val="238"/>
    </font>
    <font>
      <b/>
      <sz val="9"/>
      <name val="Times New Roman CE"/>
      <family val="1"/>
      <charset val="238"/>
    </font>
    <font>
      <i/>
      <sz val="10"/>
      <name val="Times New Roman CE"/>
      <family val="1"/>
      <charset val="238"/>
    </font>
    <font>
      <i/>
      <sz val="11"/>
      <name val="Times New Roman CE"/>
      <family val="1"/>
      <charset val="238"/>
    </font>
    <font>
      <b/>
      <i/>
      <sz val="11"/>
      <name val="Times New Roman CE"/>
      <family val="1"/>
      <charset val="238"/>
    </font>
    <font>
      <sz val="12"/>
      <name val="Times New Roman CE"/>
      <charset val="238"/>
    </font>
    <font>
      <u/>
      <sz val="12"/>
      <color indexed="12"/>
      <name val="Times New Roman CE"/>
      <charset val="238"/>
    </font>
    <font>
      <u/>
      <sz val="12"/>
      <color indexed="36"/>
      <name val="Times New Roman CE"/>
      <charset val="238"/>
    </font>
    <font>
      <sz val="10"/>
      <name val="Times New Roman CE"/>
      <family val="1"/>
      <charset val="238"/>
    </font>
    <font>
      <b/>
      <sz val="12"/>
      <name val="Times New Roman"/>
      <family val="1"/>
      <charset val="238"/>
    </font>
    <font>
      <sz val="10"/>
      <name val="Times New Roman CE"/>
      <charset val="238"/>
    </font>
    <font>
      <i/>
      <sz val="10"/>
      <name val="Times New Roman CE"/>
      <charset val="238"/>
    </font>
    <font>
      <sz val="9"/>
      <name val="Times New Roman CE"/>
      <family val="1"/>
      <charset val="238"/>
    </font>
    <font>
      <b/>
      <sz val="8"/>
      <name val="Times New Roman CE"/>
      <family val="1"/>
      <charset val="238"/>
    </font>
    <font>
      <b/>
      <i/>
      <sz val="9"/>
      <name val="Times New Roman CE"/>
      <family val="1"/>
      <charset val="238"/>
    </font>
    <font>
      <sz val="8"/>
      <name val="Times New Roman CE"/>
      <family val="1"/>
      <charset val="238"/>
    </font>
    <font>
      <b/>
      <sz val="12"/>
      <name val="Times New Roman CE"/>
      <charset val="238"/>
    </font>
    <font>
      <b/>
      <sz val="12"/>
      <color indexed="10"/>
      <name val="Times New Roman CE"/>
      <charset val="238"/>
    </font>
    <font>
      <b/>
      <sz val="9"/>
      <name val="Times New Roman"/>
      <family val="1"/>
      <charset val="238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8"/>
      <name val="Times New Roman CE"/>
      <charset val="238"/>
    </font>
    <font>
      <sz val="8"/>
      <name val="Times New Roman CE"/>
      <charset val="238"/>
    </font>
    <font>
      <b/>
      <sz val="9"/>
      <name val="Times New Roman CE"/>
      <charset val="238"/>
    </font>
    <font>
      <b/>
      <sz val="10"/>
      <name val="Times New Roman CE"/>
      <charset val="238"/>
    </font>
    <font>
      <b/>
      <i/>
      <sz val="10"/>
      <name val="Times New Roman CE"/>
      <charset val="238"/>
    </font>
    <font>
      <i/>
      <sz val="8"/>
      <name val="Times New Roman CE"/>
      <charset val="238"/>
    </font>
    <font>
      <b/>
      <sz val="8"/>
      <name val="Times New Roman"/>
      <family val="1"/>
    </font>
    <font>
      <b/>
      <sz val="11"/>
      <name val="Times New Roman CE"/>
      <charset val="238"/>
    </font>
    <font>
      <b/>
      <i/>
      <sz val="9"/>
      <name val="Times New Roman CE"/>
      <charset val="238"/>
    </font>
    <font>
      <b/>
      <sz val="14"/>
      <name val="Times New Roman CE"/>
      <charset val="238"/>
    </font>
    <font>
      <sz val="9"/>
      <name val="Times New Roman CE"/>
      <charset val="238"/>
    </font>
    <font>
      <b/>
      <sz val="9"/>
      <color indexed="8"/>
      <name val="Times New Roman"/>
      <family val="1"/>
      <charset val="238"/>
    </font>
    <font>
      <sz val="9"/>
      <name val="Times New Roman"/>
      <family val="1"/>
      <charset val="238"/>
    </font>
    <font>
      <b/>
      <i/>
      <sz val="12"/>
      <name val="Times New Roman CE"/>
      <family val="1"/>
      <charset val="238"/>
    </font>
    <font>
      <sz val="11"/>
      <name val="Times New Roman CE"/>
      <charset val="238"/>
    </font>
    <font>
      <sz val="9"/>
      <color indexed="17"/>
      <name val="Times New Roman CE"/>
      <charset val="238"/>
    </font>
    <font>
      <sz val="10"/>
      <color indexed="17"/>
      <name val="Times New Roman CE"/>
      <charset val="238"/>
    </font>
    <font>
      <sz val="10"/>
      <name val="Times New Roman CE"/>
      <charset val="238"/>
    </font>
    <font>
      <b/>
      <i/>
      <sz val="11"/>
      <name val="Times New Roman CE"/>
      <charset val="238"/>
    </font>
    <font>
      <sz val="7"/>
      <name val="Times New Roman CE"/>
      <family val="1"/>
      <charset val="238"/>
    </font>
    <font>
      <b/>
      <sz val="7"/>
      <name val="Times New Roman CE"/>
      <family val="1"/>
      <charset val="238"/>
    </font>
    <font>
      <sz val="6"/>
      <name val="Times New Roman CE"/>
      <family val="1"/>
      <charset val="238"/>
    </font>
    <font>
      <b/>
      <sz val="6"/>
      <name val="Times New Roman CE"/>
      <family val="1"/>
      <charset val="238"/>
    </font>
    <font>
      <sz val="7"/>
      <name val="Times New Roman CE"/>
      <charset val="238"/>
    </font>
    <font>
      <b/>
      <sz val="7"/>
      <name val="Times New Roman CE"/>
      <charset val="238"/>
    </font>
    <font>
      <i/>
      <sz val="11"/>
      <name val="Times New Roman CE"/>
      <charset val="238"/>
    </font>
    <font>
      <sz val="10"/>
      <name val="Times New Roman"/>
      <family val="1"/>
      <charset val="238"/>
    </font>
    <font>
      <b/>
      <sz val="14"/>
      <name val="Times New Roman"/>
      <family val="1"/>
      <charset val="238"/>
    </font>
    <font>
      <i/>
      <sz val="11"/>
      <name val="Times New Roman"/>
      <family val="1"/>
      <charset val="238"/>
    </font>
    <font>
      <b/>
      <i/>
      <sz val="10"/>
      <name val="Times New Roman"/>
      <family val="1"/>
      <charset val="238"/>
    </font>
    <font>
      <sz val="12"/>
      <name val="Times New Roman"/>
      <family val="1"/>
      <charset val="238"/>
    </font>
    <font>
      <sz val="9"/>
      <color indexed="8"/>
      <name val="Times New Roman"/>
      <family val="1"/>
      <charset val="238"/>
    </font>
    <font>
      <u/>
      <sz val="10"/>
      <color theme="10"/>
      <name val="Times New Roman CE"/>
      <charset val="238"/>
    </font>
    <font>
      <sz val="11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0"/>
      <color rgb="FFFF0000"/>
      <name val="Times New Roman CE"/>
      <charset val="238"/>
    </font>
    <font>
      <sz val="8"/>
      <color rgb="FFFF0000"/>
      <name val="Times New Roman CE"/>
      <charset val="238"/>
    </font>
    <font>
      <sz val="12"/>
      <color rgb="FFFF0000"/>
      <name val="Times New Roman CE"/>
      <charset val="238"/>
    </font>
    <font>
      <sz val="9"/>
      <color theme="1"/>
      <name val="Times New Roman"/>
      <family val="1"/>
      <charset val="238"/>
    </font>
    <font>
      <b/>
      <sz val="14"/>
      <color rgb="FF000000"/>
      <name val="Times New Roman"/>
      <family val="1"/>
      <charset val="238"/>
    </font>
    <font>
      <b/>
      <sz val="14"/>
      <color rgb="FFFF0000"/>
      <name val="Times New Roman CE"/>
      <charset val="238"/>
    </font>
  </fonts>
  <fills count="8">
    <fill>
      <patternFill patternType="none"/>
    </fill>
    <fill>
      <patternFill patternType="gray125"/>
    </fill>
    <fill>
      <patternFill patternType="lightHorizontal"/>
    </fill>
    <fill>
      <patternFill patternType="darkHorizontal"/>
    </fill>
    <fill>
      <patternFill patternType="solid">
        <fgColor rgb="FFD8D8D8"/>
        <bgColor rgb="FF000000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7" fillId="0" borderId="0"/>
    <xf numFmtId="0" fontId="12" fillId="0" borderId="0"/>
    <xf numFmtId="0" fontId="12" fillId="0" borderId="0"/>
    <xf numFmtId="9" fontId="17" fillId="0" borderId="0" applyFont="0" applyFill="0" applyBorder="0" applyAlignment="0" applyProtection="0"/>
  </cellStyleXfs>
  <cellXfs count="907">
    <xf numFmtId="0" fontId="0" fillId="0" borderId="0" xfId="0"/>
    <xf numFmtId="0" fontId="15" fillId="0" borderId="0" xfId="7" applyFont="1" applyFill="1"/>
    <xf numFmtId="166" fontId="3" fillId="0" borderId="0" xfId="0" applyNumberFormat="1" applyFont="1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6" fillId="0" borderId="0" xfId="0" applyFont="1" applyFill="1" applyAlignment="1">
      <alignment horizontal="right"/>
    </xf>
    <xf numFmtId="0" fontId="7" fillId="0" borderId="0" xfId="7" applyFont="1" applyFill="1" applyBorder="1" applyAlignment="1" applyProtection="1">
      <alignment horizontal="center" vertical="center" wrapText="1"/>
    </xf>
    <xf numFmtId="0" fontId="7" fillId="0" borderId="0" xfId="7" applyFont="1" applyFill="1" applyBorder="1" applyAlignment="1" applyProtection="1">
      <alignment vertical="center" wrapText="1"/>
    </xf>
    <xf numFmtId="0" fontId="22" fillId="0" borderId="1" xfId="7" applyFont="1" applyFill="1" applyBorder="1" applyAlignment="1" applyProtection="1">
      <alignment horizontal="left" vertical="center" wrapText="1" indent="1"/>
    </xf>
    <xf numFmtId="0" fontId="22" fillId="0" borderId="2" xfId="7" applyFont="1" applyFill="1" applyBorder="1" applyAlignment="1" applyProtection="1">
      <alignment horizontal="left" vertical="center" wrapText="1" indent="1"/>
    </xf>
    <xf numFmtId="0" fontId="22" fillId="0" borderId="3" xfId="7" applyFont="1" applyFill="1" applyBorder="1" applyAlignment="1" applyProtection="1">
      <alignment horizontal="left" vertical="center" wrapText="1" indent="1"/>
    </xf>
    <xf numFmtId="0" fontId="22" fillId="0" borderId="4" xfId="7" applyFont="1" applyFill="1" applyBorder="1" applyAlignment="1" applyProtection="1">
      <alignment horizontal="left" vertical="center" wrapText="1" indent="1"/>
    </xf>
    <xf numFmtId="0" fontId="22" fillId="0" borderId="5" xfId="7" applyFont="1" applyFill="1" applyBorder="1" applyAlignment="1" applyProtection="1">
      <alignment horizontal="left" vertical="center" wrapText="1" indent="1"/>
    </xf>
    <xf numFmtId="0" fontId="22" fillId="0" borderId="6" xfId="7" applyFont="1" applyFill="1" applyBorder="1" applyAlignment="1" applyProtection="1">
      <alignment horizontal="left" vertical="center" wrapText="1" indent="1"/>
    </xf>
    <xf numFmtId="49" fontId="22" fillId="0" borderId="7" xfId="7" applyNumberFormat="1" applyFont="1" applyFill="1" applyBorder="1" applyAlignment="1" applyProtection="1">
      <alignment horizontal="left" vertical="center" wrapText="1" indent="1"/>
    </xf>
    <xf numFmtId="49" fontId="22" fillId="0" borderId="8" xfId="7" applyNumberFormat="1" applyFont="1" applyFill="1" applyBorder="1" applyAlignment="1" applyProtection="1">
      <alignment horizontal="left" vertical="center" wrapText="1" indent="1"/>
    </xf>
    <xf numFmtId="49" fontId="22" fillId="0" borderId="9" xfId="7" applyNumberFormat="1" applyFont="1" applyFill="1" applyBorder="1" applyAlignment="1" applyProtection="1">
      <alignment horizontal="left" vertical="center" wrapText="1" indent="1"/>
    </xf>
    <xf numFmtId="49" fontId="22" fillId="0" borderId="10" xfId="7" applyNumberFormat="1" applyFont="1" applyFill="1" applyBorder="1" applyAlignment="1" applyProtection="1">
      <alignment horizontal="left" vertical="center" wrapText="1" indent="1"/>
    </xf>
    <xf numFmtId="49" fontId="22" fillId="0" borderId="11" xfId="7" applyNumberFormat="1" applyFont="1" applyFill="1" applyBorder="1" applyAlignment="1" applyProtection="1">
      <alignment horizontal="left" vertical="center" wrapText="1" indent="1"/>
    </xf>
    <xf numFmtId="49" fontId="22" fillId="0" borderId="12" xfId="7" applyNumberFormat="1" applyFont="1" applyFill="1" applyBorder="1" applyAlignment="1" applyProtection="1">
      <alignment horizontal="left" vertical="center" wrapText="1" indent="1"/>
    </xf>
    <xf numFmtId="0" fontId="22" fillId="0" borderId="0" xfId="7" applyFont="1" applyFill="1" applyBorder="1" applyAlignment="1" applyProtection="1">
      <alignment horizontal="left" vertical="center" wrapText="1" indent="1"/>
    </xf>
    <xf numFmtId="0" fontId="20" fillId="0" borderId="13" xfId="7" applyFont="1" applyFill="1" applyBorder="1" applyAlignment="1" applyProtection="1">
      <alignment horizontal="left" vertical="center" wrapText="1" indent="1"/>
    </xf>
    <xf numFmtId="0" fontId="20" fillId="0" borderId="14" xfId="7" applyFont="1" applyFill="1" applyBorder="1" applyAlignment="1" applyProtection="1">
      <alignment horizontal="left" vertical="center" wrapText="1" indent="1"/>
    </xf>
    <xf numFmtId="0" fontId="20" fillId="0" borderId="15" xfId="7" applyFont="1" applyFill="1" applyBorder="1" applyAlignment="1" applyProtection="1">
      <alignment horizontal="left" vertical="center" wrapText="1" indent="1"/>
    </xf>
    <xf numFmtId="0" fontId="8" fillId="0" borderId="13" xfId="7" applyFont="1" applyFill="1" applyBorder="1" applyAlignment="1" applyProtection="1">
      <alignment horizontal="center" vertical="center" wrapText="1"/>
    </xf>
    <xf numFmtId="0" fontId="8" fillId="0" borderId="14" xfId="7" applyFont="1" applyFill="1" applyBorder="1" applyAlignment="1" applyProtection="1">
      <alignment horizontal="center" vertical="center" wrapText="1"/>
    </xf>
    <xf numFmtId="166" fontId="22" fillId="0" borderId="2" xfId="0" applyNumberFormat="1" applyFont="1" applyFill="1" applyBorder="1" applyAlignment="1" applyProtection="1">
      <alignment vertical="center" wrapText="1"/>
      <protection locked="0"/>
    </xf>
    <xf numFmtId="166" fontId="22" fillId="0" borderId="6" xfId="0" applyNumberFormat="1" applyFont="1" applyFill="1" applyBorder="1" applyAlignment="1" applyProtection="1">
      <alignment vertical="center" wrapText="1"/>
      <protection locked="0"/>
    </xf>
    <xf numFmtId="0" fontId="20" fillId="0" borderId="14" xfId="7" applyFont="1" applyFill="1" applyBorder="1" applyAlignment="1" applyProtection="1">
      <alignment vertical="center" wrapText="1"/>
    </xf>
    <xf numFmtId="0" fontId="20" fillId="0" borderId="16" xfId="7" applyFont="1" applyFill="1" applyBorder="1" applyAlignment="1" applyProtection="1">
      <alignment vertical="center" wrapText="1"/>
    </xf>
    <xf numFmtId="0" fontId="29" fillId="0" borderId="4" xfId="0" applyFont="1" applyBorder="1" applyAlignment="1" applyProtection="1">
      <alignment horizontal="left" vertical="center" indent="1"/>
      <protection locked="0"/>
    </xf>
    <xf numFmtId="0" fontId="29" fillId="0" borderId="2" xfId="0" applyFont="1" applyBorder="1" applyAlignment="1" applyProtection="1">
      <alignment horizontal="left" vertical="center" indent="1"/>
      <protection locked="0"/>
    </xf>
    <xf numFmtId="0" fontId="29" fillId="0" borderId="6" xfId="0" applyFont="1" applyBorder="1" applyAlignment="1" applyProtection="1">
      <alignment horizontal="left" vertical="center" indent="1"/>
      <protection locked="0"/>
    </xf>
    <xf numFmtId="0" fontId="20" fillId="0" borderId="13" xfId="7" applyFont="1" applyFill="1" applyBorder="1" applyAlignment="1" applyProtection="1">
      <alignment horizontal="center" vertical="center" wrapText="1"/>
    </xf>
    <xf numFmtId="0" fontId="20" fillId="0" borderId="14" xfId="7" applyFont="1" applyFill="1" applyBorder="1" applyAlignment="1" applyProtection="1">
      <alignment horizontal="center" vertical="center" wrapText="1"/>
    </xf>
    <xf numFmtId="0" fontId="25" fillId="0" borderId="13" xfId="0" applyFont="1" applyFill="1" applyBorder="1" applyAlignment="1" applyProtection="1">
      <alignment vertical="center" wrapText="1"/>
    </xf>
    <xf numFmtId="0" fontId="20" fillId="0" borderId="13" xfId="0" applyFont="1" applyFill="1" applyBorder="1" applyAlignment="1">
      <alignment horizontal="center" vertical="center" wrapText="1"/>
    </xf>
    <xf numFmtId="0" fontId="28" fillId="0" borderId="13" xfId="0" applyFont="1" applyFill="1" applyBorder="1" applyAlignment="1">
      <alignment horizontal="center" vertical="center" wrapText="1"/>
    </xf>
    <xf numFmtId="0" fontId="8" fillId="0" borderId="14" xfId="8" applyFont="1" applyFill="1" applyBorder="1" applyAlignment="1" applyProtection="1">
      <alignment horizontal="left" vertical="center" indent="1"/>
    </xf>
    <xf numFmtId="0" fontId="12" fillId="0" borderId="0" xfId="7" applyFill="1"/>
    <xf numFmtId="0" fontId="22" fillId="0" borderId="0" xfId="7" applyFont="1" applyFill="1"/>
    <xf numFmtId="0" fontId="24" fillId="0" borderId="0" xfId="7" applyFont="1" applyFill="1"/>
    <xf numFmtId="166" fontId="0" fillId="0" borderId="0" xfId="0" applyNumberFormat="1" applyFill="1" applyAlignment="1">
      <alignment vertical="center" wrapText="1"/>
    </xf>
    <xf numFmtId="166" fontId="0" fillId="0" borderId="0" xfId="0" applyNumberFormat="1" applyFill="1" applyAlignment="1">
      <alignment horizontal="center" vertical="center" wrapText="1"/>
    </xf>
    <xf numFmtId="166" fontId="6" fillId="0" borderId="0" xfId="0" applyNumberFormat="1" applyFont="1" applyFill="1" applyAlignment="1">
      <alignment horizontal="right" vertical="center"/>
    </xf>
    <xf numFmtId="166" fontId="4" fillId="0" borderId="0" xfId="0" applyNumberFormat="1" applyFont="1" applyFill="1" applyAlignment="1">
      <alignment horizontal="center" vertical="center" wrapText="1"/>
    </xf>
    <xf numFmtId="166" fontId="22" fillId="0" borderId="8" xfId="0" applyNumberFormat="1" applyFont="1" applyFill="1" applyBorder="1" applyAlignment="1" applyProtection="1">
      <alignment horizontal="left" vertical="center" wrapText="1" indent="1"/>
      <protection locked="0"/>
    </xf>
    <xf numFmtId="0" fontId="0" fillId="0" borderId="0" xfId="0" applyFill="1"/>
    <xf numFmtId="0" fontId="0" fillId="0" borderId="0" xfId="0" applyFill="1" applyAlignment="1"/>
    <xf numFmtId="0" fontId="18" fillId="0" borderId="0" xfId="0" applyFont="1" applyFill="1" applyAlignment="1">
      <alignment vertical="center"/>
    </xf>
    <xf numFmtId="166" fontId="27" fillId="0" borderId="17" xfId="0" applyNumberFormat="1" applyFont="1" applyFill="1" applyBorder="1" applyAlignment="1" applyProtection="1">
      <alignment horizontal="right" vertical="center" wrapText="1"/>
    </xf>
    <xf numFmtId="0" fontId="0" fillId="0" borderId="0" xfId="0" applyFill="1" applyAlignment="1" applyProtection="1">
      <alignment vertical="center"/>
    </xf>
    <xf numFmtId="166" fontId="8" fillId="0" borderId="17" xfId="0" applyNumberFormat="1" applyFont="1" applyFill="1" applyBorder="1" applyAlignment="1" applyProtection="1">
      <alignment horizontal="center" vertical="center" wrapText="1"/>
    </xf>
    <xf numFmtId="166" fontId="20" fillId="0" borderId="18" xfId="0" applyNumberFormat="1" applyFont="1" applyFill="1" applyBorder="1" applyAlignment="1" applyProtection="1">
      <alignment horizontal="center" vertical="center" wrapText="1"/>
    </xf>
    <xf numFmtId="166" fontId="20" fillId="0" borderId="19" xfId="0" applyNumberFormat="1" applyFont="1" applyFill="1" applyBorder="1" applyAlignment="1" applyProtection="1">
      <alignment horizontal="center" vertical="center" wrapText="1"/>
    </xf>
    <xf numFmtId="166" fontId="0" fillId="0" borderId="0" xfId="0" applyNumberFormat="1" applyFill="1" applyAlignment="1" applyProtection="1">
      <alignment vertical="center" wrapText="1"/>
    </xf>
    <xf numFmtId="166" fontId="22" fillId="0" borderId="10" xfId="0" applyNumberFormat="1" applyFont="1" applyFill="1" applyBorder="1" applyAlignment="1" applyProtection="1">
      <alignment horizontal="left" vertical="center" wrapText="1" indent="1"/>
      <protection locked="0"/>
    </xf>
    <xf numFmtId="166" fontId="20" fillId="0" borderId="14" xfId="0" applyNumberFormat="1" applyFont="1" applyFill="1" applyBorder="1" applyAlignment="1" applyProtection="1">
      <alignment vertical="center" wrapText="1"/>
    </xf>
    <xf numFmtId="166" fontId="4" fillId="0" borderId="0" xfId="0" applyNumberFormat="1" applyFont="1" applyFill="1" applyAlignment="1">
      <alignment vertical="center" wrapText="1"/>
    </xf>
    <xf numFmtId="166" fontId="19" fillId="0" borderId="2" xfId="0" applyNumberFormat="1" applyFont="1" applyFill="1" applyBorder="1" applyAlignment="1" applyProtection="1">
      <alignment vertical="center" wrapText="1"/>
      <protection locked="0"/>
    </xf>
    <xf numFmtId="166" fontId="19" fillId="0" borderId="20" xfId="0" applyNumberFormat="1" applyFont="1" applyFill="1" applyBorder="1" applyAlignment="1" applyProtection="1">
      <alignment vertical="center" wrapText="1"/>
    </xf>
    <xf numFmtId="0" fontId="7" fillId="0" borderId="0" xfId="0" applyFont="1" applyFill="1" applyAlignment="1">
      <alignment horizontal="center" vertical="center" wrapText="1"/>
    </xf>
    <xf numFmtId="166" fontId="22" fillId="0" borderId="21" xfId="0" applyNumberFormat="1" applyFont="1" applyFill="1" applyBorder="1" applyAlignment="1" applyProtection="1">
      <alignment vertical="center" wrapText="1"/>
    </xf>
    <xf numFmtId="166" fontId="22" fillId="0" borderId="22" xfId="0" applyNumberFormat="1" applyFont="1" applyFill="1" applyBorder="1" applyAlignment="1" applyProtection="1">
      <alignment horizontal="left" vertical="center" wrapText="1" indent="1"/>
      <protection locked="0"/>
    </xf>
    <xf numFmtId="166" fontId="22" fillId="0" borderId="23" xfId="0" applyNumberFormat="1" applyFont="1" applyFill="1" applyBorder="1" applyAlignment="1" applyProtection="1">
      <alignment horizontal="left" vertical="center" wrapText="1" indent="1"/>
      <protection locked="0"/>
    </xf>
    <xf numFmtId="166" fontId="22" fillId="0" borderId="24" xfId="0" applyNumberFormat="1" applyFont="1" applyFill="1" applyBorder="1" applyAlignment="1" applyProtection="1">
      <alignment horizontal="left" vertical="center" wrapText="1" indent="1"/>
      <protection locked="0"/>
    </xf>
    <xf numFmtId="166" fontId="10" fillId="0" borderId="0" xfId="0" applyNumberFormat="1" applyFont="1" applyFill="1" applyAlignment="1">
      <alignment horizontal="center" vertical="center" wrapText="1"/>
    </xf>
    <xf numFmtId="166" fontId="10" fillId="0" borderId="0" xfId="0" applyNumberFormat="1" applyFont="1" applyFill="1" applyAlignment="1">
      <alignment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166" fontId="29" fillId="0" borderId="25" xfId="0" applyNumberFormat="1" applyFont="1" applyFill="1" applyBorder="1" applyAlignment="1" applyProtection="1">
      <alignment horizontal="right" vertical="center" wrapText="1" indent="1"/>
      <protection locked="0"/>
    </xf>
    <xf numFmtId="0" fontId="29" fillId="0" borderId="8" xfId="0" applyFont="1" applyFill="1" applyBorder="1" applyAlignment="1">
      <alignment horizontal="center" vertical="center" wrapText="1"/>
    </xf>
    <xf numFmtId="166" fontId="29" fillId="0" borderId="2" xfId="0" applyNumberFormat="1" applyFont="1" applyFill="1" applyBorder="1" applyAlignment="1" applyProtection="1">
      <alignment horizontal="right" vertical="center" wrapText="1" indent="1"/>
      <protection locked="0"/>
    </xf>
    <xf numFmtId="166" fontId="29" fillId="0" borderId="20" xfId="0" applyNumberFormat="1" applyFont="1" applyFill="1" applyBorder="1" applyAlignment="1" applyProtection="1">
      <alignment horizontal="right" vertical="center" wrapText="1" indent="1"/>
      <protection locked="0"/>
    </xf>
    <xf numFmtId="0" fontId="29" fillId="0" borderId="2" xfId="0" applyFont="1" applyFill="1" applyBorder="1" applyAlignment="1" applyProtection="1">
      <alignment vertical="center" wrapText="1"/>
      <protection locked="0"/>
    </xf>
    <xf numFmtId="0" fontId="29" fillId="0" borderId="26" xfId="0" applyFont="1" applyFill="1" applyBorder="1" applyAlignment="1" applyProtection="1">
      <alignment vertical="center" wrapText="1"/>
      <protection locked="0"/>
    </xf>
    <xf numFmtId="166" fontId="29" fillId="0" borderId="26" xfId="0" applyNumberFormat="1" applyFont="1" applyFill="1" applyBorder="1" applyAlignment="1" applyProtection="1">
      <alignment horizontal="right" vertical="center" wrapText="1" indent="1"/>
      <protection locked="0"/>
    </xf>
    <xf numFmtId="166" fontId="29" fillId="0" borderId="27" xfId="0" applyNumberFormat="1" applyFont="1" applyFill="1" applyBorder="1" applyAlignment="1" applyProtection="1">
      <alignment horizontal="right" vertical="center" wrapText="1" indent="1"/>
      <protection locked="0"/>
    </xf>
    <xf numFmtId="0" fontId="0" fillId="0" borderId="0" xfId="0" applyFill="1" applyAlignment="1">
      <alignment horizontal="right" vertical="center" wrapText="1"/>
    </xf>
    <xf numFmtId="0" fontId="0" fillId="0" borderId="0" xfId="0" applyFill="1" applyAlignment="1">
      <alignment horizontal="center" vertical="center" wrapText="1"/>
    </xf>
    <xf numFmtId="0" fontId="23" fillId="0" borderId="0" xfId="0" applyFont="1" applyFill="1"/>
    <xf numFmtId="3" fontId="29" fillId="0" borderId="4" xfId="0" applyNumberFormat="1" applyFont="1" applyFill="1" applyBorder="1" applyAlignment="1" applyProtection="1">
      <alignment vertical="center"/>
      <protection locked="0"/>
    </xf>
    <xf numFmtId="3" fontId="33" fillId="0" borderId="2" xfId="0" applyNumberFormat="1" applyFont="1" applyFill="1" applyBorder="1" applyAlignment="1" applyProtection="1">
      <alignment vertical="center"/>
      <protection locked="0"/>
    </xf>
    <xf numFmtId="3" fontId="29" fillId="0" borderId="2" xfId="0" applyNumberFormat="1" applyFont="1" applyFill="1" applyBorder="1" applyAlignment="1" applyProtection="1">
      <alignment vertical="center"/>
      <protection locked="0"/>
    </xf>
    <xf numFmtId="49" fontId="29" fillId="0" borderId="10" xfId="0" applyNumberFormat="1" applyFont="1" applyFill="1" applyBorder="1" applyAlignment="1" applyProtection="1">
      <alignment vertical="center"/>
      <protection locked="0"/>
    </xf>
    <xf numFmtId="3" fontId="29" fillId="0" borderId="6" xfId="0" applyNumberFormat="1" applyFont="1" applyFill="1" applyBorder="1" applyAlignment="1" applyProtection="1">
      <alignment vertical="center"/>
      <protection locked="0"/>
    </xf>
    <xf numFmtId="49" fontId="29" fillId="0" borderId="8" xfId="0" applyNumberFormat="1" applyFont="1" applyFill="1" applyBorder="1" applyAlignment="1" applyProtection="1">
      <alignment vertical="center"/>
      <protection locked="0"/>
    </xf>
    <xf numFmtId="0" fontId="7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0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9" fillId="0" borderId="0" xfId="0" applyFont="1" applyFill="1" applyAlignment="1">
      <alignment vertical="center" wrapText="1"/>
    </xf>
    <xf numFmtId="0" fontId="30" fillId="0" borderId="15" xfId="8" applyFont="1" applyFill="1" applyBorder="1" applyAlignment="1" applyProtection="1">
      <alignment horizontal="center" vertical="center" wrapText="1"/>
    </xf>
    <xf numFmtId="0" fontId="30" fillId="0" borderId="16" xfId="8" applyFont="1" applyFill="1" applyBorder="1" applyAlignment="1" applyProtection="1">
      <alignment horizontal="center" vertical="center"/>
    </xf>
    <xf numFmtId="0" fontId="30" fillId="0" borderId="28" xfId="8" applyFont="1" applyFill="1" applyBorder="1" applyAlignment="1" applyProtection="1">
      <alignment horizontal="center" vertical="center"/>
    </xf>
    <xf numFmtId="0" fontId="12" fillId="0" borderId="0" xfId="8" applyFill="1" applyProtection="1"/>
    <xf numFmtId="0" fontId="22" fillId="0" borderId="13" xfId="8" applyFont="1" applyFill="1" applyBorder="1" applyAlignment="1" applyProtection="1">
      <alignment horizontal="left" vertical="center" indent="1"/>
    </xf>
    <xf numFmtId="0" fontId="12" fillId="0" borderId="0" xfId="8" applyFill="1" applyAlignment="1" applyProtection="1">
      <alignment vertical="center"/>
    </xf>
    <xf numFmtId="0" fontId="22" fillId="0" borderId="7" xfId="8" applyFont="1" applyFill="1" applyBorder="1" applyAlignment="1" applyProtection="1">
      <alignment horizontal="left" vertical="center" indent="1"/>
    </xf>
    <xf numFmtId="166" fontId="22" fillId="0" borderId="29" xfId="8" applyNumberFormat="1" applyFont="1" applyFill="1" applyBorder="1" applyAlignment="1" applyProtection="1">
      <alignment vertical="center"/>
    </xf>
    <xf numFmtId="0" fontId="22" fillId="0" borderId="8" xfId="8" applyFont="1" applyFill="1" applyBorder="1" applyAlignment="1" applyProtection="1">
      <alignment horizontal="left" vertical="center" indent="1"/>
    </xf>
    <xf numFmtId="166" fontId="22" fillId="0" borderId="20" xfId="8" applyNumberFormat="1" applyFont="1" applyFill="1" applyBorder="1" applyAlignment="1" applyProtection="1">
      <alignment vertical="center"/>
    </xf>
    <xf numFmtId="0" fontId="12" fillId="0" borderId="0" xfId="8" applyFill="1" applyAlignment="1" applyProtection="1">
      <alignment vertical="center"/>
      <protection locked="0"/>
    </xf>
    <xf numFmtId="166" fontId="22" fillId="0" borderId="25" xfId="8" applyNumberFormat="1" applyFont="1" applyFill="1" applyBorder="1" applyAlignment="1" applyProtection="1">
      <alignment vertical="center"/>
    </xf>
    <xf numFmtId="166" fontId="20" fillId="0" borderId="17" xfId="8" applyNumberFormat="1" applyFont="1" applyFill="1" applyBorder="1" applyAlignment="1" applyProtection="1">
      <alignment vertical="center"/>
    </xf>
    <xf numFmtId="0" fontId="22" fillId="0" borderId="9" xfId="8" applyFont="1" applyFill="1" applyBorder="1" applyAlignment="1" applyProtection="1">
      <alignment horizontal="left" vertical="center" indent="1"/>
    </xf>
    <xf numFmtId="0" fontId="20" fillId="0" borderId="13" xfId="8" applyFont="1" applyFill="1" applyBorder="1" applyAlignment="1" applyProtection="1">
      <alignment horizontal="left" vertical="center" indent="1"/>
    </xf>
    <xf numFmtId="166" fontId="20" fillId="0" borderId="17" xfId="8" applyNumberFormat="1" applyFont="1" applyFill="1" applyBorder="1" applyProtection="1"/>
    <xf numFmtId="0" fontId="12" fillId="0" borderId="0" xfId="8" applyFill="1" applyProtection="1">
      <protection locked="0"/>
    </xf>
    <xf numFmtId="0" fontId="15" fillId="0" borderId="0" xfId="8" applyFont="1" applyFill="1" applyProtection="1"/>
    <xf numFmtId="0" fontId="35" fillId="0" borderId="0" xfId="8" applyFont="1" applyFill="1" applyProtection="1">
      <protection locked="0"/>
    </xf>
    <xf numFmtId="0" fontId="23" fillId="0" borderId="0" xfId="8" applyFont="1" applyFill="1" applyProtection="1">
      <protection locked="0"/>
    </xf>
    <xf numFmtId="0" fontId="26" fillId="0" borderId="30" xfId="0" applyFont="1" applyFill="1" applyBorder="1" applyAlignment="1" applyProtection="1">
      <alignment horizontal="left" vertical="center" wrapText="1"/>
      <protection locked="0"/>
    </xf>
    <xf numFmtId="0" fontId="26" fillId="0" borderId="31" xfId="0" applyFont="1" applyFill="1" applyBorder="1" applyAlignment="1" applyProtection="1">
      <alignment horizontal="left" vertical="center" wrapText="1"/>
      <protection locked="0"/>
    </xf>
    <xf numFmtId="0" fontId="26" fillId="0" borderId="32" xfId="0" applyFont="1" applyFill="1" applyBorder="1" applyAlignment="1" applyProtection="1">
      <alignment horizontal="left" vertical="center" wrapText="1"/>
      <protection locked="0"/>
    </xf>
    <xf numFmtId="166" fontId="20" fillId="2" borderId="14" xfId="0" applyNumberFormat="1" applyFont="1" applyFill="1" applyBorder="1" applyAlignment="1" applyProtection="1">
      <alignment vertical="center" wrapText="1"/>
    </xf>
    <xf numFmtId="3" fontId="4" fillId="0" borderId="17" xfId="0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9" xfId="0" applyNumberFormat="1" applyFont="1" applyFill="1" applyBorder="1" applyAlignment="1" applyProtection="1">
      <alignment horizontal="left" vertical="center" wrapText="1" indent="1"/>
      <protection locked="0"/>
    </xf>
    <xf numFmtId="0" fontId="29" fillId="0" borderId="3" xfId="0" applyFont="1" applyFill="1" applyBorder="1" applyAlignment="1" applyProtection="1">
      <alignment vertical="center" wrapText="1"/>
      <protection locked="0"/>
    </xf>
    <xf numFmtId="0" fontId="28" fillId="0" borderId="14" xfId="7" applyFont="1" applyFill="1" applyBorder="1" applyAlignment="1" applyProtection="1">
      <alignment horizontal="left" vertical="center" wrapText="1" indent="1"/>
    </xf>
    <xf numFmtId="0" fontId="23" fillId="0" borderId="0" xfId="7" applyFont="1" applyFill="1"/>
    <xf numFmtId="166" fontId="28" fillId="0" borderId="13" xfId="0" applyNumberFormat="1" applyFont="1" applyFill="1" applyBorder="1" applyAlignment="1" applyProtection="1">
      <alignment horizontal="left" vertical="center" wrapText="1" indent="1"/>
    </xf>
    <xf numFmtId="0" fontId="37" fillId="0" borderId="0" xfId="0" applyFont="1"/>
    <xf numFmtId="0" fontId="38" fillId="0" borderId="0" xfId="0" applyFont="1"/>
    <xf numFmtId="0" fontId="38" fillId="0" borderId="0" xfId="0" applyFont="1" applyAlignment="1">
      <alignment horizontal="right" indent="1"/>
    </xf>
    <xf numFmtId="0" fontId="24" fillId="0" borderId="0" xfId="0" applyFont="1" applyAlignment="1">
      <alignment horizontal="center"/>
    </xf>
    <xf numFmtId="0" fontId="28" fillId="0" borderId="14" xfId="7" applyFont="1" applyFill="1" applyBorder="1" applyAlignment="1" applyProtection="1">
      <alignment horizontal="left" vertical="center" wrapText="1"/>
    </xf>
    <xf numFmtId="166" fontId="29" fillId="0" borderId="33" xfId="0" applyNumberFormat="1" applyFont="1" applyFill="1" applyBorder="1" applyAlignment="1" applyProtection="1">
      <alignment horizontal="right" vertical="center" wrapText="1" indent="1"/>
      <protection locked="0"/>
    </xf>
    <xf numFmtId="166" fontId="29" fillId="0" borderId="5" xfId="0" applyNumberFormat="1" applyFont="1" applyFill="1" applyBorder="1" applyAlignment="1" applyProtection="1">
      <alignment horizontal="right" vertical="center" wrapText="1" indent="1"/>
      <protection locked="0"/>
    </xf>
    <xf numFmtId="0" fontId="29" fillId="0" borderId="11" xfId="0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center" vertical="center" wrapText="1"/>
    </xf>
    <xf numFmtId="0" fontId="38" fillId="0" borderId="0" xfId="0" applyFont="1" applyFill="1"/>
    <xf numFmtId="3" fontId="38" fillId="0" borderId="0" xfId="0" applyNumberFormat="1" applyFont="1" applyFill="1" applyAlignment="1">
      <alignment horizontal="right" indent="1"/>
    </xf>
    <xf numFmtId="3" fontId="30" fillId="0" borderId="0" xfId="0" applyNumberFormat="1" applyFont="1" applyFill="1" applyAlignment="1">
      <alignment horizontal="right" indent="1"/>
    </xf>
    <xf numFmtId="0" fontId="38" fillId="0" borderId="0" xfId="0" applyFont="1" applyFill="1" applyAlignment="1">
      <alignment horizontal="right" indent="1"/>
    </xf>
    <xf numFmtId="166" fontId="36" fillId="0" borderId="34" xfId="7" applyNumberFormat="1" applyFont="1" applyFill="1" applyBorder="1" applyAlignment="1" applyProtection="1">
      <alignment horizontal="left" vertical="center"/>
    </xf>
    <xf numFmtId="0" fontId="29" fillId="0" borderId="19" xfId="7" applyFont="1" applyFill="1" applyBorder="1" applyAlignment="1" applyProtection="1">
      <alignment horizontal="left" vertical="center" wrapText="1" indent="1"/>
    </xf>
    <xf numFmtId="0" fontId="22" fillId="0" borderId="2" xfId="7" applyFont="1" applyFill="1" applyBorder="1" applyAlignment="1" applyProtection="1">
      <alignment horizontal="left" indent="6"/>
    </xf>
    <xf numFmtId="0" fontId="22" fillId="0" borderId="2" xfId="7" applyFont="1" applyFill="1" applyBorder="1" applyAlignment="1" applyProtection="1">
      <alignment horizontal="left" vertical="center" wrapText="1" indent="6"/>
    </xf>
    <xf numFmtId="0" fontId="22" fillId="0" borderId="6" xfId="7" applyFont="1" applyFill="1" applyBorder="1" applyAlignment="1" applyProtection="1">
      <alignment horizontal="left" vertical="center" wrapText="1" indent="6"/>
    </xf>
    <xf numFmtId="0" fontId="22" fillId="0" borderId="26" xfId="7" applyFont="1" applyFill="1" applyBorder="1" applyAlignment="1" applyProtection="1">
      <alignment horizontal="left" vertical="center" wrapText="1" indent="6"/>
    </xf>
    <xf numFmtId="0" fontId="43" fillId="0" borderId="0" xfId="0" applyFont="1" applyFill="1"/>
    <xf numFmtId="0" fontId="44" fillId="0" borderId="0" xfId="0" applyFont="1"/>
    <xf numFmtId="0" fontId="15" fillId="0" borderId="0" xfId="7" applyFont="1" applyFill="1" applyBorder="1"/>
    <xf numFmtId="0" fontId="2" fillId="0" borderId="0" xfId="7" applyFont="1" applyFill="1"/>
    <xf numFmtId="0" fontId="15" fillId="0" borderId="8" xfId="7" applyFont="1" applyFill="1" applyBorder="1" applyAlignment="1">
      <alignment horizontal="center" vertical="center"/>
    </xf>
    <xf numFmtId="0" fontId="15" fillId="0" borderId="9" xfId="7" applyFont="1" applyFill="1" applyBorder="1" applyAlignment="1">
      <alignment horizontal="center" vertical="center"/>
    </xf>
    <xf numFmtId="0" fontId="15" fillId="0" borderId="13" xfId="7" applyFont="1" applyFill="1" applyBorder="1" applyAlignment="1">
      <alignment horizontal="center" vertical="center"/>
    </xf>
    <xf numFmtId="0" fontId="15" fillId="0" borderId="14" xfId="7" applyFont="1" applyFill="1" applyBorder="1" applyAlignment="1">
      <alignment horizontal="center" vertical="center"/>
    </xf>
    <xf numFmtId="0" fontId="15" fillId="0" borderId="17" xfId="7" applyFont="1" applyFill="1" applyBorder="1" applyAlignment="1">
      <alignment horizontal="center" vertical="center"/>
    </xf>
    <xf numFmtId="0" fontId="11" fillId="0" borderId="0" xfId="0" applyFont="1" applyFill="1" applyBorder="1" applyAlignment="1" applyProtection="1"/>
    <xf numFmtId="0" fontId="15" fillId="0" borderId="10" xfId="7" applyFont="1" applyFill="1" applyBorder="1" applyAlignment="1">
      <alignment horizontal="center" vertical="center"/>
    </xf>
    <xf numFmtId="0" fontId="31" fillId="0" borderId="14" xfId="7" applyFont="1" applyFill="1" applyBorder="1"/>
    <xf numFmtId="0" fontId="8" fillId="0" borderId="35" xfId="7" applyFont="1" applyFill="1" applyBorder="1" applyAlignment="1" applyProtection="1">
      <alignment horizontal="center" vertical="center" wrapText="1"/>
    </xf>
    <xf numFmtId="0" fontId="3" fillId="0" borderId="0" xfId="0" applyFont="1" applyFill="1" applyProtection="1">
      <protection locked="0"/>
    </xf>
    <xf numFmtId="0" fontId="0" fillId="0" borderId="0" xfId="0" applyFill="1" applyProtection="1">
      <protection locked="0"/>
    </xf>
    <xf numFmtId="0" fontId="42" fillId="0" borderId="0" xfId="0" applyFont="1" applyFill="1"/>
    <xf numFmtId="166" fontId="29" fillId="0" borderId="3" xfId="0" applyNumberFormat="1" applyFont="1" applyFill="1" applyBorder="1" applyAlignment="1" applyProtection="1">
      <alignment vertical="center"/>
      <protection locked="0"/>
    </xf>
    <xf numFmtId="166" fontId="29" fillId="0" borderId="2" xfId="0" applyNumberFormat="1" applyFont="1" applyFill="1" applyBorder="1" applyAlignment="1" applyProtection="1">
      <alignment vertical="center"/>
      <protection locked="0"/>
    </xf>
    <xf numFmtId="166" fontId="29" fillId="0" borderId="6" xfId="0" applyNumberFormat="1" applyFont="1" applyFill="1" applyBorder="1" applyAlignment="1" applyProtection="1">
      <alignment vertical="center"/>
      <protection locked="0"/>
    </xf>
    <xf numFmtId="0" fontId="4" fillId="0" borderId="0" xfId="0" applyFont="1" applyFill="1"/>
    <xf numFmtId="0" fontId="0" fillId="0" borderId="0" xfId="0" applyFill="1" applyBorder="1"/>
    <xf numFmtId="0" fontId="6" fillId="0" borderId="0" xfId="0" applyFont="1" applyFill="1" applyBorder="1" applyAlignment="1">
      <alignment horizontal="center"/>
    </xf>
    <xf numFmtId="0" fontId="15" fillId="0" borderId="3" xfId="7" applyFont="1" applyFill="1" applyBorder="1" applyProtection="1">
      <protection locked="0"/>
    </xf>
    <xf numFmtId="0" fontId="15" fillId="0" borderId="2" xfId="7" applyFont="1" applyFill="1" applyBorder="1" applyProtection="1">
      <protection locked="0"/>
    </xf>
    <xf numFmtId="0" fontId="15" fillId="0" borderId="6" xfId="7" applyFont="1" applyFill="1" applyBorder="1" applyProtection="1">
      <protection locked="0"/>
    </xf>
    <xf numFmtId="0" fontId="29" fillId="0" borderId="13" xfId="7" applyFont="1" applyFill="1" applyBorder="1" applyAlignment="1" applyProtection="1">
      <alignment horizontal="center" vertical="center"/>
    </xf>
    <xf numFmtId="0" fontId="29" fillId="0" borderId="11" xfId="7" applyFont="1" applyFill="1" applyBorder="1" applyAlignment="1" applyProtection="1">
      <alignment horizontal="center" vertical="center"/>
    </xf>
    <xf numFmtId="0" fontId="29" fillId="0" borderId="8" xfId="7" applyFont="1" applyFill="1" applyBorder="1" applyAlignment="1" applyProtection="1">
      <alignment horizontal="center" vertical="center"/>
    </xf>
    <xf numFmtId="0" fontId="29" fillId="0" borderId="10" xfId="7" applyFont="1" applyFill="1" applyBorder="1" applyAlignment="1" applyProtection="1">
      <alignment horizontal="center" vertical="center"/>
    </xf>
    <xf numFmtId="168" fontId="28" fillId="0" borderId="17" xfId="1" applyNumberFormat="1" applyFont="1" applyFill="1" applyBorder="1" applyProtection="1"/>
    <xf numFmtId="168" fontId="29" fillId="0" borderId="36" xfId="1" applyNumberFormat="1" applyFont="1" applyFill="1" applyBorder="1" applyProtection="1">
      <protection locked="0"/>
    </xf>
    <xf numFmtId="168" fontId="29" fillId="0" borderId="20" xfId="1" applyNumberFormat="1" applyFont="1" applyFill="1" applyBorder="1" applyProtection="1">
      <protection locked="0"/>
    </xf>
    <xf numFmtId="168" fontId="29" fillId="0" borderId="37" xfId="1" applyNumberFormat="1" applyFont="1" applyFill="1" applyBorder="1" applyProtection="1">
      <protection locked="0"/>
    </xf>
    <xf numFmtId="0" fontId="29" fillId="0" borderId="4" xfId="7" applyFont="1" applyFill="1" applyBorder="1" applyProtection="1">
      <protection locked="0"/>
    </xf>
    <xf numFmtId="0" fontId="29" fillId="0" borderId="2" xfId="7" applyFont="1" applyFill="1" applyBorder="1" applyProtection="1">
      <protection locked="0"/>
    </xf>
    <xf numFmtId="0" fontId="29" fillId="0" borderId="6" xfId="7" applyFont="1" applyFill="1" applyBorder="1" applyProtection="1">
      <protection locked="0"/>
    </xf>
    <xf numFmtId="0" fontId="34" fillId="0" borderId="13" xfId="0" applyFont="1" applyFill="1" applyBorder="1" applyAlignment="1" applyProtection="1">
      <alignment horizontal="center" vertical="center" wrapText="1"/>
    </xf>
    <xf numFmtId="0" fontId="34" fillId="0" borderId="17" xfId="0" applyFont="1" applyFill="1" applyBorder="1" applyAlignment="1" applyProtection="1">
      <alignment horizontal="center" vertical="center" wrapText="1"/>
    </xf>
    <xf numFmtId="166" fontId="0" fillId="0" borderId="0" xfId="0" applyNumberFormat="1" applyFill="1" applyAlignment="1" applyProtection="1">
      <alignment horizontal="center" vertical="center" wrapText="1"/>
    </xf>
    <xf numFmtId="166" fontId="8" fillId="0" borderId="13" xfId="0" applyNumberFormat="1" applyFont="1" applyFill="1" applyBorder="1" applyAlignment="1" applyProtection="1">
      <alignment horizontal="center" vertical="center" wrapText="1"/>
    </xf>
    <xf numFmtId="166" fontId="8" fillId="0" borderId="14" xfId="0" applyNumberFormat="1" applyFont="1" applyFill="1" applyBorder="1" applyAlignment="1" applyProtection="1">
      <alignment horizontal="center" vertical="center" wrapText="1"/>
    </xf>
    <xf numFmtId="166" fontId="8" fillId="0" borderId="13" xfId="0" applyNumberFormat="1" applyFont="1" applyFill="1" applyBorder="1" applyAlignment="1" applyProtection="1">
      <alignment horizontal="left" vertical="center" wrapText="1"/>
    </xf>
    <xf numFmtId="0" fontId="8" fillId="0" borderId="13" xfId="0" applyFon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 applyProtection="1">
      <alignment horizontal="center" vertical="center" wrapText="1"/>
    </xf>
    <xf numFmtId="0" fontId="8" fillId="0" borderId="17" xfId="0" applyFont="1" applyFill="1" applyBorder="1" applyAlignment="1" applyProtection="1">
      <alignment horizontal="center" vertical="center" wrapText="1"/>
    </xf>
    <xf numFmtId="0" fontId="20" fillId="0" borderId="13" xfId="0" applyFont="1" applyFill="1" applyBorder="1" applyAlignment="1" applyProtection="1">
      <alignment horizontal="center" vertical="center" wrapText="1"/>
    </xf>
    <xf numFmtId="0" fontId="20" fillId="0" borderId="14" xfId="0" applyFont="1" applyFill="1" applyBorder="1" applyAlignment="1" applyProtection="1">
      <alignment horizontal="center" vertical="center" wrapText="1"/>
    </xf>
    <xf numFmtId="0" fontId="20" fillId="0" borderId="17" xfId="0" applyFont="1" applyFill="1" applyBorder="1" applyAlignment="1" applyProtection="1">
      <alignment horizontal="center" vertical="center" wrapText="1"/>
    </xf>
    <xf numFmtId="0" fontId="26" fillId="0" borderId="33" xfId="0" applyFont="1" applyFill="1" applyBorder="1" applyAlignment="1" applyProtection="1">
      <alignment horizontal="left" vertical="center" wrapText="1" indent="1"/>
    </xf>
    <xf numFmtId="0" fontId="26" fillId="0" borderId="5" xfId="0" applyFont="1" applyFill="1" applyBorder="1" applyAlignment="1" applyProtection="1">
      <alignment horizontal="left" vertical="center" wrapText="1" indent="1"/>
    </xf>
    <xf numFmtId="0" fontId="26" fillId="0" borderId="5" xfId="0" applyFont="1" applyFill="1" applyBorder="1" applyAlignment="1" applyProtection="1">
      <alignment horizontal="left" vertical="center" wrapText="1" indent="8"/>
    </xf>
    <xf numFmtId="0" fontId="29" fillId="0" borderId="3" xfId="0" applyFont="1" applyFill="1" applyBorder="1" applyAlignment="1" applyProtection="1">
      <alignment vertical="center" wrapText="1"/>
    </xf>
    <xf numFmtId="0" fontId="29" fillId="0" borderId="2" xfId="0" applyFont="1" applyFill="1" applyBorder="1" applyAlignment="1" applyProtection="1">
      <alignment vertical="center" wrapText="1"/>
    </xf>
    <xf numFmtId="0" fontId="28" fillId="0" borderId="13" xfId="0" applyFont="1" applyFill="1" applyBorder="1" applyAlignment="1" applyProtection="1">
      <alignment horizontal="center" vertical="center" wrapText="1"/>
    </xf>
    <xf numFmtId="0" fontId="30" fillId="0" borderId="19" xfId="0" applyFont="1" applyFill="1" applyBorder="1" applyAlignment="1" applyProtection="1">
      <alignment vertical="center" wrapText="1"/>
    </xf>
    <xf numFmtId="166" fontId="28" fillId="0" borderId="19" xfId="0" applyNumberFormat="1" applyFont="1" applyFill="1" applyBorder="1" applyAlignment="1" applyProtection="1">
      <alignment vertical="center" wrapText="1"/>
    </xf>
    <xf numFmtId="166" fontId="28" fillId="0" borderId="38" xfId="0" applyNumberFormat="1" applyFont="1" applyFill="1" applyBorder="1" applyAlignment="1" applyProtection="1">
      <alignment vertical="center" wrapText="1"/>
    </xf>
    <xf numFmtId="0" fontId="0" fillId="0" borderId="0" xfId="0" applyProtection="1"/>
    <xf numFmtId="0" fontId="29" fillId="0" borderId="11" xfId="0" applyFont="1" applyBorder="1" applyAlignment="1" applyProtection="1">
      <alignment horizontal="right" vertical="center" indent="1"/>
    </xf>
    <xf numFmtId="0" fontId="29" fillId="0" borderId="8" xfId="0" applyFont="1" applyBorder="1" applyAlignment="1" applyProtection="1">
      <alignment horizontal="right" vertical="center" indent="1"/>
    </xf>
    <xf numFmtId="0" fontId="29" fillId="0" borderId="10" xfId="0" applyFont="1" applyBorder="1" applyAlignment="1" applyProtection="1">
      <alignment horizontal="right" vertical="center" indent="1"/>
    </xf>
    <xf numFmtId="166" fontId="15" fillId="3" borderId="21" xfId="0" applyNumberFormat="1" applyFont="1" applyFill="1" applyBorder="1" applyAlignment="1" applyProtection="1">
      <alignment horizontal="left" vertical="center" wrapText="1" indent="2"/>
    </xf>
    <xf numFmtId="0" fontId="0" fillId="0" borderId="0" xfId="0" applyFill="1" applyProtection="1"/>
    <xf numFmtId="0" fontId="30" fillId="0" borderId="15" xfId="0" applyFont="1" applyFill="1" applyBorder="1" applyAlignment="1" applyProtection="1">
      <alignment vertical="center"/>
    </xf>
    <xf numFmtId="0" fontId="30" fillId="0" borderId="16" xfId="0" applyFont="1" applyFill="1" applyBorder="1" applyAlignment="1" applyProtection="1">
      <alignment horizontal="center" vertical="center"/>
    </xf>
    <xf numFmtId="0" fontId="30" fillId="0" borderId="28" xfId="0" applyFont="1" applyFill="1" applyBorder="1" applyAlignment="1" applyProtection="1">
      <alignment horizontal="center" vertical="center"/>
    </xf>
    <xf numFmtId="49" fontId="29" fillId="0" borderId="11" xfId="0" applyNumberFormat="1" applyFont="1" applyFill="1" applyBorder="1" applyAlignment="1" applyProtection="1">
      <alignment vertical="center"/>
    </xf>
    <xf numFmtId="3" fontId="29" fillId="0" borderId="36" xfId="0" applyNumberFormat="1" applyFont="1" applyFill="1" applyBorder="1" applyAlignment="1" applyProtection="1">
      <alignment vertical="center"/>
    </xf>
    <xf numFmtId="49" fontId="33" fillId="0" borderId="8" xfId="0" quotePrefix="1" applyNumberFormat="1" applyFont="1" applyFill="1" applyBorder="1" applyAlignment="1" applyProtection="1">
      <alignment horizontal="left" vertical="center" indent="1"/>
    </xf>
    <xf numFmtId="3" fontId="33" fillId="0" borderId="20" xfId="0" applyNumberFormat="1" applyFont="1" applyFill="1" applyBorder="1" applyAlignment="1" applyProtection="1">
      <alignment vertical="center"/>
    </xf>
    <xf numFmtId="49" fontId="29" fillId="0" borderId="8" xfId="0" applyNumberFormat="1" applyFont="1" applyFill="1" applyBorder="1" applyAlignment="1" applyProtection="1">
      <alignment vertical="center"/>
    </xf>
    <xf numFmtId="3" fontId="29" fillId="0" borderId="20" xfId="0" applyNumberFormat="1" applyFont="1" applyFill="1" applyBorder="1" applyAlignment="1" applyProtection="1">
      <alignment vertical="center"/>
    </xf>
    <xf numFmtId="49" fontId="30" fillId="0" borderId="13" xfId="0" applyNumberFormat="1" applyFont="1" applyFill="1" applyBorder="1" applyAlignment="1" applyProtection="1">
      <alignment vertical="center"/>
    </xf>
    <xf numFmtId="3" fontId="29" fillId="0" borderId="14" xfId="0" applyNumberFormat="1" applyFont="1" applyFill="1" applyBorder="1" applyAlignment="1" applyProtection="1">
      <alignment vertical="center"/>
    </xf>
    <xf numFmtId="3" fontId="29" fillId="0" borderId="17" xfId="0" applyNumberFormat="1" applyFont="1" applyFill="1" applyBorder="1" applyAlignment="1" applyProtection="1">
      <alignment vertical="center"/>
    </xf>
    <xf numFmtId="49" fontId="29" fillId="0" borderId="8" xfId="0" applyNumberFormat="1" applyFont="1" applyFill="1" applyBorder="1" applyAlignment="1" applyProtection="1">
      <alignment horizontal="left" vertical="center"/>
    </xf>
    <xf numFmtId="166" fontId="3" fillId="0" borderId="0" xfId="0" applyNumberFormat="1" applyFont="1" applyFill="1" applyAlignment="1" applyProtection="1">
      <alignment horizontal="left" vertical="center" wrapText="1"/>
    </xf>
    <xf numFmtId="166" fontId="3" fillId="0" borderId="0" xfId="0" applyNumberFormat="1" applyFont="1" applyFill="1" applyAlignment="1" applyProtection="1">
      <alignment vertical="center" wrapText="1"/>
    </xf>
    <xf numFmtId="166" fontId="19" fillId="0" borderId="0" xfId="0" applyNumberFormat="1" applyFont="1" applyFill="1" applyAlignment="1" applyProtection="1">
      <alignment vertical="center" wrapText="1"/>
    </xf>
    <xf numFmtId="0" fontId="8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>
      <alignment horizontal="right"/>
    </xf>
    <xf numFmtId="0" fontId="8" fillId="0" borderId="16" xfId="0" applyFont="1" applyFill="1" applyBorder="1" applyAlignment="1" applyProtection="1">
      <alignment horizontal="center" vertical="center" wrapText="1"/>
    </xf>
    <xf numFmtId="0" fontId="8" fillId="0" borderId="28" xfId="0" applyFont="1" applyFill="1" applyBorder="1" applyAlignment="1" applyProtection="1">
      <alignment horizontal="center" vertical="center" wrapText="1"/>
    </xf>
    <xf numFmtId="0" fontId="8" fillId="0" borderId="39" xfId="0" applyFont="1" applyFill="1" applyBorder="1" applyAlignment="1" applyProtection="1">
      <alignment horizontal="center" vertical="center" wrapText="1"/>
    </xf>
    <xf numFmtId="0" fontId="8" fillId="0" borderId="40" xfId="0" applyFont="1" applyFill="1" applyBorder="1" applyAlignment="1" applyProtection="1">
      <alignment horizontal="center" vertical="center" wrapText="1"/>
    </xf>
    <xf numFmtId="166" fontId="8" fillId="0" borderId="41" xfId="0" applyNumberFormat="1" applyFont="1" applyFill="1" applyBorder="1" applyAlignment="1" applyProtection="1">
      <alignment horizontal="center" vertical="center" wrapText="1"/>
    </xf>
    <xf numFmtId="0" fontId="28" fillId="0" borderId="14" xfId="0" applyFont="1" applyFill="1" applyBorder="1" applyAlignment="1" applyProtection="1">
      <alignment horizontal="left" vertical="center" wrapText="1" indent="1"/>
    </xf>
    <xf numFmtId="0" fontId="27" fillId="0" borderId="13" xfId="0" applyFont="1" applyBorder="1" applyAlignment="1" applyProtection="1">
      <alignment horizontal="center" vertical="center" wrapText="1"/>
    </xf>
    <xf numFmtId="0" fontId="39" fillId="0" borderId="42" xfId="0" applyFont="1" applyBorder="1" applyAlignment="1" applyProtection="1">
      <alignment horizontal="left" wrapText="1" indent="1"/>
    </xf>
    <xf numFmtId="0" fontId="22" fillId="0" borderId="0" xfId="0" applyFont="1" applyFill="1" applyBorder="1" applyAlignment="1" applyProtection="1">
      <alignment horizontal="center" vertical="center" wrapText="1"/>
    </xf>
    <xf numFmtId="0" fontId="8" fillId="0" borderId="0" xfId="0" applyFont="1" applyFill="1" applyBorder="1" applyAlignment="1" applyProtection="1">
      <alignment horizontal="left" vertical="center" wrapText="1" indent="1"/>
    </xf>
    <xf numFmtId="0" fontId="22" fillId="0" borderId="0" xfId="0" applyFont="1" applyFill="1" applyAlignment="1" applyProtection="1">
      <alignment horizontal="left" vertical="center" wrapText="1"/>
    </xf>
    <xf numFmtId="0" fontId="22" fillId="0" borderId="0" xfId="0" applyFont="1" applyFill="1" applyAlignment="1" applyProtection="1">
      <alignment vertical="center" wrapText="1"/>
    </xf>
    <xf numFmtId="0" fontId="20" fillId="0" borderId="43" xfId="0" applyFont="1" applyFill="1" applyBorder="1" applyAlignment="1" applyProtection="1">
      <alignment horizontal="center" vertical="center" wrapText="1"/>
    </xf>
    <xf numFmtId="0" fontId="8" fillId="0" borderId="44" xfId="0" applyFon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 applyProtection="1">
      <alignment horizontal="left" vertical="center" wrapText="1" indent="1"/>
    </xf>
    <xf numFmtId="0" fontId="0" fillId="0" borderId="0" xfId="0" applyFill="1" applyAlignment="1" applyProtection="1">
      <alignment horizontal="left" vertical="center" wrapText="1"/>
    </xf>
    <xf numFmtId="0" fontId="0" fillId="0" borderId="0" xfId="0" applyFill="1" applyAlignment="1" applyProtection="1">
      <alignment vertical="center" wrapText="1"/>
    </xf>
    <xf numFmtId="0" fontId="4" fillId="0" borderId="13" xfId="0" applyFont="1" applyFill="1" applyBorder="1" applyAlignment="1" applyProtection="1">
      <alignment horizontal="left" vertical="center"/>
    </xf>
    <xf numFmtId="0" fontId="4" fillId="0" borderId="42" xfId="0" applyFont="1" applyFill="1" applyBorder="1" applyAlignment="1" applyProtection="1">
      <alignment vertical="center" wrapText="1"/>
    </xf>
    <xf numFmtId="16" fontId="0" fillId="0" borderId="0" xfId="0" applyNumberFormat="1" applyFill="1" applyAlignment="1">
      <alignment vertical="center" wrapText="1"/>
    </xf>
    <xf numFmtId="0" fontId="29" fillId="0" borderId="9" xfId="0" applyFont="1" applyFill="1" applyBorder="1" applyAlignment="1" applyProtection="1">
      <alignment horizontal="center" vertical="center"/>
    </xf>
    <xf numFmtId="166" fontId="28" fillId="0" borderId="25" xfId="0" applyNumberFormat="1" applyFont="1" applyFill="1" applyBorder="1" applyAlignment="1" applyProtection="1">
      <alignment vertical="center"/>
    </xf>
    <xf numFmtId="0" fontId="29" fillId="0" borderId="8" xfId="0" applyFont="1" applyFill="1" applyBorder="1" applyAlignment="1" applyProtection="1">
      <alignment horizontal="center" vertical="center"/>
    </xf>
    <xf numFmtId="166" fontId="28" fillId="0" borderId="20" xfId="0" applyNumberFormat="1" applyFont="1" applyFill="1" applyBorder="1" applyAlignment="1" applyProtection="1">
      <alignment vertical="center"/>
    </xf>
    <xf numFmtId="0" fontId="29" fillId="0" borderId="10" xfId="0" applyFont="1" applyFill="1" applyBorder="1" applyAlignment="1" applyProtection="1">
      <alignment horizontal="center" vertical="center"/>
    </xf>
    <xf numFmtId="0" fontId="29" fillId="0" borderId="6" xfId="0" applyFont="1" applyFill="1" applyBorder="1" applyAlignment="1" applyProtection="1">
      <alignment vertical="center" wrapText="1"/>
    </xf>
    <xf numFmtId="166" fontId="28" fillId="0" borderId="37" xfId="0" applyNumberFormat="1" applyFont="1" applyFill="1" applyBorder="1" applyAlignment="1" applyProtection="1">
      <alignment vertical="center"/>
    </xf>
    <xf numFmtId="0" fontId="28" fillId="0" borderId="13" xfId="0" applyFont="1" applyFill="1" applyBorder="1" applyAlignment="1" applyProtection="1">
      <alignment horizontal="center" vertical="center"/>
    </xf>
    <xf numFmtId="0" fontId="30" fillId="0" borderId="14" xfId="0" applyFont="1" applyFill="1" applyBorder="1" applyAlignment="1" applyProtection="1">
      <alignment vertical="center" wrapText="1"/>
    </xf>
    <xf numFmtId="166" fontId="28" fillId="0" borderId="14" xfId="0" applyNumberFormat="1" applyFont="1" applyFill="1" applyBorder="1" applyAlignment="1" applyProtection="1">
      <alignment vertical="center"/>
    </xf>
    <xf numFmtId="166" fontId="28" fillId="0" borderId="17" xfId="0" applyNumberFormat="1" applyFont="1" applyFill="1" applyBorder="1" applyAlignment="1" applyProtection="1">
      <alignment vertical="center"/>
    </xf>
    <xf numFmtId="0" fontId="0" fillId="0" borderId="45" xfId="0" applyFill="1" applyBorder="1" applyProtection="1"/>
    <xf numFmtId="0" fontId="6" fillId="0" borderId="45" xfId="0" applyFont="1" applyFill="1" applyBorder="1" applyAlignment="1" applyProtection="1">
      <alignment horizontal="center"/>
    </xf>
    <xf numFmtId="0" fontId="42" fillId="0" borderId="0" xfId="0" applyFont="1" applyFill="1" applyProtection="1">
      <protection locked="0"/>
    </xf>
    <xf numFmtId="0" fontId="35" fillId="0" borderId="0" xfId="0" applyFont="1" applyFill="1" applyProtection="1">
      <protection locked="0"/>
    </xf>
    <xf numFmtId="166" fontId="20" fillId="0" borderId="35" xfId="7" applyNumberFormat="1" applyFont="1" applyFill="1" applyBorder="1" applyAlignment="1" applyProtection="1">
      <alignment horizontal="right" vertical="center" wrapText="1" indent="1"/>
    </xf>
    <xf numFmtId="166" fontId="22" fillId="0" borderId="46" xfId="7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47" xfId="7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41" xfId="7" applyNumberFormat="1" applyFont="1" applyFill="1" applyBorder="1" applyAlignment="1" applyProtection="1">
      <alignment horizontal="right" vertical="center" wrapText="1" indent="1"/>
      <protection locked="0"/>
    </xf>
    <xf numFmtId="166" fontId="29" fillId="0" borderId="46" xfId="7" applyNumberFormat="1" applyFont="1" applyFill="1" applyBorder="1" applyAlignment="1" applyProtection="1">
      <alignment horizontal="right" vertical="center" wrapText="1" indent="1"/>
      <protection locked="0"/>
    </xf>
    <xf numFmtId="166" fontId="29" fillId="0" borderId="41" xfId="7" applyNumberFormat="1" applyFont="1" applyFill="1" applyBorder="1" applyAlignment="1" applyProtection="1">
      <alignment horizontal="right" vertical="center" wrapText="1" indent="1"/>
      <protection locked="0"/>
    </xf>
    <xf numFmtId="166" fontId="8" fillId="0" borderId="48" xfId="0" applyNumberFormat="1" applyFont="1" applyFill="1" applyBorder="1" applyAlignment="1" applyProtection="1">
      <alignment horizontal="center" vertical="center"/>
    </xf>
    <xf numFmtId="166" fontId="8" fillId="0" borderId="27" xfId="0" applyNumberFormat="1" applyFont="1" applyFill="1" applyBorder="1" applyAlignment="1" applyProtection="1">
      <alignment horizontal="center" vertical="center" wrapText="1"/>
    </xf>
    <xf numFmtId="166" fontId="20" fillId="0" borderId="43" xfId="0" applyNumberFormat="1" applyFont="1" applyFill="1" applyBorder="1" applyAlignment="1" applyProtection="1">
      <alignment horizontal="center" vertical="center" wrapText="1"/>
    </xf>
    <xf numFmtId="166" fontId="20" fillId="0" borderId="21" xfId="0" applyNumberFormat="1" applyFont="1" applyFill="1" applyBorder="1" applyAlignment="1" applyProtection="1">
      <alignment horizontal="center" vertical="center" wrapText="1"/>
    </xf>
    <xf numFmtId="166" fontId="20" fillId="0" borderId="49" xfId="0" applyNumberFormat="1" applyFont="1" applyFill="1" applyBorder="1" applyAlignment="1" applyProtection="1">
      <alignment horizontal="center" vertical="center" wrapText="1"/>
    </xf>
    <xf numFmtId="166" fontId="20" fillId="0" borderId="17" xfId="0" applyNumberFormat="1" applyFont="1" applyFill="1" applyBorder="1" applyAlignment="1" applyProtection="1">
      <alignment horizontal="center" vertical="center" wrapText="1"/>
    </xf>
    <xf numFmtId="166" fontId="20" fillId="0" borderId="50" xfId="0" applyNumberFormat="1" applyFont="1" applyFill="1" applyBorder="1" applyAlignment="1" applyProtection="1">
      <alignment horizontal="center" vertical="center" wrapText="1"/>
    </xf>
    <xf numFmtId="166" fontId="20" fillId="0" borderId="13" xfId="0" applyNumberFormat="1" applyFont="1" applyFill="1" applyBorder="1" applyAlignment="1" applyProtection="1">
      <alignment horizontal="center" vertical="center" wrapText="1"/>
    </xf>
    <xf numFmtId="166" fontId="20" fillId="0" borderId="21" xfId="0" applyNumberFormat="1" applyFont="1" applyFill="1" applyBorder="1" applyAlignment="1" applyProtection="1">
      <alignment horizontal="left" vertical="center" wrapText="1" indent="1"/>
    </xf>
    <xf numFmtId="166" fontId="20" fillId="0" borderId="8" xfId="0" applyNumberFormat="1" applyFont="1" applyFill="1" applyBorder="1" applyAlignment="1" applyProtection="1">
      <alignment horizontal="center" vertical="center" wrapText="1"/>
    </xf>
    <xf numFmtId="166" fontId="22" fillId="0" borderId="22" xfId="0" applyNumberFormat="1" applyFont="1" applyFill="1" applyBorder="1" applyAlignment="1" applyProtection="1">
      <alignment vertical="center" wrapText="1"/>
    </xf>
    <xf numFmtId="166" fontId="20" fillId="0" borderId="10" xfId="0" applyNumberFormat="1" applyFont="1" applyFill="1" applyBorder="1" applyAlignment="1" applyProtection="1">
      <alignment horizontal="center" vertical="center" wrapText="1"/>
    </xf>
    <xf numFmtId="166" fontId="22" fillId="0" borderId="23" xfId="0" applyNumberFormat="1" applyFont="1" applyFill="1" applyBorder="1" applyAlignment="1" applyProtection="1">
      <alignment vertical="center" wrapText="1"/>
    </xf>
    <xf numFmtId="166" fontId="28" fillId="0" borderId="21" xfId="0" applyNumberFormat="1" applyFont="1" applyFill="1" applyBorder="1" applyAlignment="1" applyProtection="1">
      <alignment horizontal="left" vertical="center" wrapText="1" indent="1"/>
    </xf>
    <xf numFmtId="166" fontId="20" fillId="0" borderId="7" xfId="0" applyNumberFormat="1" applyFont="1" applyFill="1" applyBorder="1" applyAlignment="1" applyProtection="1">
      <alignment horizontal="center" vertical="center" wrapText="1"/>
    </xf>
    <xf numFmtId="166" fontId="22" fillId="0" borderId="50" xfId="0" applyNumberFormat="1" applyFont="1" applyFill="1" applyBorder="1" applyAlignment="1" applyProtection="1">
      <alignment vertical="center" wrapText="1"/>
    </xf>
    <xf numFmtId="0" fontId="22" fillId="0" borderId="2" xfId="8" applyFont="1" applyFill="1" applyBorder="1" applyAlignment="1" applyProtection="1">
      <alignment horizontal="left" vertical="center" indent="1"/>
    </xf>
    <xf numFmtId="0" fontId="22" fillId="0" borderId="3" xfId="8" applyFont="1" applyFill="1" applyBorder="1" applyAlignment="1" applyProtection="1">
      <alignment horizontal="left" vertical="center" wrapText="1" indent="1"/>
    </xf>
    <xf numFmtId="0" fontId="22" fillId="0" borderId="2" xfId="8" applyFont="1" applyFill="1" applyBorder="1" applyAlignment="1" applyProtection="1">
      <alignment horizontal="left" vertical="center" wrapText="1" indent="1"/>
    </xf>
    <xf numFmtId="0" fontId="22" fillId="0" borderId="3" xfId="8" applyFont="1" applyFill="1" applyBorder="1" applyAlignment="1" applyProtection="1">
      <alignment horizontal="left" vertical="center" indent="1"/>
    </xf>
    <xf numFmtId="0" fontId="8" fillId="0" borderId="14" xfId="8" applyFont="1" applyFill="1" applyBorder="1" applyAlignment="1" applyProtection="1">
      <alignment horizontal="left" indent="1"/>
    </xf>
    <xf numFmtId="166" fontId="29" fillId="0" borderId="47" xfId="7" applyNumberFormat="1" applyFont="1" applyFill="1" applyBorder="1" applyAlignment="1" applyProtection="1">
      <alignment horizontal="right" vertical="center" wrapText="1" indent="1"/>
      <protection locked="0"/>
    </xf>
    <xf numFmtId="0" fontId="25" fillId="0" borderId="15" xfId="0" applyFont="1" applyFill="1" applyBorder="1" applyAlignment="1" applyProtection="1">
      <alignment horizontal="center" vertical="center" wrapText="1"/>
    </xf>
    <xf numFmtId="0" fontId="27" fillId="0" borderId="14" xfId="0" applyFont="1" applyBorder="1" applyAlignment="1" applyProtection="1">
      <alignment horizontal="left" vertical="center" wrapText="1" indent="1"/>
    </xf>
    <xf numFmtId="0" fontId="26" fillId="0" borderId="2" xfId="0" applyFont="1" applyBorder="1" applyAlignment="1" applyProtection="1">
      <alignment horizontal="left" vertical="center" wrapText="1" indent="1"/>
    </xf>
    <xf numFmtId="0" fontId="26" fillId="0" borderId="6" xfId="0" applyFont="1" applyBorder="1" applyAlignment="1" applyProtection="1">
      <alignment horizontal="left" vertical="center" wrapText="1" indent="1"/>
    </xf>
    <xf numFmtId="0" fontId="27" fillId="0" borderId="18" xfId="0" applyFont="1" applyBorder="1" applyAlignment="1" applyProtection="1">
      <alignment horizontal="left" vertical="center" wrapText="1" indent="1"/>
    </xf>
    <xf numFmtId="166" fontId="20" fillId="0" borderId="28" xfId="7" applyNumberFormat="1" applyFont="1" applyFill="1" applyBorder="1" applyAlignment="1" applyProtection="1">
      <alignment horizontal="right" vertical="center" wrapText="1" indent="1"/>
    </xf>
    <xf numFmtId="166" fontId="20" fillId="0" borderId="17" xfId="7" applyNumberFormat="1" applyFont="1" applyFill="1" applyBorder="1" applyAlignment="1" applyProtection="1">
      <alignment horizontal="right" vertical="center" wrapText="1" indent="1"/>
    </xf>
    <xf numFmtId="166" fontId="22" fillId="0" borderId="36" xfId="7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20" xfId="7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25" xfId="7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37" xfId="7" applyNumberFormat="1" applyFont="1" applyFill="1" applyBorder="1" applyAlignment="1" applyProtection="1">
      <alignment horizontal="right" vertical="center" wrapText="1" indent="1"/>
      <protection locked="0"/>
    </xf>
    <xf numFmtId="166" fontId="29" fillId="0" borderId="20" xfId="7" applyNumberFormat="1" applyFont="1" applyFill="1" applyBorder="1" applyAlignment="1" applyProtection="1">
      <alignment horizontal="right" vertical="center" wrapText="1" indent="1"/>
      <protection locked="0"/>
    </xf>
    <xf numFmtId="166" fontId="28" fillId="0" borderId="17" xfId="7" applyNumberFormat="1" applyFont="1" applyFill="1" applyBorder="1" applyAlignment="1" applyProtection="1">
      <alignment horizontal="right" vertical="center" wrapText="1" indent="1"/>
    </xf>
    <xf numFmtId="166" fontId="7" fillId="0" borderId="0" xfId="7" applyNumberFormat="1" applyFont="1" applyFill="1" applyBorder="1" applyAlignment="1" applyProtection="1">
      <alignment horizontal="right" vertical="center" wrapText="1" indent="1"/>
    </xf>
    <xf numFmtId="166" fontId="22" fillId="0" borderId="27" xfId="7" applyNumberFormat="1" applyFont="1" applyFill="1" applyBorder="1" applyAlignment="1" applyProtection="1">
      <alignment horizontal="right" vertical="center" wrapText="1" indent="1"/>
      <protection locked="0"/>
    </xf>
    <xf numFmtId="166" fontId="27" fillId="0" borderId="17" xfId="0" applyNumberFormat="1" applyFont="1" applyBorder="1" applyAlignment="1" applyProtection="1">
      <alignment horizontal="right" vertical="center" wrapText="1" indent="1"/>
    </xf>
    <xf numFmtId="0" fontId="6" fillId="0" borderId="34" xfId="0" applyFont="1" applyFill="1" applyBorder="1" applyAlignment="1" applyProtection="1">
      <alignment horizontal="right" vertical="center"/>
    </xf>
    <xf numFmtId="166" fontId="22" fillId="0" borderId="3" xfId="0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2" xfId="0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51" xfId="0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6" xfId="0" applyNumberFormat="1" applyFont="1" applyFill="1" applyBorder="1" applyAlignment="1" applyProtection="1">
      <alignment horizontal="right" vertical="center" wrapText="1" indent="1"/>
      <protection locked="0"/>
    </xf>
    <xf numFmtId="166" fontId="28" fillId="0" borderId="14" xfId="0" applyNumberFormat="1" applyFont="1" applyFill="1" applyBorder="1" applyAlignment="1" applyProtection="1">
      <alignment horizontal="right" vertical="center" wrapText="1" indent="1"/>
    </xf>
    <xf numFmtId="166" fontId="29" fillId="0" borderId="1" xfId="0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25" xfId="0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20" xfId="0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37" xfId="0" applyNumberFormat="1" applyFont="1" applyFill="1" applyBorder="1" applyAlignment="1" applyProtection="1">
      <alignment horizontal="right" vertical="center" wrapText="1" indent="1"/>
      <protection locked="0"/>
    </xf>
    <xf numFmtId="166" fontId="28" fillId="0" borderId="17" xfId="0" applyNumberFormat="1" applyFont="1" applyFill="1" applyBorder="1" applyAlignment="1" applyProtection="1">
      <alignment horizontal="right" vertical="center" wrapText="1" indent="1"/>
    </xf>
    <xf numFmtId="166" fontId="29" fillId="0" borderId="29" xfId="0" applyNumberFormat="1" applyFont="1" applyFill="1" applyBorder="1" applyAlignment="1" applyProtection="1">
      <alignment horizontal="right" vertical="center" wrapText="1" indent="1"/>
      <protection locked="0"/>
    </xf>
    <xf numFmtId="166" fontId="7" fillId="0" borderId="0" xfId="0" applyNumberFormat="1" applyFont="1" applyFill="1" applyAlignment="1" applyProtection="1">
      <alignment horizontal="centerContinuous" vertical="center" wrapText="1"/>
    </xf>
    <xf numFmtId="166" fontId="0" fillId="0" borderId="0" xfId="0" applyNumberFormat="1" applyFill="1" applyAlignment="1" applyProtection="1">
      <alignment horizontal="centerContinuous" vertical="center"/>
    </xf>
    <xf numFmtId="166" fontId="8" fillId="0" borderId="13" xfId="0" applyNumberFormat="1" applyFont="1" applyFill="1" applyBorder="1" applyAlignment="1" applyProtection="1">
      <alignment horizontal="centerContinuous" vertical="center" wrapText="1"/>
    </xf>
    <xf numFmtId="166" fontId="8" fillId="0" borderId="14" xfId="0" applyNumberFormat="1" applyFont="1" applyFill="1" applyBorder="1" applyAlignment="1" applyProtection="1">
      <alignment horizontal="centerContinuous" vertical="center" wrapText="1"/>
    </xf>
    <xf numFmtId="166" fontId="8" fillId="0" borderId="17" xfId="0" applyNumberFormat="1" applyFont="1" applyFill="1" applyBorder="1" applyAlignment="1" applyProtection="1">
      <alignment horizontal="centerContinuous" vertical="center" wrapText="1"/>
    </xf>
    <xf numFmtId="166" fontId="4" fillId="0" borderId="0" xfId="0" applyNumberFormat="1" applyFont="1" applyFill="1" applyAlignment="1" applyProtection="1">
      <alignment horizontal="center" vertical="center" wrapText="1"/>
    </xf>
    <xf numFmtId="166" fontId="28" fillId="0" borderId="21" xfId="0" applyNumberFormat="1" applyFont="1" applyFill="1" applyBorder="1" applyAlignment="1" applyProtection="1">
      <alignment horizontal="center" vertical="center" wrapText="1"/>
    </xf>
    <xf numFmtId="166" fontId="28" fillId="0" borderId="13" xfId="0" applyNumberFormat="1" applyFont="1" applyFill="1" applyBorder="1" applyAlignment="1" applyProtection="1">
      <alignment horizontal="center" vertical="center" wrapText="1"/>
    </xf>
    <xf numFmtId="166" fontId="28" fillId="0" borderId="14" xfId="0" applyNumberFormat="1" applyFont="1" applyFill="1" applyBorder="1" applyAlignment="1" applyProtection="1">
      <alignment horizontal="center" vertical="center" wrapText="1"/>
    </xf>
    <xf numFmtId="166" fontId="28" fillId="0" borderId="17" xfId="0" applyNumberFormat="1" applyFont="1" applyFill="1" applyBorder="1" applyAlignment="1" applyProtection="1">
      <alignment horizontal="center" vertical="center" wrapText="1"/>
    </xf>
    <xf numFmtId="166" fontId="28" fillId="0" borderId="0" xfId="0" applyNumberFormat="1" applyFont="1" applyFill="1" applyAlignment="1" applyProtection="1">
      <alignment horizontal="center" vertical="center" wrapText="1"/>
    </xf>
    <xf numFmtId="166" fontId="0" fillId="0" borderId="24" xfId="0" applyNumberFormat="1" applyFill="1" applyBorder="1" applyAlignment="1" applyProtection="1">
      <alignment horizontal="left" vertical="center" wrapText="1" indent="1"/>
    </xf>
    <xf numFmtId="166" fontId="22" fillId="0" borderId="9" xfId="0" applyNumberFormat="1" applyFont="1" applyFill="1" applyBorder="1" applyAlignment="1" applyProtection="1">
      <alignment horizontal="left" vertical="center" wrapText="1" indent="1"/>
    </xf>
    <xf numFmtId="166" fontId="0" fillId="0" borderId="22" xfId="0" applyNumberFormat="1" applyFill="1" applyBorder="1" applyAlignment="1" applyProtection="1">
      <alignment horizontal="left" vertical="center" wrapText="1" indent="1"/>
    </xf>
    <xf numFmtId="166" fontId="22" fillId="0" borderId="8" xfId="0" applyNumberFormat="1" applyFont="1" applyFill="1" applyBorder="1" applyAlignment="1" applyProtection="1">
      <alignment horizontal="left" vertical="center" wrapText="1" indent="1"/>
    </xf>
    <xf numFmtId="166" fontId="22" fillId="0" borderId="52" xfId="0" applyNumberFormat="1" applyFont="1" applyFill="1" applyBorder="1" applyAlignment="1" applyProtection="1">
      <alignment horizontal="left" vertical="center" wrapText="1" indent="1"/>
    </xf>
    <xf numFmtId="166" fontId="31" fillId="0" borderId="21" xfId="0" applyNumberFormat="1" applyFont="1" applyFill="1" applyBorder="1" applyAlignment="1" applyProtection="1">
      <alignment horizontal="left" vertical="center" wrapText="1" indent="1"/>
    </xf>
    <xf numFmtId="166" fontId="1" fillId="0" borderId="50" xfId="0" applyNumberFormat="1" applyFont="1" applyFill="1" applyBorder="1" applyAlignment="1" applyProtection="1">
      <alignment horizontal="left" vertical="center" wrapText="1" indent="1"/>
    </xf>
    <xf numFmtId="166" fontId="29" fillId="0" borderId="7" xfId="0" applyNumberFormat="1" applyFont="1" applyFill="1" applyBorder="1" applyAlignment="1" applyProtection="1">
      <alignment horizontal="left" vertical="center" wrapText="1" indent="1"/>
    </xf>
    <xf numFmtId="166" fontId="29" fillId="0" borderId="8" xfId="0" applyNumberFormat="1" applyFont="1" applyFill="1" applyBorder="1" applyAlignment="1" applyProtection="1">
      <alignment horizontal="left" vertical="center" wrapText="1" indent="1"/>
    </xf>
    <xf numFmtId="166" fontId="1" fillId="0" borderId="22" xfId="0" applyNumberFormat="1" applyFont="1" applyFill="1" applyBorder="1" applyAlignment="1" applyProtection="1">
      <alignment horizontal="left" vertical="center" wrapText="1" indent="1"/>
    </xf>
    <xf numFmtId="166" fontId="33" fillId="0" borderId="2" xfId="0" applyNumberFormat="1" applyFont="1" applyFill="1" applyBorder="1" applyAlignment="1" applyProtection="1">
      <alignment horizontal="right" vertical="center" wrapText="1" indent="1"/>
    </xf>
    <xf numFmtId="166" fontId="31" fillId="0" borderId="13" xfId="0" applyNumberFormat="1" applyFont="1" applyFill="1" applyBorder="1" applyAlignment="1" applyProtection="1">
      <alignment horizontal="left" vertical="center" wrapText="1" indent="1"/>
    </xf>
    <xf numFmtId="166" fontId="31" fillId="0" borderId="35" xfId="0" applyNumberFormat="1" applyFont="1" applyFill="1" applyBorder="1" applyAlignment="1" applyProtection="1">
      <alignment horizontal="right" vertical="center" wrapText="1" indent="1"/>
    </xf>
    <xf numFmtId="166" fontId="28" fillId="0" borderId="17" xfId="0" applyNumberFormat="1" applyFont="1" applyFill="1" applyBorder="1" applyAlignment="1" applyProtection="1">
      <alignment horizontal="right" vertical="center" wrapText="1" indent="1"/>
      <protection locked="0"/>
    </xf>
    <xf numFmtId="166" fontId="29" fillId="0" borderId="9" xfId="0" applyNumberFormat="1" applyFont="1" applyFill="1" applyBorder="1" applyAlignment="1" applyProtection="1">
      <alignment horizontal="left" vertical="center" wrapText="1" indent="1"/>
      <protection locked="0"/>
    </xf>
    <xf numFmtId="166" fontId="33" fillId="0" borderId="7" xfId="0" applyNumberFormat="1" applyFont="1" applyFill="1" applyBorder="1" applyAlignment="1" applyProtection="1">
      <alignment horizontal="left" vertical="center" wrapText="1" indent="1"/>
    </xf>
    <xf numFmtId="166" fontId="29" fillId="0" borderId="8" xfId="0" applyNumberFormat="1" applyFont="1" applyFill="1" applyBorder="1" applyAlignment="1" applyProtection="1">
      <alignment horizontal="left" vertical="center" wrapText="1" indent="2"/>
    </xf>
    <xf numFmtId="166" fontId="29" fillId="0" borderId="2" xfId="0" applyNumberFormat="1" applyFont="1" applyFill="1" applyBorder="1" applyAlignment="1" applyProtection="1">
      <alignment horizontal="left" vertical="center" wrapText="1" indent="2"/>
    </xf>
    <xf numFmtId="166" fontId="33" fillId="0" borderId="2" xfId="0" applyNumberFormat="1" applyFont="1" applyFill="1" applyBorder="1" applyAlignment="1" applyProtection="1">
      <alignment horizontal="left" vertical="center" wrapText="1" indent="1"/>
    </xf>
    <xf numFmtId="166" fontId="29" fillId="0" borderId="9" xfId="0" applyNumberFormat="1" applyFont="1" applyFill="1" applyBorder="1" applyAlignment="1" applyProtection="1">
      <alignment horizontal="left" vertical="center" wrapText="1" indent="1"/>
    </xf>
    <xf numFmtId="166" fontId="22" fillId="0" borderId="9" xfId="0" applyNumberFormat="1" applyFont="1" applyFill="1" applyBorder="1" applyAlignment="1" applyProtection="1">
      <alignment horizontal="left" vertical="center" wrapText="1" indent="2"/>
    </xf>
    <xf numFmtId="166" fontId="22" fillId="0" borderId="10" xfId="0" applyNumberFormat="1" applyFont="1" applyFill="1" applyBorder="1" applyAlignment="1" applyProtection="1">
      <alignment horizontal="left" vertical="center" wrapText="1" indent="2"/>
    </xf>
    <xf numFmtId="166" fontId="33" fillId="0" borderId="3" xfId="0" applyNumberFormat="1" applyFont="1" applyFill="1" applyBorder="1" applyAlignment="1" applyProtection="1">
      <alignment horizontal="right" vertical="center" wrapText="1" indent="1"/>
    </xf>
    <xf numFmtId="168" fontId="29" fillId="0" borderId="53" xfId="1" applyNumberFormat="1" applyFont="1" applyFill="1" applyBorder="1" applyProtection="1">
      <protection locked="0"/>
    </xf>
    <xf numFmtId="168" fontId="29" fillId="0" borderId="46" xfId="1" applyNumberFormat="1" applyFont="1" applyFill="1" applyBorder="1" applyProtection="1">
      <protection locked="0"/>
    </xf>
    <xf numFmtId="168" fontId="29" fillId="0" borderId="41" xfId="1" applyNumberFormat="1" applyFont="1" applyFill="1" applyBorder="1" applyProtection="1">
      <protection locked="0"/>
    </xf>
    <xf numFmtId="0" fontId="29" fillId="0" borderId="3" xfId="7" applyFont="1" applyFill="1" applyBorder="1" applyProtection="1"/>
    <xf numFmtId="166" fontId="8" fillId="0" borderId="41" xfId="0" applyNumberFormat="1" applyFont="1" applyFill="1" applyBorder="1" applyAlignment="1" applyProtection="1">
      <alignment horizontal="right" vertical="center" wrapText="1" indent="1"/>
    </xf>
    <xf numFmtId="166" fontId="22" fillId="0" borderId="36" xfId="0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29" xfId="0" applyNumberFormat="1" applyFont="1" applyFill="1" applyBorder="1" applyAlignment="1" applyProtection="1">
      <alignment horizontal="right" vertical="center" wrapText="1" indent="1"/>
      <protection locked="0"/>
    </xf>
    <xf numFmtId="166" fontId="28" fillId="0" borderId="35" xfId="0" applyNumberFormat="1" applyFont="1" applyFill="1" applyBorder="1" applyAlignment="1" applyProtection="1">
      <alignment horizontal="right" vertical="center" wrapText="1" indent="1"/>
      <protection locked="0"/>
    </xf>
    <xf numFmtId="166" fontId="28" fillId="0" borderId="35" xfId="0" applyNumberFormat="1" applyFont="1" applyFill="1" applyBorder="1" applyAlignment="1" applyProtection="1">
      <alignment horizontal="right" vertical="center" wrapText="1" indent="1"/>
    </xf>
    <xf numFmtId="166" fontId="20" fillId="0" borderId="0" xfId="0" applyNumberFormat="1" applyFont="1" applyFill="1" applyBorder="1" applyAlignment="1" applyProtection="1">
      <alignment horizontal="right" vertical="center" wrapText="1" indent="1"/>
    </xf>
    <xf numFmtId="0" fontId="22" fillId="0" borderId="0" xfId="0" applyFont="1" applyFill="1" applyAlignment="1" applyProtection="1">
      <alignment horizontal="right" vertical="center" wrapText="1" indent="1"/>
    </xf>
    <xf numFmtId="166" fontId="20" fillId="0" borderId="35" xfId="0" applyNumberFormat="1" applyFont="1" applyFill="1" applyBorder="1" applyAlignment="1" applyProtection="1">
      <alignment horizontal="right" vertical="center" wrapText="1" indent="1"/>
    </xf>
    <xf numFmtId="166" fontId="20" fillId="0" borderId="17" xfId="0" applyNumberFormat="1" applyFont="1" applyFill="1" applyBorder="1" applyAlignment="1" applyProtection="1">
      <alignment horizontal="right" vertical="center" wrapText="1" indent="1"/>
    </xf>
    <xf numFmtId="49" fontId="8" fillId="0" borderId="36" xfId="0" applyNumberFormat="1" applyFont="1" applyFill="1" applyBorder="1" applyAlignment="1" applyProtection="1">
      <alignment horizontal="right" vertical="center"/>
    </xf>
    <xf numFmtId="49" fontId="8" fillId="0" borderId="54" xfId="0" applyNumberFormat="1" applyFont="1" applyFill="1" applyBorder="1" applyAlignment="1" applyProtection="1">
      <alignment horizontal="right" vertical="center"/>
    </xf>
    <xf numFmtId="0" fontId="10" fillId="0" borderId="0" xfId="0" applyFont="1" applyFill="1" applyAlignment="1" applyProtection="1">
      <alignment vertical="center" wrapText="1"/>
    </xf>
    <xf numFmtId="0" fontId="7" fillId="0" borderId="55" xfId="7" applyFont="1" applyFill="1" applyBorder="1" applyAlignment="1" applyProtection="1">
      <alignment horizontal="center" vertical="center" wrapText="1"/>
    </xf>
    <xf numFmtId="0" fontId="7" fillId="0" borderId="55" xfId="7" applyFont="1" applyFill="1" applyBorder="1" applyAlignment="1" applyProtection="1">
      <alignment vertical="center" wrapText="1"/>
    </xf>
    <xf numFmtId="166" fontId="7" fillId="0" borderId="55" xfId="7" applyNumberFormat="1" applyFont="1" applyFill="1" applyBorder="1" applyAlignment="1" applyProtection="1">
      <alignment horizontal="right" vertical="center" wrapText="1" indent="1"/>
    </xf>
    <xf numFmtId="0" fontId="22" fillId="0" borderId="55" xfId="7" applyFont="1" applyFill="1" applyBorder="1" applyAlignment="1" applyProtection="1">
      <alignment horizontal="right" vertical="center" wrapText="1" indent="1"/>
      <protection locked="0"/>
    </xf>
    <xf numFmtId="166" fontId="29" fillId="0" borderId="55" xfId="7" applyNumberFormat="1" applyFont="1" applyFill="1" applyBorder="1" applyAlignment="1" applyProtection="1">
      <alignment horizontal="right" vertical="center" wrapText="1" indent="1"/>
      <protection locked="0"/>
    </xf>
    <xf numFmtId="0" fontId="16" fillId="0" borderId="0" xfId="0" applyFont="1" applyAlignment="1">
      <alignment horizontal="center" wrapText="1"/>
    </xf>
    <xf numFmtId="0" fontId="23" fillId="0" borderId="0" xfId="0" applyFont="1" applyAlignment="1">
      <alignment horizontal="center" wrapText="1"/>
    </xf>
    <xf numFmtId="0" fontId="16" fillId="0" borderId="0" xfId="0" applyFont="1" applyFill="1" applyBorder="1" applyAlignment="1" applyProtection="1">
      <alignment horizontal="center" vertical="center"/>
    </xf>
    <xf numFmtId="0" fontId="31" fillId="0" borderId="15" xfId="0" applyFont="1" applyBorder="1" applyAlignment="1" applyProtection="1">
      <alignment horizontal="center" vertical="center" wrapText="1"/>
    </xf>
    <xf numFmtId="0" fontId="31" fillId="0" borderId="16" xfId="0" applyFont="1" applyBorder="1" applyAlignment="1" applyProtection="1">
      <alignment horizontal="center" vertical="center"/>
    </xf>
    <xf numFmtId="0" fontId="31" fillId="0" borderId="28" xfId="0" applyFont="1" applyBorder="1" applyAlignment="1" applyProtection="1">
      <alignment horizontal="center" vertical="center" wrapText="1"/>
    </xf>
    <xf numFmtId="0" fontId="25" fillId="0" borderId="19" xfId="0" applyFont="1" applyBorder="1" applyAlignment="1" applyProtection="1">
      <alignment horizontal="left" vertical="center" wrapText="1" indent="1"/>
    </xf>
    <xf numFmtId="0" fontId="12" fillId="0" borderId="0" xfId="7" applyFont="1" applyFill="1" applyProtection="1"/>
    <xf numFmtId="0" fontId="12" fillId="0" borderId="0" xfId="7" applyFont="1" applyFill="1" applyAlignment="1" applyProtection="1">
      <alignment horizontal="right" vertical="center" indent="1"/>
    </xf>
    <xf numFmtId="0" fontId="12" fillId="0" borderId="0" xfId="7" applyFont="1" applyFill="1"/>
    <xf numFmtId="0" fontId="12" fillId="0" borderId="0" xfId="7" applyFont="1" applyFill="1" applyAlignment="1">
      <alignment horizontal="right" vertical="center" indent="1"/>
    </xf>
    <xf numFmtId="0" fontId="40" fillId="0" borderId="2" xfId="0" applyFont="1" applyBorder="1" applyAlignment="1">
      <alignment horizontal="justify" wrapText="1"/>
    </xf>
    <xf numFmtId="0" fontId="40" fillId="0" borderId="2" xfId="0" applyFont="1" applyBorder="1" applyAlignment="1">
      <alignment wrapText="1"/>
    </xf>
    <xf numFmtId="0" fontId="40" fillId="0" borderId="26" xfId="0" applyFont="1" applyBorder="1" applyAlignment="1">
      <alignment wrapText="1"/>
    </xf>
    <xf numFmtId="0" fontId="45" fillId="0" borderId="0" xfId="0" applyFont="1" applyFill="1" applyAlignment="1" applyProtection="1">
      <alignment horizontal="left" vertical="center" wrapText="1"/>
    </xf>
    <xf numFmtId="0" fontId="45" fillId="0" borderId="0" xfId="0" applyFont="1" applyFill="1" applyAlignment="1" applyProtection="1">
      <alignment vertical="center" wrapText="1"/>
    </xf>
    <xf numFmtId="0" fontId="17" fillId="0" borderId="0" xfId="0" applyFont="1" applyFill="1" applyAlignment="1" applyProtection="1">
      <alignment horizontal="left" vertical="center" wrapText="1"/>
    </xf>
    <xf numFmtId="0" fontId="17" fillId="0" borderId="0" xfId="0" applyFont="1" applyFill="1" applyAlignment="1" applyProtection="1">
      <alignment vertical="center" wrapText="1"/>
    </xf>
    <xf numFmtId="0" fontId="17" fillId="0" borderId="0" xfId="0" applyFont="1" applyFill="1" applyAlignment="1" applyProtection="1">
      <alignment horizontal="right" vertical="center" wrapText="1" indent="1"/>
    </xf>
    <xf numFmtId="166" fontId="0" fillId="0" borderId="50" xfId="0" applyNumberFormat="1" applyFill="1" applyBorder="1" applyAlignment="1" applyProtection="1">
      <alignment horizontal="left" vertical="center" wrapText="1" indent="1"/>
    </xf>
    <xf numFmtId="166" fontId="22" fillId="0" borderId="7" xfId="0" applyNumberFormat="1" applyFont="1" applyFill="1" applyBorder="1" applyAlignment="1" applyProtection="1">
      <alignment horizontal="left" vertical="center" wrapText="1" indent="1"/>
    </xf>
    <xf numFmtId="166" fontId="22" fillId="0" borderId="56" xfId="0" applyNumberFormat="1" applyFont="1" applyFill="1" applyBorder="1" applyAlignment="1" applyProtection="1">
      <alignment horizontal="right" vertical="center" wrapText="1" indent="1"/>
      <protection locked="0"/>
    </xf>
    <xf numFmtId="166" fontId="20" fillId="0" borderId="16" xfId="7" applyNumberFormat="1" applyFont="1" applyFill="1" applyBorder="1" applyAlignment="1" applyProtection="1">
      <alignment horizontal="right" vertical="center" wrapText="1" indent="1"/>
    </xf>
    <xf numFmtId="166" fontId="20" fillId="0" borderId="14" xfId="7" applyNumberFormat="1" applyFont="1" applyFill="1" applyBorder="1" applyAlignment="1" applyProtection="1">
      <alignment horizontal="right" vertical="center" wrapText="1" indent="1"/>
    </xf>
    <xf numFmtId="166" fontId="22" fillId="0" borderId="2" xfId="7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3" xfId="7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6" xfId="7" applyNumberFormat="1" applyFont="1" applyFill="1" applyBorder="1" applyAlignment="1" applyProtection="1">
      <alignment horizontal="right" vertical="center" wrapText="1" indent="1"/>
      <protection locked="0"/>
    </xf>
    <xf numFmtId="166" fontId="29" fillId="0" borderId="2" xfId="7" applyNumberFormat="1" applyFont="1" applyFill="1" applyBorder="1" applyAlignment="1" applyProtection="1">
      <alignment horizontal="right" vertical="center" wrapText="1" indent="1"/>
      <protection locked="0"/>
    </xf>
    <xf numFmtId="166" fontId="29" fillId="0" borderId="6" xfId="7" applyNumberFormat="1" applyFont="1" applyFill="1" applyBorder="1" applyAlignment="1" applyProtection="1">
      <alignment horizontal="right" vertical="center" wrapText="1" indent="1"/>
      <protection locked="0"/>
    </xf>
    <xf numFmtId="166" fontId="29" fillId="0" borderId="37" xfId="7" applyNumberFormat="1" applyFont="1" applyFill="1" applyBorder="1" applyAlignment="1" applyProtection="1">
      <alignment horizontal="right" vertical="center" wrapText="1" indent="1"/>
      <protection locked="0"/>
    </xf>
    <xf numFmtId="166" fontId="28" fillId="0" borderId="14" xfId="7" applyNumberFormat="1" applyFont="1" applyFill="1" applyBorder="1" applyAlignment="1" applyProtection="1">
      <alignment horizontal="right" vertical="center" wrapText="1" indent="1"/>
    </xf>
    <xf numFmtId="0" fontId="8" fillId="0" borderId="42" xfId="7" applyFont="1" applyFill="1" applyBorder="1" applyAlignment="1" applyProtection="1">
      <alignment horizontal="center" vertical="center" wrapText="1"/>
    </xf>
    <xf numFmtId="166" fontId="26" fillId="0" borderId="57" xfId="0" applyNumberFormat="1" applyFont="1" applyFill="1" applyBorder="1" applyAlignment="1" applyProtection="1">
      <alignment horizontal="right" vertical="center" wrapText="1"/>
      <protection locked="0"/>
    </xf>
    <xf numFmtId="0" fontId="8" fillId="0" borderId="58" xfId="0" applyFont="1" applyFill="1" applyBorder="1" applyAlignment="1" applyProtection="1">
      <alignment horizontal="center" vertical="center" wrapText="1"/>
    </xf>
    <xf numFmtId="0" fontId="8" fillId="0" borderId="43" xfId="0" applyFont="1" applyFill="1" applyBorder="1" applyAlignment="1" applyProtection="1">
      <alignment horizontal="center" vertical="center" wrapText="1"/>
    </xf>
    <xf numFmtId="0" fontId="20" fillId="0" borderId="15" xfId="7" applyFont="1" applyFill="1" applyBorder="1" applyAlignment="1" applyProtection="1">
      <alignment horizontal="center" vertical="center" wrapText="1"/>
    </xf>
    <xf numFmtId="0" fontId="20" fillId="0" borderId="16" xfId="7" applyFont="1" applyFill="1" applyBorder="1" applyAlignment="1" applyProtection="1">
      <alignment horizontal="center" vertical="center" wrapText="1"/>
    </xf>
    <xf numFmtId="166" fontId="22" fillId="0" borderId="25" xfId="7" applyNumberFormat="1" applyFont="1" applyFill="1" applyBorder="1" applyAlignment="1" applyProtection="1">
      <alignment horizontal="right" vertical="center" wrapText="1" indent="1"/>
    </xf>
    <xf numFmtId="0" fontId="22" fillId="0" borderId="3" xfId="7" applyFont="1" applyFill="1" applyBorder="1" applyAlignment="1" applyProtection="1">
      <alignment horizontal="left" vertical="center" wrapText="1" indent="6"/>
    </xf>
    <xf numFmtId="0" fontId="12" fillId="0" borderId="0" xfId="7" applyFill="1" applyProtection="1"/>
    <xf numFmtId="0" fontId="22" fillId="0" borderId="0" xfId="7" applyFont="1" applyFill="1" applyProtection="1"/>
    <xf numFmtId="0" fontId="15" fillId="0" borderId="0" xfId="7" applyFont="1" applyFill="1" applyProtection="1"/>
    <xf numFmtId="0" fontId="26" fillId="0" borderId="3" xfId="0" applyFont="1" applyBorder="1" applyAlignment="1" applyProtection="1">
      <alignment horizontal="left" wrapText="1" indent="1"/>
    </xf>
    <xf numFmtId="0" fontId="26" fillId="0" borderId="2" xfId="0" applyFont="1" applyBorder="1" applyAlignment="1" applyProtection="1">
      <alignment horizontal="left" wrapText="1" indent="1"/>
    </xf>
    <xf numFmtId="0" fontId="26" fillId="0" borderId="6" xfId="0" applyFont="1" applyBorder="1" applyAlignment="1" applyProtection="1">
      <alignment horizontal="left" wrapText="1" indent="1"/>
    </xf>
    <xf numFmtId="0" fontId="26" fillId="0" borderId="6" xfId="0" applyFont="1" applyBorder="1" applyAlignment="1" applyProtection="1">
      <alignment wrapText="1"/>
    </xf>
    <xf numFmtId="0" fontId="26" fillId="0" borderId="9" xfId="0" applyFont="1" applyBorder="1" applyAlignment="1" applyProtection="1">
      <alignment wrapText="1"/>
    </xf>
    <xf numFmtId="0" fontId="26" fillId="0" borderId="8" xfId="0" applyFont="1" applyBorder="1" applyAlignment="1" applyProtection="1">
      <alignment wrapText="1"/>
    </xf>
    <xf numFmtId="0" fontId="26" fillId="0" borderId="10" xfId="0" applyFont="1" applyBorder="1" applyAlignment="1" applyProtection="1">
      <alignment wrapText="1"/>
    </xf>
    <xf numFmtId="0" fontId="27" fillId="0" borderId="14" xfId="0" applyFont="1" applyBorder="1" applyAlignment="1" applyProtection="1">
      <alignment wrapText="1"/>
    </xf>
    <xf numFmtId="0" fontId="27" fillId="0" borderId="19" xfId="0" applyFont="1" applyBorder="1" applyAlignment="1" applyProtection="1">
      <alignment wrapText="1"/>
    </xf>
    <xf numFmtId="0" fontId="12" fillId="0" borderId="0" xfId="7" applyFill="1" applyAlignment="1" applyProtection="1"/>
    <xf numFmtId="166" fontId="25" fillId="0" borderId="17" xfId="0" quotePrefix="1" applyNumberFormat="1" applyFont="1" applyBorder="1" applyAlignment="1" applyProtection="1">
      <alignment horizontal="right" vertical="center" wrapText="1" indent="1"/>
    </xf>
    <xf numFmtId="0" fontId="24" fillId="0" borderId="0" xfId="7" applyFont="1" applyFill="1" applyProtection="1"/>
    <xf numFmtId="0" fontId="23" fillId="0" borderId="0" xfId="7" applyFont="1" applyFill="1" applyProtection="1"/>
    <xf numFmtId="0" fontId="12" fillId="0" borderId="0" xfId="7" applyFill="1" applyBorder="1" applyProtection="1"/>
    <xf numFmtId="166" fontId="29" fillId="0" borderId="0" xfId="0" applyNumberFormat="1" applyFont="1" applyFill="1" applyBorder="1" applyAlignment="1" applyProtection="1">
      <alignment horizontal="left" vertical="center" wrapText="1" indent="1"/>
      <protection locked="0"/>
    </xf>
    <xf numFmtId="166" fontId="22" fillId="0" borderId="8" xfId="0" quotePrefix="1" applyNumberFormat="1" applyFont="1" applyFill="1" applyBorder="1" applyAlignment="1" applyProtection="1">
      <alignment horizontal="left" vertical="center" wrapText="1" indent="3"/>
      <protection locked="0"/>
    </xf>
    <xf numFmtId="166" fontId="22" fillId="0" borderId="7" xfId="0" applyNumberFormat="1" applyFont="1" applyFill="1" applyBorder="1" applyAlignment="1" applyProtection="1">
      <alignment horizontal="left" vertical="center" wrapText="1" indent="1"/>
      <protection locked="0"/>
    </xf>
    <xf numFmtId="166" fontId="22" fillId="0" borderId="8" xfId="0" quotePrefix="1" applyNumberFormat="1" applyFont="1" applyFill="1" applyBorder="1" applyAlignment="1" applyProtection="1">
      <alignment horizontal="left" vertical="center" wrapText="1" indent="6"/>
      <protection locked="0"/>
    </xf>
    <xf numFmtId="166" fontId="29" fillId="0" borderId="8" xfId="0" quotePrefix="1" applyNumberFormat="1" applyFont="1" applyFill="1" applyBorder="1" applyAlignment="1" applyProtection="1">
      <alignment horizontal="left" vertical="center" wrapText="1" indent="6"/>
      <protection locked="0"/>
    </xf>
    <xf numFmtId="49" fontId="22" fillId="0" borderId="9" xfId="7" applyNumberFormat="1" applyFont="1" applyFill="1" applyBorder="1" applyAlignment="1" applyProtection="1">
      <alignment horizontal="center" vertical="center" wrapText="1"/>
    </xf>
    <xf numFmtId="49" fontId="22" fillId="0" borderId="8" xfId="7" applyNumberFormat="1" applyFont="1" applyFill="1" applyBorder="1" applyAlignment="1" applyProtection="1">
      <alignment horizontal="center" vertical="center" wrapText="1"/>
    </xf>
    <xf numFmtId="49" fontId="22" fillId="0" borderId="10" xfId="7" applyNumberFormat="1" applyFont="1" applyFill="1" applyBorder="1" applyAlignment="1" applyProtection="1">
      <alignment horizontal="center" vertical="center" wrapText="1"/>
    </xf>
    <xf numFmtId="0" fontId="27" fillId="0" borderId="13" xfId="0" applyFont="1" applyBorder="1" applyAlignment="1" applyProtection="1">
      <alignment horizontal="center" wrapText="1"/>
    </xf>
    <xf numFmtId="0" fontId="26" fillId="0" borderId="9" xfId="0" applyFont="1" applyBorder="1" applyAlignment="1" applyProtection="1">
      <alignment horizontal="center" wrapText="1"/>
    </xf>
    <xf numFmtId="0" fontId="26" fillId="0" borderId="8" xfId="0" applyFont="1" applyBorder="1" applyAlignment="1" applyProtection="1">
      <alignment horizontal="center" wrapText="1"/>
    </xf>
    <xf numFmtId="0" fontId="26" fillId="0" borderId="10" xfId="0" applyFont="1" applyBorder="1" applyAlignment="1" applyProtection="1">
      <alignment horizontal="center" wrapText="1"/>
    </xf>
    <xf numFmtId="0" fontId="27" fillId="0" borderId="18" xfId="0" applyFont="1" applyBorder="1" applyAlignment="1" applyProtection="1">
      <alignment horizontal="center" wrapText="1"/>
    </xf>
    <xf numFmtId="49" fontId="22" fillId="0" borderId="11" xfId="7" applyNumberFormat="1" applyFont="1" applyFill="1" applyBorder="1" applyAlignment="1" applyProtection="1">
      <alignment horizontal="center" vertical="center" wrapText="1"/>
    </xf>
    <xf numFmtId="49" fontId="22" fillId="0" borderId="7" xfId="7" applyNumberFormat="1" applyFont="1" applyFill="1" applyBorder="1" applyAlignment="1" applyProtection="1">
      <alignment horizontal="center" vertical="center" wrapText="1"/>
    </xf>
    <xf numFmtId="49" fontId="22" fillId="0" borderId="12" xfId="7" applyNumberFormat="1" applyFont="1" applyFill="1" applyBorder="1" applyAlignment="1" applyProtection="1">
      <alignment horizontal="center" vertical="center" wrapText="1"/>
    </xf>
    <xf numFmtId="0" fontId="27" fillId="0" borderId="18" xfId="0" applyFont="1" applyBorder="1" applyAlignment="1" applyProtection="1">
      <alignment horizontal="center" vertical="center" wrapText="1"/>
    </xf>
    <xf numFmtId="166" fontId="28" fillId="0" borderId="35" xfId="7" applyNumberFormat="1" applyFont="1" applyFill="1" applyBorder="1" applyAlignment="1" applyProtection="1">
      <alignment horizontal="right" vertical="center" wrapText="1" indent="1"/>
    </xf>
    <xf numFmtId="0" fontId="20" fillId="0" borderId="35" xfId="7" applyFont="1" applyFill="1" applyBorder="1" applyAlignment="1" applyProtection="1">
      <alignment horizontal="center" vertical="center" wrapText="1"/>
    </xf>
    <xf numFmtId="0" fontId="8" fillId="0" borderId="59" xfId="0" applyFont="1" applyFill="1" applyBorder="1" applyAlignment="1" applyProtection="1">
      <alignment horizontal="center" vertical="center" wrapText="1"/>
    </xf>
    <xf numFmtId="49" fontId="29" fillId="0" borderId="11" xfId="0" applyNumberFormat="1" applyFont="1" applyFill="1" applyBorder="1" applyAlignment="1" applyProtection="1">
      <alignment horizontal="center" vertical="center" wrapText="1"/>
    </xf>
    <xf numFmtId="49" fontId="29" fillId="0" borderId="8" xfId="0" applyNumberFormat="1" applyFont="1" applyFill="1" applyBorder="1" applyAlignment="1" applyProtection="1">
      <alignment horizontal="center" vertical="center" wrapText="1"/>
    </xf>
    <xf numFmtId="49" fontId="29" fillId="0" borderId="9" xfId="0" applyNumberFormat="1" applyFont="1" applyFill="1" applyBorder="1" applyAlignment="1" applyProtection="1">
      <alignment horizontal="center" vertical="center" wrapText="1"/>
    </xf>
    <xf numFmtId="0" fontId="29" fillId="0" borderId="3" xfId="7" applyFont="1" applyFill="1" applyBorder="1" applyAlignment="1" applyProtection="1">
      <alignment horizontal="left" vertical="center" wrapText="1" indent="1"/>
    </xf>
    <xf numFmtId="0" fontId="29" fillId="0" borderId="2" xfId="7" applyFont="1" applyFill="1" applyBorder="1" applyAlignment="1" applyProtection="1">
      <alignment horizontal="left" vertical="center" wrapText="1" indent="1"/>
    </xf>
    <xf numFmtId="0" fontId="7" fillId="0" borderId="0" xfId="0" applyFont="1" applyFill="1" applyAlignment="1" applyProtection="1">
      <alignment vertical="center"/>
    </xf>
    <xf numFmtId="0" fontId="4" fillId="0" borderId="0" xfId="0" applyFont="1" applyFill="1" applyAlignment="1" applyProtection="1">
      <alignment vertical="center"/>
    </xf>
    <xf numFmtId="0" fontId="7" fillId="0" borderId="0" xfId="0" applyFont="1" applyFill="1" applyAlignment="1" applyProtection="1">
      <alignment horizontal="center" vertical="center" wrapText="1"/>
    </xf>
    <xf numFmtId="0" fontId="2" fillId="0" borderId="0" xfId="0" applyFont="1" applyFill="1" applyAlignment="1" applyProtection="1">
      <alignment vertical="center" wrapText="1"/>
    </xf>
    <xf numFmtId="0" fontId="9" fillId="0" borderId="0" xfId="0" applyFont="1" applyFill="1" applyAlignment="1" applyProtection="1">
      <alignment vertical="center" wrapText="1"/>
    </xf>
    <xf numFmtId="166" fontId="29" fillId="0" borderId="25" xfId="7" applyNumberFormat="1" applyFont="1" applyFill="1" applyBorder="1" applyAlignment="1" applyProtection="1">
      <alignment horizontal="right" vertical="center" wrapText="1" indent="1"/>
      <protection locked="0"/>
    </xf>
    <xf numFmtId="166" fontId="20" fillId="0" borderId="17" xfId="7" applyNumberFormat="1" applyFont="1" applyFill="1" applyBorder="1" applyAlignment="1" applyProtection="1">
      <alignment horizontal="right" vertical="center" wrapText="1" indent="1"/>
      <protection locked="0"/>
    </xf>
    <xf numFmtId="166" fontId="29" fillId="0" borderId="3" xfId="7" applyNumberFormat="1" applyFont="1" applyFill="1" applyBorder="1" applyAlignment="1" applyProtection="1">
      <alignment horizontal="right" vertical="center" wrapText="1" indent="1"/>
      <protection locked="0"/>
    </xf>
    <xf numFmtId="0" fontId="27" fillId="0" borderId="13" xfId="0" applyFont="1" applyBorder="1" applyAlignment="1" applyProtection="1">
      <alignment vertical="center" wrapText="1"/>
    </xf>
    <xf numFmtId="0" fontId="27" fillId="0" borderId="18" xfId="0" applyFont="1" applyBorder="1" applyAlignment="1" applyProtection="1">
      <alignment vertical="center" wrapText="1"/>
    </xf>
    <xf numFmtId="166" fontId="20" fillId="0" borderId="14" xfId="7" applyNumberFormat="1" applyFont="1" applyFill="1" applyBorder="1" applyAlignment="1" applyProtection="1">
      <alignment horizontal="right" vertical="center" wrapText="1" indent="1"/>
      <protection locked="0"/>
    </xf>
    <xf numFmtId="166" fontId="20" fillId="0" borderId="35" xfId="7" applyNumberFormat="1" applyFont="1" applyFill="1" applyBorder="1" applyAlignment="1" applyProtection="1">
      <alignment horizontal="right" vertical="center" wrapText="1" indent="1"/>
      <protection locked="0"/>
    </xf>
    <xf numFmtId="0" fontId="31" fillId="0" borderId="13" xfId="7" applyFont="1" applyFill="1" applyBorder="1" applyAlignment="1">
      <alignment horizontal="center" vertical="center"/>
    </xf>
    <xf numFmtId="0" fontId="35" fillId="0" borderId="0" xfId="7" applyFont="1" applyFill="1"/>
    <xf numFmtId="0" fontId="28" fillId="0" borderId="13" xfId="7" applyFont="1" applyFill="1" applyBorder="1" applyAlignment="1" applyProtection="1">
      <alignment horizontal="center" vertical="center"/>
    </xf>
    <xf numFmtId="49" fontId="22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19" fillId="0" borderId="2" xfId="0" applyNumberFormat="1" applyFont="1" applyFill="1" applyBorder="1" applyAlignment="1" applyProtection="1">
      <alignment horizontal="center" vertical="center" wrapText="1"/>
      <protection locked="0"/>
    </xf>
    <xf numFmtId="166" fontId="6" fillId="0" borderId="0" xfId="0" applyNumberFormat="1" applyFont="1" applyFill="1" applyAlignment="1" applyProtection="1">
      <alignment horizontal="right"/>
    </xf>
    <xf numFmtId="166" fontId="5" fillId="0" borderId="0" xfId="0" applyNumberFormat="1" applyFont="1" applyFill="1" applyAlignment="1" applyProtection="1">
      <alignment vertical="center"/>
    </xf>
    <xf numFmtId="166" fontId="5" fillId="0" borderId="0" xfId="0" applyNumberFormat="1" applyFont="1" applyFill="1" applyAlignment="1" applyProtection="1">
      <alignment horizontal="center" vertical="center"/>
    </xf>
    <xf numFmtId="166" fontId="5" fillId="0" borderId="0" xfId="0" applyNumberFormat="1" applyFont="1" applyFill="1" applyAlignment="1" applyProtection="1">
      <alignment horizontal="center" vertical="center" wrapText="1"/>
    </xf>
    <xf numFmtId="0" fontId="22" fillId="0" borderId="1" xfId="8" applyFont="1" applyFill="1" applyBorder="1" applyAlignment="1" applyProtection="1">
      <alignment horizontal="left" vertical="center" wrapText="1" indent="1"/>
    </xf>
    <xf numFmtId="174" fontId="31" fillId="0" borderId="6" xfId="7" applyNumberFormat="1" applyFont="1" applyFill="1" applyBorder="1" applyAlignment="1">
      <alignment horizontal="center" vertical="center" wrapText="1"/>
    </xf>
    <xf numFmtId="0" fontId="26" fillId="0" borderId="6" xfId="0" applyFont="1" applyBorder="1" applyAlignment="1" applyProtection="1">
      <alignment vertical="center" wrapText="1"/>
    </xf>
    <xf numFmtId="0" fontId="20" fillId="0" borderId="18" xfId="7" applyFont="1" applyFill="1" applyBorder="1" applyAlignment="1" applyProtection="1">
      <alignment horizontal="left" vertical="center" wrapText="1" indent="1"/>
    </xf>
    <xf numFmtId="0" fontId="20" fillId="0" borderId="19" xfId="7" applyFont="1" applyFill="1" applyBorder="1" applyAlignment="1" applyProtection="1">
      <alignment vertical="center" wrapText="1"/>
    </xf>
    <xf numFmtId="166" fontId="20" fillId="0" borderId="38" xfId="7" applyNumberFormat="1" applyFont="1" applyFill="1" applyBorder="1" applyAlignment="1" applyProtection="1">
      <alignment horizontal="right" vertical="center" wrapText="1" indent="1"/>
    </xf>
    <xf numFmtId="0" fontId="22" fillId="0" borderId="26" xfId="7" applyFont="1" applyFill="1" applyBorder="1" applyAlignment="1" applyProtection="1">
      <alignment horizontal="left" vertical="center" wrapText="1" indent="7"/>
    </xf>
    <xf numFmtId="166" fontId="27" fillId="0" borderId="17" xfId="0" applyNumberFormat="1" applyFont="1" applyBorder="1" applyAlignment="1" applyProtection="1">
      <alignment horizontal="right" vertical="center" wrapText="1" indent="1"/>
      <protection locked="0"/>
    </xf>
    <xf numFmtId="0" fontId="20" fillId="0" borderId="13" xfId="7" applyFont="1" applyFill="1" applyBorder="1" applyAlignment="1" applyProtection="1">
      <alignment horizontal="left" vertical="center" wrapText="1"/>
    </xf>
    <xf numFmtId="166" fontId="33" fillId="0" borderId="1" xfId="0" applyNumberFormat="1" applyFont="1" applyFill="1" applyBorder="1" applyAlignment="1" applyProtection="1">
      <alignment horizontal="right" vertical="center" wrapText="1" indent="1"/>
    </xf>
    <xf numFmtId="49" fontId="28" fillId="0" borderId="13" xfId="7" applyNumberFormat="1" applyFont="1" applyFill="1" applyBorder="1" applyAlignment="1" applyProtection="1">
      <alignment horizontal="center" vertical="center" wrapText="1"/>
    </xf>
    <xf numFmtId="166" fontId="20" fillId="0" borderId="60" xfId="7" applyNumberFormat="1" applyFont="1" applyFill="1" applyBorder="1" applyAlignment="1" applyProtection="1">
      <alignment horizontal="right" vertical="center" wrapText="1" indent="1"/>
    </xf>
    <xf numFmtId="166" fontId="22" fillId="0" borderId="53" xfId="7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61" xfId="7" applyNumberFormat="1" applyFont="1" applyFill="1" applyBorder="1" applyAlignment="1" applyProtection="1">
      <alignment horizontal="right" vertical="center" wrapText="1" indent="1"/>
      <protection locked="0"/>
    </xf>
    <xf numFmtId="166" fontId="20" fillId="0" borderId="54" xfId="7" applyNumberFormat="1" applyFont="1" applyFill="1" applyBorder="1" applyAlignment="1" applyProtection="1">
      <alignment horizontal="right" vertical="center" wrapText="1" indent="1"/>
    </xf>
    <xf numFmtId="166" fontId="27" fillId="0" borderId="35" xfId="0" applyNumberFormat="1" applyFont="1" applyBorder="1" applyAlignment="1" applyProtection="1">
      <alignment horizontal="right" vertical="center" wrapText="1" indent="1"/>
    </xf>
    <xf numFmtId="166" fontId="27" fillId="0" borderId="35" xfId="0" applyNumberFormat="1" applyFont="1" applyBorder="1" applyAlignment="1" applyProtection="1">
      <alignment horizontal="right" vertical="center" wrapText="1" indent="1"/>
      <protection locked="0"/>
    </xf>
    <xf numFmtId="166" fontId="25" fillId="0" borderId="35" xfId="0" quotePrefix="1" applyNumberFormat="1" applyFont="1" applyBorder="1" applyAlignment="1" applyProtection="1">
      <alignment horizontal="right" vertical="center" wrapText="1" indent="1"/>
    </xf>
    <xf numFmtId="166" fontId="22" fillId="0" borderId="4" xfId="7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26" xfId="7" applyNumberFormat="1" applyFont="1" applyFill="1" applyBorder="1" applyAlignment="1" applyProtection="1">
      <alignment horizontal="right" vertical="center" wrapText="1" indent="1"/>
      <protection locked="0"/>
    </xf>
    <xf numFmtId="166" fontId="20" fillId="0" borderId="19" xfId="7" applyNumberFormat="1" applyFont="1" applyFill="1" applyBorder="1" applyAlignment="1" applyProtection="1">
      <alignment horizontal="right" vertical="center" wrapText="1" indent="1"/>
    </xf>
    <xf numFmtId="166" fontId="27" fillId="0" borderId="14" xfId="0" applyNumberFormat="1" applyFont="1" applyBorder="1" applyAlignment="1" applyProtection="1">
      <alignment horizontal="right" vertical="center" wrapText="1" indent="1"/>
    </xf>
    <xf numFmtId="166" fontId="27" fillId="0" borderId="14" xfId="0" applyNumberFormat="1" applyFont="1" applyBorder="1" applyAlignment="1" applyProtection="1">
      <alignment horizontal="right" vertical="center" wrapText="1" indent="1"/>
      <protection locked="0"/>
    </xf>
    <xf numFmtId="166" fontId="25" fillId="0" borderId="14" xfId="0" quotePrefix="1" applyNumberFormat="1" applyFont="1" applyBorder="1" applyAlignment="1" applyProtection="1">
      <alignment horizontal="right" vertical="center" wrapText="1" indent="1"/>
    </xf>
    <xf numFmtId="0" fontId="20" fillId="0" borderId="60" xfId="7" applyFont="1" applyFill="1" applyBorder="1" applyAlignment="1" applyProtection="1">
      <alignment horizontal="center" vertical="center" wrapText="1"/>
    </xf>
    <xf numFmtId="0" fontId="28" fillId="0" borderId="19" xfId="7" applyFont="1" applyFill="1" applyBorder="1" applyAlignment="1" applyProtection="1">
      <alignment vertical="center" wrapText="1"/>
    </xf>
    <xf numFmtId="166" fontId="28" fillId="0" borderId="19" xfId="7" applyNumberFormat="1" applyFont="1" applyFill="1" applyBorder="1" applyAlignment="1" applyProtection="1">
      <alignment horizontal="right" vertical="center" wrapText="1" indent="1"/>
    </xf>
    <xf numFmtId="166" fontId="28" fillId="0" borderId="54" xfId="7" applyNumberFormat="1" applyFont="1" applyFill="1" applyBorder="1" applyAlignment="1" applyProtection="1">
      <alignment horizontal="right" vertical="center" wrapText="1" indent="1"/>
    </xf>
    <xf numFmtId="0" fontId="22" fillId="0" borderId="55" xfId="7" applyFont="1" applyFill="1" applyBorder="1" applyAlignment="1" applyProtection="1">
      <alignment horizontal="right" vertical="center" wrapText="1" indent="1"/>
    </xf>
    <xf numFmtId="166" fontId="29" fillId="0" borderId="55" xfId="7" applyNumberFormat="1" applyFont="1" applyFill="1" applyBorder="1" applyAlignment="1" applyProtection="1">
      <alignment horizontal="right" vertical="center" wrapText="1" indent="1"/>
    </xf>
    <xf numFmtId="0" fontId="15" fillId="0" borderId="0" xfId="7" applyFont="1" applyFill="1" applyBorder="1" applyProtection="1"/>
    <xf numFmtId="166" fontId="28" fillId="0" borderId="14" xfId="7" applyNumberFormat="1" applyFont="1" applyFill="1" applyBorder="1" applyAlignment="1" applyProtection="1">
      <alignment horizontal="right" vertical="center" wrapText="1" indent="1"/>
      <protection locked="0"/>
    </xf>
    <xf numFmtId="166" fontId="28" fillId="0" borderId="35" xfId="7" applyNumberFormat="1" applyFont="1" applyFill="1" applyBorder="1" applyAlignment="1" applyProtection="1">
      <alignment horizontal="right" vertical="center" wrapText="1" indent="1"/>
      <protection locked="0"/>
    </xf>
    <xf numFmtId="166" fontId="25" fillId="0" borderId="14" xfId="0" quotePrefix="1" applyNumberFormat="1" applyFont="1" applyBorder="1" applyAlignment="1" applyProtection="1">
      <alignment horizontal="right" vertical="center" wrapText="1" indent="1"/>
      <protection locked="0"/>
    </xf>
    <xf numFmtId="166" fontId="25" fillId="0" borderId="35" xfId="0" quotePrefix="1" applyNumberFormat="1" applyFont="1" applyBorder="1" applyAlignment="1" applyProtection="1">
      <alignment horizontal="right" vertical="center" wrapText="1" indent="1"/>
      <protection locked="0"/>
    </xf>
    <xf numFmtId="0" fontId="26" fillId="0" borderId="6" xfId="0" applyFont="1" applyBorder="1" applyAlignment="1" applyProtection="1">
      <alignment horizontal="left" indent="1"/>
    </xf>
    <xf numFmtId="0" fontId="28" fillId="0" borderId="14" xfId="7" applyFont="1" applyFill="1" applyBorder="1" applyAlignment="1" applyProtection="1">
      <alignment horizontal="center" vertical="center"/>
    </xf>
    <xf numFmtId="0" fontId="28" fillId="0" borderId="17" xfId="7" applyFont="1" applyFill="1" applyBorder="1" applyAlignment="1" applyProtection="1">
      <alignment horizontal="center" vertical="center"/>
    </xf>
    <xf numFmtId="0" fontId="26" fillId="0" borderId="6" xfId="0" applyFont="1" applyBorder="1" applyAlignment="1" applyProtection="1"/>
    <xf numFmtId="166" fontId="28" fillId="0" borderId="38" xfId="0" applyNumberFormat="1" applyFont="1" applyFill="1" applyBorder="1" applyAlignment="1" applyProtection="1">
      <alignment horizontal="center" vertical="center" wrapText="1"/>
    </xf>
    <xf numFmtId="166" fontId="20" fillId="0" borderId="38" xfId="0" applyNumberFormat="1" applyFont="1" applyFill="1" applyBorder="1" applyAlignment="1" applyProtection="1">
      <alignment horizontal="center" vertical="center" wrapText="1"/>
    </xf>
    <xf numFmtId="168" fontId="47" fillId="0" borderId="3" xfId="1" applyNumberFormat="1" applyFont="1" applyFill="1" applyBorder="1" applyProtection="1">
      <protection locked="0"/>
    </xf>
    <xf numFmtId="168" fontId="47" fillId="0" borderId="25" xfId="1" applyNumberFormat="1" applyFont="1" applyFill="1" applyBorder="1"/>
    <xf numFmtId="168" fontId="47" fillId="0" borderId="2" xfId="1" applyNumberFormat="1" applyFont="1" applyFill="1" applyBorder="1" applyProtection="1">
      <protection locked="0"/>
    </xf>
    <xf numFmtId="168" fontId="47" fillId="0" borderId="20" xfId="1" applyNumberFormat="1" applyFont="1" applyFill="1" applyBorder="1"/>
    <xf numFmtId="168" fontId="47" fillId="0" borderId="6" xfId="1" applyNumberFormat="1" applyFont="1" applyFill="1" applyBorder="1" applyProtection="1">
      <protection locked="0"/>
    </xf>
    <xf numFmtId="168" fontId="48" fillId="0" borderId="14" xfId="7" applyNumberFormat="1" applyFont="1" applyFill="1" applyBorder="1"/>
    <xf numFmtId="168" fontId="48" fillId="0" borderId="17" xfId="7" applyNumberFormat="1" applyFont="1" applyFill="1" applyBorder="1"/>
    <xf numFmtId="49" fontId="47" fillId="0" borderId="14" xfId="0" applyNumberFormat="1" applyFont="1" applyFill="1" applyBorder="1" applyAlignment="1" applyProtection="1">
      <alignment horizontal="center" vertical="center" wrapText="1"/>
      <protection locked="0"/>
    </xf>
    <xf numFmtId="166" fontId="47" fillId="0" borderId="21" xfId="0" applyNumberFormat="1" applyFont="1" applyFill="1" applyBorder="1" applyAlignment="1" applyProtection="1">
      <alignment vertical="center" wrapText="1"/>
    </xf>
    <xf numFmtId="166" fontId="47" fillId="0" borderId="13" xfId="0" applyNumberFormat="1" applyFont="1" applyFill="1" applyBorder="1" applyAlignment="1" applyProtection="1">
      <alignment vertical="center" wrapText="1"/>
    </xf>
    <xf numFmtId="166" fontId="47" fillId="0" borderId="14" xfId="0" applyNumberFormat="1" applyFont="1" applyFill="1" applyBorder="1" applyAlignment="1" applyProtection="1">
      <alignment vertical="center" wrapText="1"/>
    </xf>
    <xf numFmtId="166" fontId="47" fillId="0" borderId="17" xfId="0" applyNumberFormat="1" applyFont="1" applyFill="1" applyBorder="1" applyAlignment="1" applyProtection="1">
      <alignment vertical="center" wrapText="1"/>
    </xf>
    <xf numFmtId="49" fontId="47" fillId="0" borderId="2" xfId="0" applyNumberFormat="1" applyFont="1" applyFill="1" applyBorder="1" applyAlignment="1" applyProtection="1">
      <alignment horizontal="center" vertical="center" wrapText="1"/>
      <protection locked="0"/>
    </xf>
    <xf numFmtId="166" fontId="47" fillId="0" borderId="22" xfId="0" applyNumberFormat="1" applyFont="1" applyFill="1" applyBorder="1" applyAlignment="1" applyProtection="1">
      <alignment vertical="center" wrapText="1"/>
      <protection locked="0"/>
    </xf>
    <xf numFmtId="166" fontId="47" fillId="0" borderId="8" xfId="0" applyNumberFormat="1" applyFont="1" applyFill="1" applyBorder="1" applyAlignment="1" applyProtection="1">
      <alignment vertical="center" wrapText="1"/>
      <protection locked="0"/>
    </xf>
    <xf numFmtId="166" fontId="47" fillId="0" borderId="2" xfId="0" applyNumberFormat="1" applyFont="1" applyFill="1" applyBorder="1" applyAlignment="1" applyProtection="1">
      <alignment vertical="center" wrapText="1"/>
      <protection locked="0"/>
    </xf>
    <xf numFmtId="166" fontId="47" fillId="0" borderId="20" xfId="0" applyNumberFormat="1" applyFont="1" applyFill="1" applyBorder="1" applyAlignment="1" applyProtection="1">
      <alignment vertical="center" wrapText="1"/>
      <protection locked="0"/>
    </xf>
    <xf numFmtId="49" fontId="47" fillId="0" borderId="6" xfId="0" applyNumberFormat="1" applyFont="1" applyFill="1" applyBorder="1" applyAlignment="1" applyProtection="1">
      <alignment horizontal="center" vertical="center" wrapText="1"/>
      <protection locked="0"/>
    </xf>
    <xf numFmtId="166" fontId="47" fillId="0" borderId="23" xfId="0" applyNumberFormat="1" applyFont="1" applyFill="1" applyBorder="1" applyAlignment="1" applyProtection="1">
      <alignment vertical="center" wrapText="1"/>
      <protection locked="0"/>
    </xf>
    <xf numFmtId="166" fontId="47" fillId="0" borderId="10" xfId="0" applyNumberFormat="1" applyFont="1" applyFill="1" applyBorder="1" applyAlignment="1" applyProtection="1">
      <alignment vertical="center" wrapText="1"/>
      <protection locked="0"/>
    </xf>
    <xf numFmtId="166" fontId="47" fillId="0" borderId="6" xfId="0" applyNumberFormat="1" applyFont="1" applyFill="1" applyBorder="1" applyAlignment="1" applyProtection="1">
      <alignment vertical="center" wrapText="1"/>
      <protection locked="0"/>
    </xf>
    <xf numFmtId="166" fontId="47" fillId="0" borderId="37" xfId="0" applyNumberFormat="1" applyFont="1" applyFill="1" applyBorder="1" applyAlignment="1" applyProtection="1">
      <alignment vertical="center" wrapText="1"/>
      <protection locked="0"/>
    </xf>
    <xf numFmtId="49" fontId="47" fillId="0" borderId="56" xfId="0" applyNumberFormat="1" applyFont="1" applyFill="1" applyBorder="1" applyAlignment="1" applyProtection="1">
      <alignment horizontal="center" vertical="center" wrapText="1"/>
      <protection locked="0"/>
    </xf>
    <xf numFmtId="166" fontId="47" fillId="0" borderId="50" xfId="0" applyNumberFormat="1" applyFont="1" applyFill="1" applyBorder="1" applyAlignment="1" applyProtection="1">
      <alignment vertical="center" wrapText="1"/>
      <protection locked="0"/>
    </xf>
    <xf numFmtId="166" fontId="47" fillId="0" borderId="7" xfId="0" applyNumberFormat="1" applyFont="1" applyFill="1" applyBorder="1" applyAlignment="1" applyProtection="1">
      <alignment vertical="center" wrapText="1"/>
      <protection locked="0"/>
    </xf>
    <xf numFmtId="166" fontId="47" fillId="0" borderId="1" xfId="0" applyNumberFormat="1" applyFont="1" applyFill="1" applyBorder="1" applyAlignment="1" applyProtection="1">
      <alignment vertical="center" wrapText="1"/>
      <protection locked="0"/>
    </xf>
    <xf numFmtId="166" fontId="47" fillId="0" borderId="29" xfId="0" applyNumberFormat="1" applyFont="1" applyFill="1" applyBorder="1" applyAlignment="1" applyProtection="1">
      <alignment vertical="center" wrapText="1"/>
      <protection locked="0"/>
    </xf>
    <xf numFmtId="166" fontId="47" fillId="2" borderId="49" xfId="0" applyNumberFormat="1" applyFont="1" applyFill="1" applyBorder="1" applyAlignment="1" applyProtection="1">
      <alignment horizontal="left" vertical="center" wrapText="1" indent="2"/>
    </xf>
    <xf numFmtId="166" fontId="49" fillId="0" borderId="1" xfId="8" applyNumberFormat="1" applyFont="1" applyFill="1" applyBorder="1" applyAlignment="1" applyProtection="1">
      <alignment vertical="center"/>
      <protection locked="0"/>
    </xf>
    <xf numFmtId="166" fontId="49" fillId="0" borderId="2" xfId="8" applyNumberFormat="1" applyFont="1" applyFill="1" applyBorder="1" applyAlignment="1" applyProtection="1">
      <alignment vertical="center"/>
      <protection locked="0"/>
    </xf>
    <xf numFmtId="166" fontId="49" fillId="0" borderId="3" xfId="8" applyNumberFormat="1" applyFont="1" applyFill="1" applyBorder="1" applyAlignment="1" applyProtection="1">
      <alignment vertical="center"/>
      <protection locked="0"/>
    </xf>
    <xf numFmtId="166" fontId="50" fillId="0" borderId="14" xfId="8" applyNumberFormat="1" applyFont="1" applyFill="1" applyBorder="1" applyAlignment="1" applyProtection="1">
      <alignment vertical="center"/>
    </xf>
    <xf numFmtId="166" fontId="50" fillId="0" borderId="14" xfId="8" applyNumberFormat="1" applyFont="1" applyFill="1" applyBorder="1" applyProtection="1"/>
    <xf numFmtId="3" fontId="51" fillId="0" borderId="20" xfId="0" applyNumberFormat="1" applyFont="1" applyBorder="1" applyAlignment="1" applyProtection="1">
      <alignment horizontal="right" vertical="center" indent="1"/>
      <protection locked="0"/>
    </xf>
    <xf numFmtId="3" fontId="51" fillId="0" borderId="20" xfId="0" applyNumberFormat="1" applyFont="1" applyFill="1" applyBorder="1" applyAlignment="1" applyProtection="1">
      <alignment horizontal="right" vertical="center" indent="1"/>
      <protection locked="0"/>
    </xf>
    <xf numFmtId="3" fontId="51" fillId="0" borderId="37" xfId="0" applyNumberFormat="1" applyFont="1" applyFill="1" applyBorder="1" applyAlignment="1" applyProtection="1">
      <alignment horizontal="right" vertical="center" indent="1"/>
      <protection locked="0"/>
    </xf>
    <xf numFmtId="3" fontId="52" fillId="0" borderId="17" xfId="0" applyNumberFormat="1" applyFont="1" applyFill="1" applyBorder="1" applyAlignment="1" applyProtection="1">
      <alignment horizontal="right" vertical="center" indent="1"/>
    </xf>
    <xf numFmtId="0" fontId="36" fillId="0" borderId="28" xfId="0" applyFont="1" applyFill="1" applyBorder="1" applyAlignment="1" applyProtection="1">
      <alignment horizontal="center" vertical="center" wrapText="1"/>
    </xf>
    <xf numFmtId="0" fontId="26" fillId="0" borderId="6" xfId="0" applyFont="1" applyBorder="1" applyAlignment="1" applyProtection="1">
      <alignment horizontal="left" vertical="center" wrapText="1"/>
    </xf>
    <xf numFmtId="166" fontId="22" fillId="0" borderId="37" xfId="7" applyNumberFormat="1" applyFont="1" applyFill="1" applyBorder="1" applyAlignment="1" applyProtection="1">
      <alignment horizontal="right" vertical="center" wrapText="1"/>
      <protection locked="0"/>
    </xf>
    <xf numFmtId="0" fontId="15" fillId="0" borderId="0" xfId="7" applyFont="1" applyFill="1" applyAlignment="1" applyProtection="1">
      <alignment vertical="center"/>
    </xf>
    <xf numFmtId="166" fontId="29" fillId="0" borderId="37" xfId="7" applyNumberFormat="1" applyFont="1" applyFill="1" applyBorder="1" applyAlignment="1" applyProtection="1">
      <alignment horizontal="right" vertical="center" wrapText="1"/>
      <protection locked="0"/>
    </xf>
    <xf numFmtId="0" fontId="26" fillId="0" borderId="3" xfId="0" applyFont="1" applyBorder="1" applyAlignment="1">
      <alignment horizontal="left" wrapText="1" indent="1"/>
    </xf>
    <xf numFmtId="0" fontId="26" fillId="0" borderId="1" xfId="0" applyFont="1" applyBorder="1" applyAlignment="1">
      <alignment horizontal="left" vertical="center" wrapText="1" indent="1"/>
    </xf>
    <xf numFmtId="0" fontId="23" fillId="0" borderId="0" xfId="0" applyFont="1" applyFill="1" applyProtection="1">
      <protection locked="0"/>
    </xf>
    <xf numFmtId="0" fontId="4" fillId="0" borderId="13" xfId="7" applyFont="1" applyFill="1" applyBorder="1" applyAlignment="1" applyProtection="1">
      <alignment horizontal="center" vertical="center" wrapText="1"/>
    </xf>
    <xf numFmtId="0" fontId="4" fillId="0" borderId="14" xfId="7" applyFont="1" applyFill="1" applyBorder="1" applyAlignment="1" applyProtection="1">
      <alignment horizontal="center" vertical="center" wrapText="1"/>
    </xf>
    <xf numFmtId="0" fontId="4" fillId="0" borderId="17" xfId="7" applyFont="1" applyFill="1" applyBorder="1" applyAlignment="1" applyProtection="1">
      <alignment horizontal="center" vertical="center" wrapText="1"/>
    </xf>
    <xf numFmtId="0" fontId="8" fillId="0" borderId="15" xfId="7" applyFont="1" applyFill="1" applyBorder="1" applyAlignment="1" applyProtection="1">
      <alignment horizontal="center" vertical="center" wrapText="1"/>
    </xf>
    <xf numFmtId="0" fontId="8" fillId="0" borderId="16" xfId="7" applyFont="1" applyFill="1" applyBorder="1" applyAlignment="1" applyProtection="1">
      <alignment horizontal="center" vertical="center" wrapText="1"/>
    </xf>
    <xf numFmtId="0" fontId="8" fillId="0" borderId="28" xfId="7" applyFont="1" applyFill="1" applyBorder="1" applyAlignment="1" applyProtection="1">
      <alignment horizontal="center" vertical="center" wrapText="1"/>
    </xf>
    <xf numFmtId="49" fontId="22" fillId="0" borderId="10" xfId="7" applyNumberFormat="1" applyFont="1" applyFill="1" applyBorder="1" applyAlignment="1" applyProtection="1">
      <alignment horizontal="left" vertical="center" wrapText="1"/>
    </xf>
    <xf numFmtId="0" fontId="26" fillId="0" borderId="1" xfId="0" applyFont="1" applyBorder="1" applyAlignment="1" applyProtection="1">
      <alignment horizontal="left" wrapText="1" indent="1"/>
    </xf>
    <xf numFmtId="49" fontId="22" fillId="0" borderId="13" xfId="7" applyNumberFormat="1" applyFont="1" applyFill="1" applyBorder="1" applyAlignment="1" applyProtection="1">
      <alignment horizontal="left" vertical="center" wrapText="1" indent="1"/>
    </xf>
    <xf numFmtId="0" fontId="26" fillId="0" borderId="14" xfId="0" applyFont="1" applyBorder="1" applyAlignment="1" applyProtection="1">
      <alignment horizontal="left" vertical="center" wrapText="1" indent="1"/>
    </xf>
    <xf numFmtId="166" fontId="29" fillId="0" borderId="17" xfId="7" applyNumberFormat="1" applyFont="1" applyFill="1" applyBorder="1" applyAlignment="1" applyProtection="1">
      <alignment horizontal="right" vertical="center" wrapText="1" indent="1"/>
      <protection locked="0"/>
    </xf>
    <xf numFmtId="0" fontId="26" fillId="0" borderId="26" xfId="0" applyFont="1" applyBorder="1" applyAlignment="1" applyProtection="1">
      <alignment horizontal="left" vertical="center" wrapText="1" indent="1"/>
    </xf>
    <xf numFmtId="166" fontId="29" fillId="0" borderId="27" xfId="7" applyNumberFormat="1" applyFont="1" applyFill="1" applyBorder="1" applyAlignment="1" applyProtection="1">
      <alignment horizontal="right" vertical="center" wrapText="1" indent="1"/>
      <protection locked="0"/>
    </xf>
    <xf numFmtId="0" fontId="22" fillId="0" borderId="14" xfId="7" applyFont="1" applyFill="1" applyBorder="1" applyAlignment="1" applyProtection="1">
      <alignment horizontal="left" vertical="center" wrapText="1" indent="1"/>
    </xf>
    <xf numFmtId="166" fontId="22" fillId="0" borderId="35" xfId="7" applyNumberFormat="1" applyFont="1" applyFill="1" applyBorder="1" applyAlignment="1" applyProtection="1">
      <alignment horizontal="right" vertical="center" wrapText="1" indent="1"/>
      <protection locked="0"/>
    </xf>
    <xf numFmtId="166" fontId="27" fillId="0" borderId="17" xfId="0" quotePrefix="1" applyNumberFormat="1" applyFont="1" applyBorder="1" applyAlignment="1" applyProtection="1">
      <alignment horizontal="right" vertical="center" wrapText="1" indent="1"/>
    </xf>
    <xf numFmtId="0" fontId="27" fillId="0" borderId="19" xfId="0" applyFont="1" applyBorder="1" applyAlignment="1" applyProtection="1">
      <alignment horizontal="left" vertical="center" wrapText="1" indent="1"/>
    </xf>
    <xf numFmtId="0" fontId="29" fillId="0" borderId="0" xfId="7" applyFont="1" applyFill="1" applyProtection="1"/>
    <xf numFmtId="0" fontId="53" fillId="0" borderId="0" xfId="0" applyFont="1"/>
    <xf numFmtId="0" fontId="21" fillId="0" borderId="34" xfId="0" applyFont="1" applyFill="1" applyBorder="1" applyAlignment="1" applyProtection="1">
      <alignment horizontal="right" vertical="center"/>
      <protection locked="0"/>
    </xf>
    <xf numFmtId="0" fontId="21" fillId="0" borderId="34" xfId="0" applyFont="1" applyFill="1" applyBorder="1" applyAlignment="1" applyProtection="1">
      <alignment horizontal="right"/>
    </xf>
    <xf numFmtId="0" fontId="21" fillId="0" borderId="34" xfId="0" applyFont="1" applyFill="1" applyBorder="1" applyAlignment="1" applyProtection="1">
      <alignment horizontal="right" vertical="center"/>
    </xf>
    <xf numFmtId="166" fontId="21" fillId="0" borderId="0" xfId="0" applyNumberFormat="1" applyFont="1" applyFill="1" applyAlignment="1" applyProtection="1">
      <alignment horizontal="right" vertical="center"/>
      <protection locked="0"/>
    </xf>
    <xf numFmtId="166" fontId="21" fillId="0" borderId="0" xfId="0" applyNumberFormat="1" applyFont="1" applyFill="1" applyAlignment="1" applyProtection="1">
      <alignment horizontal="right" vertical="center"/>
    </xf>
    <xf numFmtId="0" fontId="61" fillId="0" borderId="0" xfId="0" applyFont="1"/>
    <xf numFmtId="0" fontId="61" fillId="0" borderId="0" xfId="0" applyFont="1" applyAlignment="1">
      <alignment horizontal="justify" vertical="top" wrapText="1"/>
    </xf>
    <xf numFmtId="0" fontId="62" fillId="4" borderId="0" xfId="0" applyFont="1" applyFill="1" applyAlignment="1">
      <alignment horizontal="center" vertical="center"/>
    </xf>
    <xf numFmtId="0" fontId="62" fillId="4" borderId="0" xfId="0" applyFont="1" applyFill="1" applyAlignment="1">
      <alignment horizontal="center" vertical="top" wrapText="1"/>
    </xf>
    <xf numFmtId="0" fontId="54" fillId="0" borderId="0" xfId="0" applyFont="1"/>
    <xf numFmtId="0" fontId="0" fillId="0" borderId="0" xfId="0" applyAlignment="1"/>
    <xf numFmtId="0" fontId="35" fillId="0" borderId="0" xfId="0" applyFont="1"/>
    <xf numFmtId="0" fontId="5" fillId="0" borderId="4" xfId="0" applyFont="1" applyFill="1" applyBorder="1" applyAlignment="1" applyProtection="1">
      <alignment horizontal="center" vertical="center"/>
    </xf>
    <xf numFmtId="0" fontId="5" fillId="0" borderId="26" xfId="0" applyFont="1" applyFill="1" applyBorder="1" applyAlignment="1" applyProtection="1">
      <alignment horizontal="center" vertical="center"/>
    </xf>
    <xf numFmtId="0" fontId="56" fillId="0" borderId="0" xfId="0" applyFont="1" applyAlignment="1" applyProtection="1">
      <alignment horizontal="right" vertical="top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16" fontId="54" fillId="0" borderId="0" xfId="0" applyNumberFormat="1" applyFont="1"/>
    <xf numFmtId="14" fontId="54" fillId="0" borderId="0" xfId="0" applyNumberFormat="1" applyFont="1"/>
    <xf numFmtId="166" fontId="3" fillId="0" borderId="0" xfId="0" applyNumberFormat="1" applyFont="1" applyFill="1" applyAlignment="1" applyProtection="1">
      <alignment horizontal="left" vertical="center" wrapText="1"/>
      <protection locked="0"/>
    </xf>
    <xf numFmtId="166" fontId="19" fillId="0" borderId="0" xfId="0" applyNumberFormat="1" applyFont="1" applyFill="1" applyAlignment="1" applyProtection="1">
      <alignment vertical="center" wrapText="1"/>
      <protection locked="0"/>
    </xf>
    <xf numFmtId="0" fontId="8" fillId="0" borderId="58" xfId="0" applyFont="1" applyFill="1" applyBorder="1" applyAlignment="1" applyProtection="1">
      <alignment horizontal="center" vertical="center" wrapText="1"/>
      <protection locked="0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8" fillId="0" borderId="36" xfId="0" quotePrefix="1" applyFont="1" applyFill="1" applyBorder="1" applyAlignment="1" applyProtection="1">
      <alignment horizontal="right" vertical="center" indent="1"/>
      <protection locked="0"/>
    </xf>
    <xf numFmtId="0" fontId="8" fillId="0" borderId="59" xfId="0" applyFont="1" applyFill="1" applyBorder="1" applyAlignment="1" applyProtection="1">
      <alignment vertical="center"/>
      <protection locked="0"/>
    </xf>
    <xf numFmtId="0" fontId="5" fillId="0" borderId="26" xfId="0" applyFont="1" applyFill="1" applyBorder="1" applyAlignment="1" applyProtection="1">
      <alignment horizontal="center" vertical="center"/>
      <protection locked="0"/>
    </xf>
    <xf numFmtId="49" fontId="8" fillId="0" borderId="54" xfId="0" applyNumberFormat="1" applyFont="1" applyFill="1" applyBorder="1" applyAlignment="1" applyProtection="1">
      <alignment horizontal="right" vertical="center" indent="1"/>
      <protection locked="0"/>
    </xf>
    <xf numFmtId="0" fontId="8" fillId="0" borderId="0" xfId="0" applyFont="1" applyFill="1" applyAlignment="1" applyProtection="1">
      <alignment vertical="center"/>
      <protection locked="0"/>
    </xf>
    <xf numFmtId="0" fontId="6" fillId="0" borderId="0" xfId="0" applyFont="1" applyFill="1" applyAlignment="1" applyProtection="1">
      <alignment horizontal="right"/>
      <protection locked="0"/>
    </xf>
    <xf numFmtId="0" fontId="8" fillId="0" borderId="43" xfId="0" applyFont="1" applyFill="1" applyBorder="1" applyAlignment="1" applyProtection="1">
      <alignment horizontal="center" vertical="center" wrapText="1"/>
      <protection locked="0"/>
    </xf>
    <xf numFmtId="0" fontId="8" fillId="0" borderId="16" xfId="0" applyFont="1" applyFill="1" applyBorder="1" applyAlignment="1" applyProtection="1">
      <alignment horizontal="center" vertical="center" wrapText="1"/>
      <protection locked="0"/>
    </xf>
    <xf numFmtId="0" fontId="8" fillId="0" borderId="28" xfId="0" applyFont="1" applyFill="1" applyBorder="1" applyAlignment="1" applyProtection="1">
      <alignment horizontal="right" vertical="center" wrapText="1" indent="1"/>
      <protection locked="0"/>
    </xf>
    <xf numFmtId="0" fontId="20" fillId="0" borderId="13" xfId="0" applyFont="1" applyFill="1" applyBorder="1" applyAlignment="1" applyProtection="1">
      <alignment horizontal="center" vertical="center" wrapText="1"/>
      <protection locked="0"/>
    </xf>
    <xf numFmtId="0" fontId="20" fillId="0" borderId="14" xfId="0" applyFont="1" applyFill="1" applyBorder="1" applyAlignment="1" applyProtection="1">
      <alignment horizontal="center" vertical="center" wrapText="1"/>
      <protection locked="0"/>
    </xf>
    <xf numFmtId="0" fontId="20" fillId="0" borderId="17" xfId="0" applyFont="1" applyFill="1" applyBorder="1" applyAlignment="1" applyProtection="1">
      <alignment horizontal="center" vertical="center" wrapText="1"/>
      <protection locked="0"/>
    </xf>
    <xf numFmtId="0" fontId="8" fillId="0" borderId="39" xfId="0" applyFont="1" applyFill="1" applyBorder="1" applyAlignment="1" applyProtection="1">
      <alignment horizontal="center" vertical="center" wrapText="1"/>
      <protection locked="0"/>
    </xf>
    <xf numFmtId="0" fontId="8" fillId="0" borderId="40" xfId="0" applyFont="1" applyFill="1" applyBorder="1" applyAlignment="1" applyProtection="1">
      <alignment horizontal="center" vertical="center" wrapText="1"/>
      <protection locked="0"/>
    </xf>
    <xf numFmtId="166" fontId="8" fillId="0" borderId="41" xfId="0" applyNumberFormat="1" applyFont="1" applyFill="1" applyBorder="1" applyAlignment="1" applyProtection="1">
      <alignment horizontal="right" vertical="center" wrapText="1" indent="1"/>
      <protection locked="0"/>
    </xf>
    <xf numFmtId="0" fontId="17" fillId="0" borderId="0" xfId="0" applyFont="1" applyFill="1" applyAlignment="1" applyProtection="1">
      <alignment horizontal="left" vertical="center" wrapText="1"/>
      <protection locked="0"/>
    </xf>
    <xf numFmtId="0" fontId="17" fillId="0" borderId="0" xfId="0" applyFont="1" applyFill="1" applyAlignment="1" applyProtection="1">
      <alignment vertical="center" wrapText="1"/>
      <protection locked="0"/>
    </xf>
    <xf numFmtId="0" fontId="17" fillId="0" borderId="0" xfId="0" applyFont="1" applyFill="1" applyAlignment="1" applyProtection="1">
      <alignment horizontal="right" vertical="center" wrapText="1" indent="1"/>
      <protection locked="0"/>
    </xf>
    <xf numFmtId="166" fontId="63" fillId="0" borderId="0" xfId="0" applyNumberFormat="1" applyFont="1" applyFill="1" applyAlignment="1" applyProtection="1">
      <alignment horizontal="right" vertical="center" wrapText="1" indent="1"/>
    </xf>
    <xf numFmtId="49" fontId="8" fillId="0" borderId="36" xfId="0" applyNumberFormat="1" applyFont="1" applyFill="1" applyBorder="1" applyAlignment="1" applyProtection="1">
      <alignment horizontal="right" vertical="center"/>
      <protection locked="0"/>
    </xf>
    <xf numFmtId="0" fontId="8" fillId="0" borderId="59" xfId="0" applyFont="1" applyFill="1" applyBorder="1" applyAlignment="1" applyProtection="1">
      <alignment horizontal="center" vertical="center" wrapText="1"/>
      <protection locked="0"/>
    </xf>
    <xf numFmtId="49" fontId="8" fillId="0" borderId="54" xfId="0" applyNumberFormat="1" applyFont="1" applyFill="1" applyBorder="1" applyAlignment="1" applyProtection="1">
      <alignment horizontal="right" vertical="center"/>
      <protection locked="0"/>
    </xf>
    <xf numFmtId="0" fontId="8" fillId="0" borderId="28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Alignment="1" applyProtection="1">
      <alignment horizontal="left" vertical="center" wrapText="1"/>
      <protection locked="0"/>
    </xf>
    <xf numFmtId="0" fontId="0" fillId="0" borderId="0" xfId="0" applyFill="1" applyAlignment="1" applyProtection="1">
      <alignment vertical="center" wrapText="1"/>
      <protection locked="0"/>
    </xf>
    <xf numFmtId="166" fontId="0" fillId="0" borderId="0" xfId="0" applyNumberFormat="1" applyFill="1" applyAlignment="1" applyProtection="1">
      <alignment vertical="center" wrapText="1"/>
      <protection locked="0"/>
    </xf>
    <xf numFmtId="166" fontId="63" fillId="0" borderId="0" xfId="0" applyNumberFormat="1" applyFont="1" applyFill="1" applyAlignment="1" applyProtection="1">
      <alignment vertical="center" wrapText="1"/>
    </xf>
    <xf numFmtId="0" fontId="23" fillId="0" borderId="0" xfId="0" applyFont="1"/>
    <xf numFmtId="0" fontId="12" fillId="0" borderId="0" xfId="7" applyFont="1" applyFill="1" applyProtection="1">
      <protection locked="0"/>
    </xf>
    <xf numFmtId="0" fontId="23" fillId="0" borderId="0" xfId="7" applyFont="1" applyFill="1" applyAlignment="1" applyProtection="1">
      <alignment horizontal="center" wrapText="1"/>
      <protection locked="0"/>
    </xf>
    <xf numFmtId="0" fontId="23" fillId="0" borderId="0" xfId="0" applyFont="1" applyAlignment="1" applyProtection="1">
      <alignment horizontal="center"/>
      <protection locked="0"/>
    </xf>
    <xf numFmtId="0" fontId="31" fillId="0" borderId="0" xfId="0" applyFont="1" applyAlignment="1" applyProtection="1">
      <alignment horizontal="center"/>
      <protection locked="0"/>
    </xf>
    <xf numFmtId="0" fontId="12" fillId="0" borderId="0" xfId="7" applyFont="1" applyFill="1" applyAlignment="1" applyProtection="1">
      <alignment horizontal="right" vertical="center" indent="1"/>
      <protection locked="0"/>
    </xf>
    <xf numFmtId="0" fontId="8" fillId="0" borderId="13" xfId="7" applyFont="1" applyFill="1" applyBorder="1" applyAlignment="1" applyProtection="1">
      <alignment horizontal="center" vertical="center" wrapText="1"/>
      <protection locked="0"/>
    </xf>
    <xf numFmtId="0" fontId="8" fillId="0" borderId="14" xfId="7" applyFont="1" applyFill="1" applyBorder="1" applyAlignment="1" applyProtection="1">
      <alignment horizontal="center" vertical="center" wrapText="1"/>
      <protection locked="0"/>
    </xf>
    <xf numFmtId="0" fontId="8" fillId="0" borderId="17" xfId="7" applyFont="1" applyFill="1" applyBorder="1" applyAlignment="1" applyProtection="1">
      <alignment horizontal="center" vertical="center" wrapText="1"/>
      <protection locked="0"/>
    </xf>
    <xf numFmtId="0" fontId="29" fillId="0" borderId="0" xfId="7" applyFont="1" applyFill="1" applyProtection="1">
      <protection locked="0"/>
    </xf>
    <xf numFmtId="166" fontId="64" fillId="0" borderId="0" xfId="7" applyNumberFormat="1" applyFont="1" applyFill="1" applyAlignment="1" applyProtection="1">
      <alignment horizontal="right" vertical="center" indent="1"/>
    </xf>
    <xf numFmtId="166" fontId="0" fillId="0" borderId="0" xfId="0" applyNumberFormat="1" applyFill="1" applyAlignment="1" applyProtection="1">
      <alignment horizontal="center" vertical="center" wrapText="1"/>
      <protection locked="0"/>
    </xf>
    <xf numFmtId="166" fontId="6" fillId="0" borderId="0" xfId="0" applyNumberFormat="1" applyFont="1" applyFill="1" applyAlignment="1" applyProtection="1">
      <alignment horizontal="right" wrapText="1"/>
      <protection locked="0"/>
    </xf>
    <xf numFmtId="166" fontId="8" fillId="0" borderId="13" xfId="0" applyNumberFormat="1" applyFont="1" applyFill="1" applyBorder="1" applyAlignment="1" applyProtection="1">
      <alignment horizontal="center" vertical="center" wrapText="1"/>
      <protection locked="0"/>
    </xf>
    <xf numFmtId="166" fontId="8" fillId="0" borderId="14" xfId="0" applyNumberFormat="1" applyFont="1" applyFill="1" applyBorder="1" applyAlignment="1" applyProtection="1">
      <alignment horizontal="center" vertical="center" wrapText="1"/>
      <protection locked="0"/>
    </xf>
    <xf numFmtId="166" fontId="8" fillId="0" borderId="17" xfId="0" applyNumberFormat="1" applyFont="1" applyFill="1" applyBorder="1" applyAlignment="1" applyProtection="1">
      <alignment horizontal="center" vertical="center" wrapText="1"/>
      <protection locked="0"/>
    </xf>
    <xf numFmtId="166" fontId="8" fillId="0" borderId="17" xfId="0" applyNumberFormat="1" applyFont="1" applyFill="1" applyBorder="1" applyAlignment="1" applyProtection="1">
      <alignment horizontal="center" wrapText="1"/>
      <protection locked="0"/>
    </xf>
    <xf numFmtId="0" fontId="30" fillId="0" borderId="15" xfId="0" applyFont="1" applyFill="1" applyBorder="1" applyAlignment="1" applyProtection="1">
      <alignment vertical="center"/>
      <protection locked="0"/>
    </xf>
    <xf numFmtId="0" fontId="30" fillId="0" borderId="16" xfId="0" applyFont="1" applyFill="1" applyBorder="1" applyAlignment="1" applyProtection="1">
      <alignment horizontal="center" vertical="center"/>
      <protection locked="0"/>
    </xf>
    <xf numFmtId="0" fontId="30" fillId="0" borderId="28" xfId="0" applyFont="1" applyFill="1" applyBorder="1" applyAlignment="1" applyProtection="1">
      <alignment horizontal="center" vertical="center"/>
      <protection locked="0"/>
    </xf>
    <xf numFmtId="0" fontId="46" fillId="0" borderId="0" xfId="0" applyFont="1" applyAlignment="1"/>
    <xf numFmtId="0" fontId="5" fillId="0" borderId="4" xfId="0" applyFont="1" applyFill="1" applyBorder="1" applyAlignment="1" applyProtection="1">
      <alignment horizontal="center" vertical="center" wrapText="1"/>
    </xf>
    <xf numFmtId="0" fontId="46" fillId="0" borderId="0" xfId="8" applyFont="1" applyFill="1" applyAlignment="1" applyProtection="1">
      <protection locked="0"/>
    </xf>
    <xf numFmtId="0" fontId="46" fillId="0" borderId="0" xfId="7" applyFont="1" applyFill="1" applyAlignment="1" applyProtection="1">
      <alignment vertical="center"/>
    </xf>
    <xf numFmtId="0" fontId="60" fillId="0" borderId="0" xfId="4" applyAlignment="1" applyProtection="1"/>
    <xf numFmtId="0" fontId="54" fillId="0" borderId="0" xfId="0" applyFont="1" applyAlignment="1">
      <alignment wrapText="1"/>
    </xf>
    <xf numFmtId="0" fontId="12" fillId="0" borderId="0" xfId="8" applyFill="1" applyAlignment="1" applyProtection="1">
      <alignment vertical="center" wrapText="1"/>
    </xf>
    <xf numFmtId="0" fontId="53" fillId="0" borderId="0" xfId="0" applyFont="1" applyFill="1" applyAlignment="1" applyProtection="1">
      <alignment horizontal="right"/>
      <protection locked="0"/>
    </xf>
    <xf numFmtId="0" fontId="18" fillId="0" borderId="0" xfId="0" applyFont="1" applyAlignment="1" applyProtection="1">
      <alignment horizontal="right"/>
      <protection locked="0"/>
    </xf>
    <xf numFmtId="0" fontId="53" fillId="0" borderId="0" xfId="0" applyFont="1" applyAlignment="1">
      <alignment horizontal="right"/>
    </xf>
    <xf numFmtId="0" fontId="53" fillId="0" borderId="0" xfId="0" applyFont="1" applyFill="1" applyAlignment="1">
      <alignment horizontal="right" vertical="center"/>
    </xf>
    <xf numFmtId="166" fontId="65" fillId="0" borderId="0" xfId="7" applyNumberFormat="1" applyFont="1" applyFill="1"/>
    <xf numFmtId="0" fontId="0" fillId="0" borderId="0" xfId="0" applyProtection="1">
      <protection locked="0"/>
    </xf>
    <xf numFmtId="0" fontId="35" fillId="0" borderId="0" xfId="0" applyFont="1" applyAlignment="1" applyProtection="1">
      <alignment horizontal="center"/>
      <protection locked="0"/>
    </xf>
    <xf numFmtId="0" fontId="25" fillId="0" borderId="28" xfId="0" applyFont="1" applyFill="1" applyBorder="1" applyAlignment="1" applyProtection="1">
      <alignment horizontal="center" vertical="center" wrapText="1"/>
    </xf>
    <xf numFmtId="166" fontId="65" fillId="0" borderId="0" xfId="7" applyNumberFormat="1" applyFont="1" applyFill="1" applyProtection="1"/>
    <xf numFmtId="0" fontId="53" fillId="0" borderId="0" xfId="7" applyFont="1" applyFill="1" applyAlignment="1" applyProtection="1">
      <alignment horizontal="right"/>
      <protection locked="0"/>
    </xf>
    <xf numFmtId="166" fontId="36" fillId="0" borderId="34" xfId="7" applyNumberFormat="1" applyFont="1" applyFill="1" applyBorder="1" applyAlignment="1" applyProtection="1">
      <alignment horizontal="left" vertical="center"/>
      <protection locked="0"/>
    </xf>
    <xf numFmtId="0" fontId="0" fillId="5" borderId="0" xfId="0" applyFill="1" applyAlignment="1" applyProtection="1">
      <alignment horizontal="right"/>
      <protection locked="0"/>
    </xf>
    <xf numFmtId="0" fontId="0" fillId="5" borderId="0" xfId="0" applyFill="1" applyProtection="1">
      <protection locked="0"/>
    </xf>
    <xf numFmtId="0" fontId="2" fillId="0" borderId="0" xfId="7" applyFont="1" applyFill="1" applyProtection="1">
      <protection locked="0"/>
    </xf>
    <xf numFmtId="166" fontId="5" fillId="0" borderId="0" xfId="7" applyNumberFormat="1" applyFont="1" applyFill="1" applyBorder="1" applyAlignment="1" applyProtection="1">
      <alignment horizontal="centerContinuous" vertical="center"/>
      <protection locked="0"/>
    </xf>
    <xf numFmtId="0" fontId="21" fillId="0" borderId="0" xfId="0" applyFont="1" applyFill="1" applyBorder="1" applyAlignment="1" applyProtection="1">
      <alignment horizontal="right"/>
      <protection locked="0"/>
    </xf>
    <xf numFmtId="0" fontId="28" fillId="0" borderId="11" xfId="7" applyFont="1" applyFill="1" applyBorder="1" applyAlignment="1" applyProtection="1">
      <alignment horizontal="center" vertical="center" wrapText="1"/>
      <protection locked="0"/>
    </xf>
    <xf numFmtId="0" fontId="28" fillId="0" borderId="4" xfId="7" applyFont="1" applyFill="1" applyBorder="1" applyAlignment="1" applyProtection="1">
      <alignment horizontal="center" vertical="center" wrapText="1"/>
      <protection locked="0"/>
    </xf>
    <xf numFmtId="0" fontId="28" fillId="0" borderId="36" xfId="7" applyFont="1" applyFill="1" applyBorder="1" applyAlignment="1" applyProtection="1">
      <alignment horizontal="center" vertical="center" wrapText="1"/>
      <protection locked="0"/>
    </xf>
    <xf numFmtId="166" fontId="63" fillId="0" borderId="0" xfId="0" applyNumberFormat="1" applyFont="1" applyFill="1" applyAlignment="1" applyProtection="1">
      <alignment horizontal="right" vertical="center" wrapText="1" indent="1"/>
      <protection locked="0"/>
    </xf>
    <xf numFmtId="0" fontId="46" fillId="0" borderId="0" xfId="0" applyFont="1" applyFill="1" applyAlignment="1" applyProtection="1">
      <alignment horizontal="right"/>
      <protection locked="0"/>
    </xf>
    <xf numFmtId="0" fontId="6" fillId="0" borderId="34" xfId="0" applyFont="1" applyFill="1" applyBorder="1" applyAlignment="1" applyProtection="1">
      <alignment horizontal="right" vertical="center"/>
      <protection locked="0"/>
    </xf>
    <xf numFmtId="0" fontId="8" fillId="0" borderId="42" xfId="7" applyFont="1" applyFill="1" applyBorder="1" applyAlignment="1" applyProtection="1">
      <alignment horizontal="center" vertical="center" wrapText="1"/>
      <protection locked="0"/>
    </xf>
    <xf numFmtId="0" fontId="8" fillId="0" borderId="35" xfId="7" applyFont="1" applyFill="1" applyBorder="1" applyAlignment="1" applyProtection="1">
      <alignment horizontal="center" vertical="center" wrapText="1"/>
      <protection locked="0"/>
    </xf>
    <xf numFmtId="0" fontId="57" fillId="0" borderId="0" xfId="0" applyFont="1" applyFill="1" applyBorder="1" applyAlignment="1" applyProtection="1">
      <alignment horizontal="right"/>
    </xf>
    <xf numFmtId="0" fontId="31" fillId="0" borderId="21" xfId="0" applyFont="1" applyFill="1" applyBorder="1" applyAlignment="1">
      <alignment horizontal="center" vertical="center" wrapText="1"/>
    </xf>
    <xf numFmtId="0" fontId="28" fillId="0" borderId="21" xfId="0" applyFont="1" applyFill="1" applyBorder="1" applyAlignment="1">
      <alignment horizontal="center" vertical="center"/>
    </xf>
    <xf numFmtId="0" fontId="0" fillId="0" borderId="62" xfId="0" applyFill="1" applyBorder="1"/>
    <xf numFmtId="0" fontId="0" fillId="0" borderId="63" xfId="0" applyFill="1" applyBorder="1"/>
    <xf numFmtId="0" fontId="0" fillId="0" borderId="64" xfId="0" applyFill="1" applyBorder="1"/>
    <xf numFmtId="0" fontId="0" fillId="0" borderId="21" xfId="0" applyFill="1" applyBorder="1" applyAlignment="1" applyProtection="1">
      <alignment vertical="center"/>
    </xf>
    <xf numFmtId="0" fontId="0" fillId="0" borderId="0" xfId="0" applyFill="1" applyAlignment="1">
      <alignment horizontal="left"/>
    </xf>
    <xf numFmtId="0" fontId="0" fillId="5" borderId="0" xfId="0" applyFill="1" applyAlignment="1" applyProtection="1">
      <alignment horizontal="center"/>
      <protection locked="0"/>
    </xf>
    <xf numFmtId="0" fontId="41" fillId="0" borderId="0" xfId="0" applyFont="1" applyFill="1" applyProtection="1">
      <protection locked="0"/>
    </xf>
    <xf numFmtId="0" fontId="58" fillId="0" borderId="2" xfId="6" applyFont="1" applyBorder="1" applyAlignment="1" applyProtection="1">
      <alignment wrapText="1"/>
      <protection locked="0"/>
    </xf>
    <xf numFmtId="0" fontId="12" fillId="0" borderId="2" xfId="6" applyFont="1" applyBorder="1" applyProtection="1">
      <protection locked="0"/>
    </xf>
    <xf numFmtId="166" fontId="29" fillId="0" borderId="4" xfId="0" applyNumberFormat="1" applyFont="1" applyFill="1" applyBorder="1" applyAlignment="1">
      <alignment vertical="center" wrapText="1"/>
    </xf>
    <xf numFmtId="166" fontId="38" fillId="0" borderId="58" xfId="0" applyNumberFormat="1" applyFont="1" applyFill="1" applyBorder="1" applyAlignment="1">
      <alignment horizontal="left" vertical="center" wrapText="1"/>
    </xf>
    <xf numFmtId="0" fontId="40" fillId="0" borderId="2" xfId="6" applyFont="1" applyBorder="1" applyAlignment="1">
      <alignment wrapText="1"/>
    </xf>
    <xf numFmtId="0" fontId="38" fillId="0" borderId="6" xfId="6" applyFont="1" applyBorder="1"/>
    <xf numFmtId="0" fontId="40" fillId="0" borderId="6" xfId="6" applyFont="1" applyBorder="1" applyAlignment="1">
      <alignment wrapText="1"/>
    </xf>
    <xf numFmtId="0" fontId="40" fillId="0" borderId="2" xfId="0" applyFont="1" applyBorder="1" applyProtection="1">
      <protection locked="0"/>
    </xf>
    <xf numFmtId="0" fontId="40" fillId="6" borderId="2" xfId="0" applyFont="1" applyFill="1" applyBorder="1" applyProtection="1">
      <protection locked="0"/>
    </xf>
    <xf numFmtId="0" fontId="40" fillId="6" borderId="2" xfId="0" applyFont="1" applyFill="1" applyBorder="1" applyAlignment="1" applyProtection="1">
      <alignment wrapText="1"/>
      <protection locked="0"/>
    </xf>
    <xf numFmtId="3" fontId="40" fillId="6" borderId="2" xfId="0" applyNumberFormat="1" applyFont="1" applyFill="1" applyBorder="1" applyProtection="1">
      <protection locked="0"/>
    </xf>
    <xf numFmtId="0" fontId="8" fillId="0" borderId="52" xfId="0" quotePrefix="1" applyFont="1" applyFill="1" applyBorder="1" applyAlignment="1" applyProtection="1">
      <alignment horizontal="right" vertical="center" indent="1"/>
      <protection locked="0"/>
    </xf>
    <xf numFmtId="49" fontId="8" fillId="0" borderId="52" xfId="0" applyNumberFormat="1" applyFont="1" applyFill="1" applyBorder="1" applyAlignment="1" applyProtection="1">
      <alignment horizontal="right" vertical="center" indent="1"/>
      <protection locked="0"/>
    </xf>
    <xf numFmtId="166" fontId="20" fillId="0" borderId="22" xfId="7" applyNumberFormat="1" applyFont="1" applyFill="1" applyBorder="1" applyAlignment="1" applyProtection="1">
      <alignment horizontal="right" vertical="center" wrapText="1" indent="1"/>
    </xf>
    <xf numFmtId="166" fontId="20" fillId="0" borderId="65" xfId="7" applyNumberFormat="1" applyFont="1" applyFill="1" applyBorder="1" applyAlignment="1" applyProtection="1">
      <alignment horizontal="right" vertical="center" wrapText="1" indent="1"/>
    </xf>
    <xf numFmtId="166" fontId="29" fillId="0" borderId="66" xfId="7" applyNumberFormat="1" applyFont="1" applyFill="1" applyBorder="1" applyAlignment="1" applyProtection="1">
      <alignment horizontal="right" vertical="center" wrapText="1" indent="1"/>
    </xf>
    <xf numFmtId="166" fontId="29" fillId="0" borderId="22" xfId="7" applyNumberFormat="1" applyFont="1" applyFill="1" applyBorder="1" applyAlignment="1" applyProtection="1">
      <alignment horizontal="right" vertical="center" wrapText="1" indent="1"/>
    </xf>
    <xf numFmtId="166" fontId="29" fillId="0" borderId="65" xfId="7" applyNumberFormat="1" applyFont="1" applyFill="1" applyBorder="1" applyAlignment="1" applyProtection="1">
      <alignment horizontal="right" vertical="center" wrapText="1" indent="1"/>
    </xf>
    <xf numFmtId="166" fontId="22" fillId="0" borderId="66" xfId="7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22" xfId="7" applyNumberFormat="1" applyFont="1" applyFill="1" applyBorder="1" applyAlignment="1" applyProtection="1">
      <alignment horizontal="right" vertical="center" wrapText="1" indent="1"/>
      <protection locked="0"/>
    </xf>
    <xf numFmtId="0" fontId="7" fillId="0" borderId="13" xfId="0" applyFont="1" applyFill="1" applyBorder="1" applyAlignment="1" applyProtection="1">
      <alignment horizontal="center" vertical="center" wrapText="1"/>
    </xf>
    <xf numFmtId="0" fontId="7" fillId="0" borderId="17" xfId="0" applyFont="1" applyFill="1" applyBorder="1" applyAlignment="1" applyProtection="1">
      <alignment horizontal="center" vertical="center" wrapText="1"/>
    </xf>
    <xf numFmtId="0" fontId="29" fillId="0" borderId="8" xfId="0" applyFont="1" applyFill="1" applyBorder="1" applyAlignment="1" applyProtection="1">
      <alignment vertical="center" wrapText="1"/>
    </xf>
    <xf numFmtId="0" fontId="29" fillId="0" borderId="10" xfId="0" applyFont="1" applyFill="1" applyBorder="1" applyAlignment="1" applyProtection="1">
      <alignment vertical="center" wrapText="1"/>
    </xf>
    <xf numFmtId="0" fontId="29" fillId="0" borderId="9" xfId="0" applyFont="1" applyFill="1" applyBorder="1" applyAlignment="1" applyProtection="1">
      <alignment vertical="center" wrapText="1"/>
    </xf>
    <xf numFmtId="0" fontId="29" fillId="0" borderId="13" xfId="0" applyFont="1" applyFill="1" applyBorder="1" applyAlignment="1" applyProtection="1">
      <alignment vertical="center" wrapText="1"/>
    </xf>
    <xf numFmtId="0" fontId="29" fillId="0" borderId="0" xfId="0" applyFont="1" applyFill="1" applyAlignment="1" applyProtection="1">
      <alignment vertical="center" wrapText="1"/>
    </xf>
    <xf numFmtId="166" fontId="29" fillId="0" borderId="17" xfId="0" applyNumberFormat="1" applyFont="1" applyFill="1" applyBorder="1" applyAlignment="1" applyProtection="1">
      <alignment vertical="center" wrapText="1"/>
    </xf>
    <xf numFmtId="166" fontId="29" fillId="0" borderId="36" xfId="0" applyNumberFormat="1" applyFont="1" applyFill="1" applyBorder="1" applyAlignment="1" applyProtection="1">
      <alignment vertical="center" wrapText="1"/>
    </xf>
    <xf numFmtId="166" fontId="29" fillId="0" borderId="20" xfId="0" applyNumberFormat="1" applyFont="1" applyFill="1" applyBorder="1" applyAlignment="1" applyProtection="1">
      <alignment vertical="center" wrapText="1"/>
    </xf>
    <xf numFmtId="166" fontId="29" fillId="0" borderId="27" xfId="0" applyNumberFormat="1" applyFont="1" applyFill="1" applyBorder="1" applyAlignment="1" applyProtection="1">
      <alignment vertical="center" wrapText="1"/>
    </xf>
    <xf numFmtId="166" fontId="28" fillId="0" borderId="17" xfId="0" applyNumberFormat="1" applyFont="1" applyFill="1" applyBorder="1" applyAlignment="1" applyProtection="1">
      <alignment vertical="center" wrapText="1"/>
    </xf>
    <xf numFmtId="166" fontId="29" fillId="0" borderId="25" xfId="0" applyNumberFormat="1" applyFont="1" applyFill="1" applyBorder="1" applyAlignment="1" applyProtection="1">
      <alignment vertical="center" wrapText="1"/>
    </xf>
    <xf numFmtId="166" fontId="29" fillId="0" borderId="29" xfId="0" applyNumberFormat="1" applyFont="1" applyFill="1" applyBorder="1" applyAlignment="1" applyProtection="1">
      <alignment vertical="center" wrapText="1"/>
    </xf>
    <xf numFmtId="3" fontId="20" fillId="0" borderId="17" xfId="0" applyNumberFormat="1" applyFont="1" applyFill="1" applyBorder="1" applyAlignment="1" applyProtection="1">
      <alignment horizontal="right" vertical="center" wrapText="1" indent="1"/>
      <protection locked="0"/>
    </xf>
    <xf numFmtId="0" fontId="29" fillId="0" borderId="21" xfId="0" applyFont="1" applyFill="1" applyBorder="1" applyAlignment="1" applyProtection="1">
      <alignment horizontal="center" vertical="center" wrapText="1"/>
    </xf>
    <xf numFmtId="0" fontId="20" fillId="0" borderId="21" xfId="0" applyFont="1" applyFill="1" applyBorder="1" applyAlignment="1" applyProtection="1">
      <alignment horizontal="center" vertical="center" wrapText="1"/>
    </xf>
    <xf numFmtId="166" fontId="29" fillId="0" borderId="37" xfId="0" applyNumberFormat="1" applyFont="1" applyFill="1" applyBorder="1" applyAlignment="1" applyProtection="1">
      <alignment vertical="center" wrapText="1"/>
    </xf>
    <xf numFmtId="0" fontId="29" fillId="0" borderId="15" xfId="0" applyFont="1" applyFill="1" applyBorder="1" applyAlignment="1" applyProtection="1">
      <alignment vertical="center" wrapText="1"/>
    </xf>
    <xf numFmtId="166" fontId="29" fillId="0" borderId="28" xfId="0" applyNumberFormat="1" applyFont="1" applyFill="1" applyBorder="1" applyAlignment="1" applyProtection="1">
      <alignment vertical="center" wrapText="1"/>
    </xf>
    <xf numFmtId="0" fontId="29" fillId="0" borderId="11" xfId="0" applyFont="1" applyFill="1" applyBorder="1" applyAlignment="1" applyProtection="1">
      <alignment vertical="center" wrapText="1"/>
    </xf>
    <xf numFmtId="166" fontId="28" fillId="0" borderId="36" xfId="0" applyNumberFormat="1" applyFont="1" applyFill="1" applyBorder="1" applyAlignment="1" applyProtection="1">
      <alignment vertical="center" wrapText="1"/>
    </xf>
    <xf numFmtId="0" fontId="29" fillId="0" borderId="0" xfId="0" applyFont="1" applyFill="1" applyBorder="1" applyAlignment="1" applyProtection="1">
      <alignment vertical="center" wrapText="1"/>
    </xf>
    <xf numFmtId="166" fontId="28" fillId="0" borderId="0" xfId="0" applyNumberFormat="1" applyFont="1" applyFill="1" applyBorder="1" applyAlignment="1" applyProtection="1">
      <alignment vertical="center" wrapText="1"/>
    </xf>
    <xf numFmtId="166" fontId="22" fillId="0" borderId="4" xfId="0" applyNumberFormat="1" applyFont="1" applyFill="1" applyBorder="1" applyAlignment="1" applyProtection="1">
      <alignment vertical="center" wrapText="1"/>
    </xf>
    <xf numFmtId="166" fontId="22" fillId="0" borderId="2" xfId="0" applyNumberFormat="1" applyFont="1" applyFill="1" applyBorder="1" applyAlignment="1" applyProtection="1">
      <alignment vertical="center" wrapText="1"/>
    </xf>
    <xf numFmtId="166" fontId="22" fillId="0" borderId="6" xfId="0" applyNumberFormat="1" applyFont="1" applyFill="1" applyBorder="1" applyAlignment="1" applyProtection="1">
      <alignment vertical="center" wrapText="1"/>
    </xf>
    <xf numFmtId="166" fontId="4" fillId="0" borderId="41" xfId="0" applyNumberFormat="1" applyFont="1" applyFill="1" applyBorder="1" applyAlignment="1">
      <alignment horizontal="center" vertical="center" wrapText="1"/>
    </xf>
    <xf numFmtId="166" fontId="0" fillId="0" borderId="21" xfId="0" applyNumberFormat="1" applyFill="1" applyBorder="1" applyAlignment="1" applyProtection="1">
      <alignment vertical="center" wrapText="1"/>
    </xf>
    <xf numFmtId="166" fontId="29" fillId="0" borderId="47" xfId="0" applyNumberFormat="1" applyFont="1" applyFill="1" applyBorder="1" applyAlignment="1">
      <alignment vertical="center" wrapText="1"/>
    </xf>
    <xf numFmtId="166" fontId="28" fillId="0" borderId="17" xfId="0" applyNumberFormat="1" applyFont="1" applyFill="1" applyBorder="1" applyAlignment="1">
      <alignment vertical="center" wrapText="1"/>
    </xf>
    <xf numFmtId="166" fontId="8" fillId="0" borderId="0" xfId="0" applyNumberFormat="1" applyFont="1" applyFill="1" applyBorder="1" applyAlignment="1" applyProtection="1">
      <alignment horizontal="left" vertical="center" wrapText="1"/>
    </xf>
    <xf numFmtId="166" fontId="20" fillId="0" borderId="0" xfId="0" applyNumberFormat="1" applyFont="1" applyFill="1" applyBorder="1" applyAlignment="1" applyProtection="1">
      <alignment vertical="center" wrapText="1"/>
    </xf>
    <xf numFmtId="166" fontId="20" fillId="2" borderId="0" xfId="0" applyNumberFormat="1" applyFont="1" applyFill="1" applyBorder="1" applyAlignment="1" applyProtection="1">
      <alignment vertical="center" wrapText="1"/>
    </xf>
    <xf numFmtId="166" fontId="28" fillId="0" borderId="0" xfId="0" applyNumberFormat="1" applyFont="1" applyFill="1" applyBorder="1" applyAlignment="1">
      <alignment vertical="center" wrapText="1"/>
    </xf>
    <xf numFmtId="0" fontId="40" fillId="0" borderId="11" xfId="6" applyFont="1" applyBorder="1" applyAlignment="1">
      <alignment wrapText="1"/>
    </xf>
    <xf numFmtId="166" fontId="0" fillId="0" borderId="4" xfId="0" applyNumberFormat="1" applyFill="1" applyBorder="1" applyAlignment="1">
      <alignment vertical="center" wrapText="1"/>
    </xf>
    <xf numFmtId="166" fontId="0" fillId="0" borderId="4" xfId="0" applyNumberFormat="1" applyFill="1" applyBorder="1" applyAlignment="1" applyProtection="1">
      <alignment vertical="center" wrapText="1"/>
    </xf>
    <xf numFmtId="166" fontId="0" fillId="0" borderId="36" xfId="0" applyNumberFormat="1" applyFill="1" applyBorder="1" applyAlignment="1">
      <alignment vertical="center" wrapText="1"/>
    </xf>
    <xf numFmtId="0" fontId="40" fillId="0" borderId="8" xfId="6" applyFont="1" applyBorder="1" applyAlignment="1">
      <alignment wrapText="1"/>
    </xf>
    <xf numFmtId="166" fontId="0" fillId="0" borderId="2" xfId="0" applyNumberFormat="1" applyFill="1" applyBorder="1" applyAlignment="1">
      <alignment vertical="center" wrapText="1"/>
    </xf>
    <xf numFmtId="166" fontId="0" fillId="0" borderId="2" xfId="0" applyNumberFormat="1" applyFill="1" applyBorder="1" applyAlignment="1" applyProtection="1">
      <alignment vertical="center" wrapText="1"/>
    </xf>
    <xf numFmtId="166" fontId="0" fillId="0" borderId="20" xfId="0" applyNumberFormat="1" applyFill="1" applyBorder="1" applyAlignment="1">
      <alignment vertical="center" wrapText="1"/>
    </xf>
    <xf numFmtId="166" fontId="19" fillId="0" borderId="12" xfId="0" applyNumberFormat="1" applyFont="1" applyFill="1" applyBorder="1" applyAlignment="1" applyProtection="1">
      <alignment horizontal="left" vertical="center" wrapText="1" indent="1"/>
      <protection locked="0"/>
    </xf>
    <xf numFmtId="166" fontId="0" fillId="0" borderId="26" xfId="0" applyNumberFormat="1" applyFill="1" applyBorder="1" applyAlignment="1">
      <alignment vertical="center" wrapText="1"/>
    </xf>
    <xf numFmtId="166" fontId="0" fillId="0" borderId="26" xfId="0" applyNumberFormat="1" applyFill="1" applyBorder="1" applyAlignment="1" applyProtection="1">
      <alignment vertical="center" wrapText="1"/>
    </xf>
    <xf numFmtId="166" fontId="0" fillId="0" borderId="27" xfId="0" applyNumberFormat="1" applyFill="1" applyBorder="1" applyAlignment="1">
      <alignment vertical="center" wrapText="1"/>
    </xf>
    <xf numFmtId="166" fontId="0" fillId="0" borderId="13" xfId="0" applyNumberFormat="1" applyFill="1" applyBorder="1" applyAlignment="1">
      <alignment horizontal="left" vertical="center" wrapText="1"/>
    </xf>
    <xf numFmtId="166" fontId="0" fillId="0" borderId="14" xfId="0" applyNumberFormat="1" applyFill="1" applyBorder="1" applyAlignment="1">
      <alignment vertical="center" wrapText="1"/>
    </xf>
    <xf numFmtId="166" fontId="0" fillId="0" borderId="14" xfId="0" applyNumberFormat="1" applyFill="1" applyBorder="1" applyAlignment="1" applyProtection="1">
      <alignment vertical="center" wrapText="1"/>
    </xf>
    <xf numFmtId="166" fontId="31" fillId="0" borderId="14" xfId="0" applyNumberFormat="1" applyFont="1" applyFill="1" applyBorder="1" applyAlignment="1">
      <alignment vertical="center" wrapText="1"/>
    </xf>
    <xf numFmtId="166" fontId="31" fillId="0" borderId="17" xfId="0" applyNumberFormat="1" applyFont="1" applyFill="1" applyBorder="1" applyAlignment="1">
      <alignment vertical="center" wrapText="1"/>
    </xf>
    <xf numFmtId="0" fontId="29" fillId="0" borderId="55" xfId="0" applyFont="1" applyFill="1" applyBorder="1" applyAlignment="1" applyProtection="1">
      <alignment vertical="center" wrapText="1"/>
    </xf>
    <xf numFmtId="166" fontId="28" fillId="0" borderId="55" xfId="0" applyNumberFormat="1" applyFont="1" applyFill="1" applyBorder="1" applyAlignment="1" applyProtection="1">
      <alignment vertical="center" wrapText="1"/>
    </xf>
    <xf numFmtId="0" fontId="29" fillId="0" borderId="52" xfId="0" applyFont="1" applyFill="1" applyBorder="1" applyAlignment="1" applyProtection="1">
      <alignment vertical="center" wrapText="1"/>
    </xf>
    <xf numFmtId="166" fontId="29" fillId="0" borderId="0" xfId="0" applyNumberFormat="1" applyFont="1" applyFill="1" applyBorder="1" applyAlignment="1" applyProtection="1">
      <alignment vertical="center" wrapText="1"/>
    </xf>
    <xf numFmtId="166" fontId="4" fillId="0" borderId="21" xfId="0" applyNumberFormat="1" applyFont="1" applyFill="1" applyBorder="1" applyAlignment="1">
      <alignment horizontal="center" vertical="center" wrapText="1"/>
    </xf>
    <xf numFmtId="166" fontId="0" fillId="0" borderId="11" xfId="0" applyNumberFormat="1" applyFill="1" applyBorder="1" applyAlignment="1">
      <alignment vertical="center" wrapText="1"/>
    </xf>
    <xf numFmtId="166" fontId="0" fillId="0" borderId="8" xfId="0" applyNumberFormat="1" applyFill="1" applyBorder="1" applyAlignment="1">
      <alignment vertical="center" wrapText="1"/>
    </xf>
    <xf numFmtId="166" fontId="0" fillId="0" borderId="12" xfId="0" applyNumberFormat="1" applyFill="1" applyBorder="1" applyAlignment="1">
      <alignment vertical="center" wrapText="1"/>
    </xf>
    <xf numFmtId="0" fontId="28" fillId="0" borderId="13" xfId="0" applyFont="1" applyFill="1" applyBorder="1" applyAlignment="1" applyProtection="1">
      <alignment vertical="center" wrapText="1"/>
    </xf>
    <xf numFmtId="166" fontId="19" fillId="0" borderId="8" xfId="0" applyNumberFormat="1" applyFont="1" applyFill="1" applyBorder="1" applyAlignment="1" applyProtection="1">
      <alignment horizontal="left" vertical="center" wrapText="1" indent="1"/>
      <protection locked="0"/>
    </xf>
    <xf numFmtId="166" fontId="22" fillId="0" borderId="26" xfId="0" applyNumberFormat="1" applyFont="1" applyFill="1" applyBorder="1" applyAlignment="1" applyProtection="1">
      <alignment vertical="center" wrapText="1"/>
      <protection locked="0"/>
    </xf>
    <xf numFmtId="166" fontId="22" fillId="0" borderId="26" xfId="0" applyNumberFormat="1" applyFont="1" applyFill="1" applyBorder="1" applyAlignment="1" applyProtection="1">
      <alignment vertical="center" wrapText="1"/>
    </xf>
    <xf numFmtId="0" fontId="59" fillId="6" borderId="8" xfId="0" applyFont="1" applyFill="1" applyBorder="1" applyAlignment="1">
      <alignment horizontal="left" wrapText="1"/>
    </xf>
    <xf numFmtId="0" fontId="40" fillId="6" borderId="8" xfId="0" applyFont="1" applyFill="1" applyBorder="1" applyAlignment="1">
      <alignment wrapText="1"/>
    </xf>
    <xf numFmtId="0" fontId="40" fillId="6" borderId="8" xfId="0" applyFont="1" applyFill="1" applyBorder="1" applyAlignment="1">
      <alignment horizontal="left" wrapText="1"/>
    </xf>
    <xf numFmtId="3" fontId="59" fillId="6" borderId="2" xfId="0" applyNumberFormat="1" applyFont="1" applyFill="1" applyBorder="1" applyAlignment="1">
      <alignment horizontal="right" wrapText="1"/>
    </xf>
    <xf numFmtId="3" fontId="66" fillId="6" borderId="2" xfId="0" applyNumberFormat="1" applyFont="1" applyFill="1" applyBorder="1" applyAlignment="1">
      <alignment horizontal="right" wrapText="1"/>
    </xf>
    <xf numFmtId="166" fontId="20" fillId="0" borderId="67" xfId="0" applyNumberFormat="1" applyFont="1" applyFill="1" applyBorder="1" applyAlignment="1" applyProtection="1">
      <alignment horizontal="center" vertical="center" wrapText="1"/>
    </xf>
    <xf numFmtId="166" fontId="22" fillId="0" borderId="3" xfId="0" applyNumberFormat="1" applyFont="1" applyFill="1" applyBorder="1" applyAlignment="1" applyProtection="1">
      <alignment vertical="center" wrapText="1"/>
      <protection locked="0"/>
    </xf>
    <xf numFmtId="49" fontId="19" fillId="0" borderId="6" xfId="0" applyNumberFormat="1" applyFont="1" applyBorder="1" applyAlignment="1" applyProtection="1">
      <alignment horizontal="center" vertical="center" wrapText="1"/>
      <protection locked="0"/>
    </xf>
    <xf numFmtId="49" fontId="19" fillId="0" borderId="2" xfId="0" applyNumberFormat="1" applyFont="1" applyBorder="1" applyAlignment="1" applyProtection="1">
      <alignment horizontal="center" vertical="center" wrapText="1"/>
      <protection locked="0"/>
    </xf>
    <xf numFmtId="166" fontId="35" fillId="0" borderId="13" xfId="0" applyNumberFormat="1" applyFont="1" applyFill="1" applyBorder="1" applyAlignment="1" applyProtection="1">
      <alignment horizontal="left" vertical="center" wrapText="1"/>
    </xf>
    <xf numFmtId="166" fontId="35" fillId="0" borderId="14" xfId="0" applyNumberFormat="1" applyFont="1" applyFill="1" applyBorder="1" applyAlignment="1" applyProtection="1">
      <alignment vertical="center" wrapText="1"/>
    </xf>
    <xf numFmtId="166" fontId="35" fillId="2" borderId="14" xfId="0" applyNumberFormat="1" applyFont="1" applyFill="1" applyBorder="1" applyAlignment="1" applyProtection="1">
      <alignment vertical="center" wrapText="1"/>
    </xf>
    <xf numFmtId="166" fontId="35" fillId="0" borderId="17" xfId="0" applyNumberFormat="1" applyFont="1" applyFill="1" applyBorder="1" applyAlignment="1" applyProtection="1">
      <alignment vertical="center" wrapText="1"/>
    </xf>
    <xf numFmtId="166" fontId="35" fillId="0" borderId="13" xfId="0" applyNumberFormat="1" applyFont="1" applyFill="1" applyBorder="1" applyAlignment="1">
      <alignment vertical="center" wrapText="1"/>
    </xf>
    <xf numFmtId="166" fontId="35" fillId="0" borderId="17" xfId="0" applyNumberFormat="1" applyFont="1" applyFill="1" applyBorder="1" applyAlignment="1">
      <alignment vertical="center" wrapText="1"/>
    </xf>
    <xf numFmtId="166" fontId="0" fillId="0" borderId="10" xfId="0" applyNumberFormat="1" applyFill="1" applyBorder="1" applyAlignment="1">
      <alignment vertical="center" wrapText="1"/>
    </xf>
    <xf numFmtId="0" fontId="40" fillId="6" borderId="10" xfId="0" applyFont="1" applyFill="1" applyBorder="1" applyAlignment="1">
      <alignment horizontal="left" wrapText="1"/>
    </xf>
    <xf numFmtId="3" fontId="66" fillId="6" borderId="6" xfId="0" applyNumberFormat="1" applyFont="1" applyFill="1" applyBorder="1" applyAlignment="1">
      <alignment horizontal="right" wrapText="1"/>
    </xf>
    <xf numFmtId="166" fontId="31" fillId="0" borderId="0" xfId="0" applyNumberFormat="1" applyFont="1" applyFill="1" applyAlignment="1">
      <alignment horizontal="left" vertical="center" wrapText="1"/>
    </xf>
    <xf numFmtId="166" fontId="0" fillId="0" borderId="11" xfId="0" applyNumberFormat="1" applyFill="1" applyBorder="1" applyAlignment="1">
      <alignment horizontal="left" vertical="center" wrapText="1"/>
    </xf>
    <xf numFmtId="166" fontId="0" fillId="0" borderId="8" xfId="0" applyNumberFormat="1" applyFill="1" applyBorder="1" applyAlignment="1">
      <alignment horizontal="left" vertical="center" wrapText="1"/>
    </xf>
    <xf numFmtId="166" fontId="0" fillId="0" borderId="12" xfId="0" applyNumberFormat="1" applyFill="1" applyBorder="1" applyAlignment="1">
      <alignment horizontal="left" vertical="center" wrapText="1"/>
    </xf>
    <xf numFmtId="166" fontId="31" fillId="0" borderId="13" xfId="0" applyNumberFormat="1" applyFont="1" applyFill="1" applyBorder="1" applyAlignment="1">
      <alignment horizontal="center" vertical="center" wrapText="1"/>
    </xf>
    <xf numFmtId="166" fontId="31" fillId="0" borderId="14" xfId="0" applyNumberFormat="1" applyFont="1" applyFill="1" applyBorder="1" applyAlignment="1" applyProtection="1">
      <alignment vertical="center" wrapText="1"/>
    </xf>
    <xf numFmtId="3" fontId="66" fillId="7" borderId="2" xfId="0" applyNumberFormat="1" applyFont="1" applyFill="1" applyBorder="1" applyAlignment="1">
      <alignment horizontal="right" wrapText="1"/>
    </xf>
    <xf numFmtId="166" fontId="28" fillId="0" borderId="27" xfId="0" applyNumberFormat="1" applyFont="1" applyFill="1" applyBorder="1" applyAlignment="1" applyProtection="1">
      <alignment vertical="center" wrapText="1"/>
    </xf>
    <xf numFmtId="166" fontId="28" fillId="0" borderId="20" xfId="7" applyNumberFormat="1" applyFont="1" applyFill="1" applyBorder="1" applyAlignment="1" applyProtection="1">
      <alignment horizontal="right" vertical="center" wrapText="1" indent="1"/>
      <protection locked="0"/>
    </xf>
    <xf numFmtId="0" fontId="31" fillId="0" borderId="17" xfId="7" applyFont="1" applyFill="1" applyBorder="1" applyAlignment="1" applyProtection="1">
      <alignment horizontal="center" vertical="center" wrapText="1"/>
    </xf>
    <xf numFmtId="166" fontId="31" fillId="0" borderId="36" xfId="0" applyNumberFormat="1" applyFont="1" applyFill="1" applyBorder="1" applyAlignment="1">
      <alignment vertical="center" wrapText="1"/>
    </xf>
    <xf numFmtId="166" fontId="31" fillId="0" borderId="20" xfId="0" applyNumberFormat="1" applyFont="1" applyFill="1" applyBorder="1" applyAlignment="1">
      <alignment vertical="center" wrapText="1"/>
    </xf>
    <xf numFmtId="166" fontId="31" fillId="0" borderId="37" xfId="0" applyNumberFormat="1" applyFont="1" applyFill="1" applyBorder="1" applyAlignment="1">
      <alignment vertical="center" wrapText="1"/>
    </xf>
    <xf numFmtId="166" fontId="0" fillId="0" borderId="6" xfId="0" applyNumberFormat="1" applyFill="1" applyBorder="1" applyAlignment="1" applyProtection="1">
      <alignment vertical="center" wrapText="1"/>
    </xf>
    <xf numFmtId="166" fontId="0" fillId="0" borderId="6" xfId="0" applyNumberFormat="1" applyFill="1" applyBorder="1" applyAlignment="1">
      <alignment vertical="center" wrapText="1"/>
    </xf>
    <xf numFmtId="166" fontId="0" fillId="0" borderId="37" xfId="0" applyNumberFormat="1" applyFill="1" applyBorder="1" applyAlignment="1">
      <alignment vertical="center" wrapText="1"/>
    </xf>
    <xf numFmtId="175" fontId="17" fillId="6" borderId="9" xfId="1" applyNumberFormat="1" applyFont="1" applyFill="1" applyBorder="1"/>
    <xf numFmtId="166" fontId="29" fillId="0" borderId="17" xfId="7" applyNumberFormat="1" applyFont="1" applyFill="1" applyBorder="1" applyAlignment="1" applyProtection="1">
      <alignment horizontal="right" vertical="center" wrapText="1" indent="1"/>
    </xf>
    <xf numFmtId="166" fontId="31" fillId="0" borderId="27" xfId="0" applyNumberFormat="1" applyFont="1" applyFill="1" applyBorder="1" applyAlignment="1">
      <alignment vertical="center" wrapText="1"/>
    </xf>
    <xf numFmtId="175" fontId="17" fillId="6" borderId="33" xfId="1" applyNumberFormat="1" applyFont="1" applyFill="1" applyBorder="1"/>
    <xf numFmtId="0" fontId="67" fillId="0" borderId="0" xfId="0" applyFont="1" applyAlignment="1">
      <alignment horizontal="center" vertical="top" wrapText="1"/>
    </xf>
    <xf numFmtId="0" fontId="55" fillId="0" borderId="0" xfId="0" applyFont="1" applyAlignment="1">
      <alignment horizontal="center"/>
    </xf>
    <xf numFmtId="0" fontId="54" fillId="0" borderId="0" xfId="0" applyFont="1" applyAlignment="1">
      <alignment horizontal="center" vertical="top" wrapText="1"/>
    </xf>
    <xf numFmtId="0" fontId="54" fillId="0" borderId="0" xfId="0" applyFont="1" applyAlignment="1">
      <alignment horizontal="center" vertical="top"/>
    </xf>
    <xf numFmtId="0" fontId="37" fillId="0" borderId="0" xfId="0" applyFont="1" applyAlignment="1">
      <alignment horizontal="center"/>
    </xf>
    <xf numFmtId="0" fontId="35" fillId="5" borderId="0" xfId="0" applyFont="1" applyFill="1" applyAlignment="1" applyProtection="1">
      <alignment horizontal="center"/>
      <protection locked="0"/>
    </xf>
    <xf numFmtId="0" fontId="0" fillId="0" borderId="0" xfId="0" applyAlignment="1" applyProtection="1">
      <protection locked="0"/>
    </xf>
    <xf numFmtId="0" fontId="23" fillId="5" borderId="0" xfId="0" applyFont="1" applyFill="1" applyAlignment="1" applyProtection="1">
      <alignment horizontal="center"/>
      <protection locked="0"/>
    </xf>
    <xf numFmtId="0" fontId="0" fillId="5" borderId="0" xfId="0" applyFill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53" fillId="0" borderId="0" xfId="7" applyFont="1" applyFill="1" applyAlignment="1" applyProtection="1">
      <alignment horizontal="right"/>
      <protection locked="0"/>
    </xf>
    <xf numFmtId="0" fontId="53" fillId="0" borderId="0" xfId="0" applyFont="1" applyAlignment="1" applyProtection="1">
      <alignment horizontal="right"/>
      <protection locked="0"/>
    </xf>
    <xf numFmtId="166" fontId="7" fillId="0" borderId="0" xfId="7" applyNumberFormat="1" applyFont="1" applyFill="1" applyBorder="1" applyAlignment="1" applyProtection="1">
      <alignment horizontal="center" vertical="center"/>
      <protection locked="0"/>
    </xf>
    <xf numFmtId="166" fontId="36" fillId="0" borderId="34" xfId="7" applyNumberFormat="1" applyFont="1" applyFill="1" applyBorder="1" applyAlignment="1" applyProtection="1">
      <alignment horizontal="left" vertical="center"/>
      <protection locked="0"/>
    </xf>
    <xf numFmtId="166" fontId="36" fillId="0" borderId="34" xfId="7" applyNumberFormat="1" applyFont="1" applyFill="1" applyBorder="1" applyAlignment="1" applyProtection="1">
      <alignment horizontal="left"/>
    </xf>
    <xf numFmtId="0" fontId="28" fillId="0" borderId="0" xfId="7" applyFont="1" applyFill="1" applyAlignment="1" applyProtection="1">
      <alignment horizontal="center"/>
    </xf>
    <xf numFmtId="166" fontId="36" fillId="0" borderId="34" xfId="7" applyNumberFormat="1" applyFont="1" applyFill="1" applyBorder="1" applyAlignment="1" applyProtection="1">
      <alignment horizontal="left" vertical="center"/>
    </xf>
    <xf numFmtId="166" fontId="7" fillId="0" borderId="0" xfId="7" applyNumberFormat="1" applyFont="1" applyFill="1" applyBorder="1" applyAlignment="1" applyProtection="1">
      <alignment horizontal="center" vertical="center"/>
    </xf>
    <xf numFmtId="166" fontId="30" fillId="0" borderId="62" xfId="0" applyNumberFormat="1" applyFont="1" applyFill="1" applyBorder="1" applyAlignment="1" applyProtection="1">
      <alignment horizontal="center" vertical="center" wrapText="1"/>
    </xf>
    <xf numFmtId="166" fontId="30" fillId="0" borderId="68" xfId="0" applyNumberFormat="1" applyFont="1" applyFill="1" applyBorder="1" applyAlignment="1" applyProtection="1">
      <alignment horizontal="center" vertical="center" wrapText="1"/>
    </xf>
    <xf numFmtId="166" fontId="53" fillId="0" borderId="0" xfId="0" applyNumberFormat="1" applyFont="1" applyFill="1" applyAlignment="1" applyProtection="1">
      <alignment horizontal="center" textRotation="180" wrapText="1"/>
    </xf>
    <xf numFmtId="166" fontId="68" fillId="0" borderId="55" xfId="0" applyNumberFormat="1" applyFont="1" applyFill="1" applyBorder="1" applyAlignment="1" applyProtection="1">
      <alignment horizontal="center" vertical="center" wrapText="1"/>
    </xf>
    <xf numFmtId="166" fontId="30" fillId="0" borderId="66" xfId="0" applyNumberFormat="1" applyFont="1" applyFill="1" applyBorder="1" applyAlignment="1" applyProtection="1">
      <alignment horizontal="center" vertical="center" wrapText="1"/>
    </xf>
    <xf numFmtId="166" fontId="30" fillId="0" borderId="65" xfId="0" applyNumberFormat="1" applyFont="1" applyFill="1" applyBorder="1" applyAlignment="1" applyProtection="1">
      <alignment horizontal="center" vertical="center" wrapText="1"/>
    </xf>
    <xf numFmtId="166" fontId="5" fillId="0" borderId="0" xfId="7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Fill="1" applyBorder="1" applyAlignment="1" applyProtection="1">
      <alignment horizontal="right"/>
      <protection locked="0"/>
    </xf>
    <xf numFmtId="0" fontId="31" fillId="0" borderId="36" xfId="7" applyFont="1" applyFill="1" applyBorder="1" applyAlignment="1">
      <alignment horizontal="center" vertical="center" wrapText="1"/>
    </xf>
    <xf numFmtId="0" fontId="31" fillId="0" borderId="37" xfId="7" applyFont="1" applyFill="1" applyBorder="1" applyAlignment="1">
      <alignment horizontal="center" vertical="center" wrapText="1"/>
    </xf>
    <xf numFmtId="0" fontId="31" fillId="0" borderId="11" xfId="7" applyFont="1" applyFill="1" applyBorder="1" applyAlignment="1">
      <alignment horizontal="center" vertical="center" wrapText="1"/>
    </xf>
    <xf numFmtId="0" fontId="31" fillId="0" borderId="10" xfId="7" applyFont="1" applyFill="1" applyBorder="1" applyAlignment="1">
      <alignment horizontal="center" vertical="center" wrapText="1"/>
    </xf>
    <xf numFmtId="0" fontId="31" fillId="0" borderId="4" xfId="7" applyFont="1" applyFill="1" applyBorder="1" applyAlignment="1">
      <alignment horizontal="center" vertical="center" wrapText="1"/>
    </xf>
    <xf numFmtId="0" fontId="31" fillId="0" borderId="6" xfId="7" applyFont="1" applyFill="1" applyBorder="1" applyAlignment="1">
      <alignment horizontal="center" vertical="center" wrapText="1"/>
    </xf>
    <xf numFmtId="0" fontId="21" fillId="0" borderId="0" xfId="0" applyFont="1" applyFill="1" applyBorder="1" applyAlignment="1" applyProtection="1">
      <alignment horizontal="right"/>
      <protection locked="0"/>
    </xf>
    <xf numFmtId="166" fontId="7" fillId="0" borderId="0" xfId="7" applyNumberFormat="1" applyFont="1" applyFill="1" applyBorder="1" applyAlignment="1" applyProtection="1">
      <alignment horizontal="center" vertical="center" wrapText="1"/>
      <protection locked="0"/>
    </xf>
    <xf numFmtId="0" fontId="30" fillId="0" borderId="13" xfId="7" applyFont="1" applyFill="1" applyBorder="1" applyAlignment="1" applyProtection="1">
      <alignment horizontal="left"/>
    </xf>
    <xf numFmtId="0" fontId="30" fillId="0" borderId="14" xfId="7" applyFont="1" applyFill="1" applyBorder="1" applyAlignment="1" applyProtection="1">
      <alignment horizontal="left"/>
    </xf>
    <xf numFmtId="0" fontId="22" fillId="0" borderId="55" xfId="7" applyFont="1" applyFill="1" applyBorder="1" applyAlignment="1">
      <alignment horizontal="justify" vertical="center" wrapText="1"/>
    </xf>
    <xf numFmtId="166" fontId="23" fillId="0" borderId="0" xfId="0" applyNumberFormat="1" applyFont="1" applyFill="1" applyAlignment="1" applyProtection="1">
      <alignment horizontal="center" vertical="center" wrapText="1"/>
      <protection locked="0"/>
    </xf>
    <xf numFmtId="166" fontId="53" fillId="0" borderId="0" xfId="0" applyNumberFormat="1" applyFont="1" applyFill="1" applyAlignment="1" applyProtection="1">
      <alignment horizontal="right" vertical="center" wrapText="1"/>
      <protection locked="0"/>
    </xf>
    <xf numFmtId="0" fontId="53" fillId="0" borderId="0" xfId="0" applyFont="1" applyAlignment="1" applyProtection="1">
      <alignment horizontal="right" vertical="center" wrapText="1"/>
      <protection locked="0"/>
    </xf>
    <xf numFmtId="0" fontId="0" fillId="0" borderId="0" xfId="0" applyFill="1" applyAlignment="1" applyProtection="1">
      <alignment horizontal="left"/>
      <protection locked="0"/>
    </xf>
    <xf numFmtId="0" fontId="32" fillId="0" borderId="0" xfId="0" applyFont="1" applyFill="1" applyBorder="1" applyAlignment="1" applyProtection="1">
      <alignment horizontal="right"/>
      <protection locked="0"/>
    </xf>
    <xf numFmtId="0" fontId="32" fillId="0" borderId="0" xfId="0" applyFont="1" applyFill="1" applyBorder="1" applyAlignment="1" applyProtection="1">
      <alignment horizontal="right"/>
    </xf>
    <xf numFmtId="0" fontId="23" fillId="0" borderId="0" xfId="0" applyFont="1" applyFill="1" applyAlignment="1" applyProtection="1">
      <alignment horizontal="center"/>
      <protection locked="0"/>
    </xf>
    <xf numFmtId="0" fontId="23" fillId="0" borderId="0" xfId="0" applyFont="1" applyAlignment="1" applyProtection="1">
      <alignment horizontal="center"/>
      <protection locked="0"/>
    </xf>
    <xf numFmtId="0" fontId="53" fillId="0" borderId="0" xfId="0" applyFont="1" applyFill="1" applyAlignment="1" applyProtection="1">
      <alignment horizontal="right"/>
      <protection locked="0"/>
    </xf>
    <xf numFmtId="0" fontId="18" fillId="0" borderId="0" xfId="0" applyFont="1" applyAlignment="1" applyProtection="1">
      <alignment horizontal="right"/>
      <protection locked="0"/>
    </xf>
    <xf numFmtId="0" fontId="30" fillId="0" borderId="43" xfId="0" applyFont="1" applyFill="1" applyBorder="1" applyAlignment="1" applyProtection="1">
      <alignment horizontal="left" indent="1"/>
    </xf>
    <xf numFmtId="0" fontId="30" fillId="0" borderId="44" xfId="0" applyFont="1" applyFill="1" applyBorder="1" applyAlignment="1" applyProtection="1">
      <alignment horizontal="left" indent="1"/>
    </xf>
    <xf numFmtId="0" fontId="30" fillId="0" borderId="42" xfId="0" applyFont="1" applyFill="1" applyBorder="1" applyAlignment="1" applyProtection="1">
      <alignment horizontal="left" indent="1"/>
    </xf>
    <xf numFmtId="0" fontId="29" fillId="0" borderId="4" xfId="0" applyFont="1" applyFill="1" applyBorder="1" applyAlignment="1" applyProtection="1">
      <alignment horizontal="right" indent="1"/>
      <protection locked="0"/>
    </xf>
    <xf numFmtId="0" fontId="29" fillId="0" borderId="36" xfId="0" applyFont="1" applyFill="1" applyBorder="1" applyAlignment="1" applyProtection="1">
      <alignment horizontal="right" indent="1"/>
      <protection locked="0"/>
    </xf>
    <xf numFmtId="0" fontId="29" fillId="0" borderId="6" xfId="0" applyFont="1" applyFill="1" applyBorder="1" applyAlignment="1" applyProtection="1">
      <alignment horizontal="right" indent="1"/>
      <protection locked="0"/>
    </xf>
    <xf numFmtId="0" fontId="29" fillId="0" borderId="37" xfId="0" applyFont="1" applyFill="1" applyBorder="1" applyAlignment="1" applyProtection="1">
      <alignment horizontal="right" indent="1"/>
      <protection locked="0"/>
    </xf>
    <xf numFmtId="0" fontId="35" fillId="0" borderId="0" xfId="0" applyNumberFormat="1" applyFont="1" applyFill="1" applyBorder="1" applyAlignment="1" applyProtection="1">
      <alignment horizontal="left" vertical="center"/>
      <protection locked="0"/>
    </xf>
    <xf numFmtId="0" fontId="28" fillId="0" borderId="14" xfId="0" applyFont="1" applyFill="1" applyBorder="1" applyAlignment="1" applyProtection="1">
      <alignment horizontal="right" indent="1"/>
    </xf>
    <xf numFmtId="0" fontId="28" fillId="0" borderId="17" xfId="0" applyFont="1" applyFill="1" applyBorder="1" applyAlignment="1" applyProtection="1">
      <alignment horizontal="right" indent="1"/>
    </xf>
    <xf numFmtId="0" fontId="30" fillId="0" borderId="16" xfId="0" applyFont="1" applyFill="1" applyBorder="1" applyAlignment="1" applyProtection="1">
      <alignment horizontal="center"/>
    </xf>
    <xf numFmtId="0" fontId="30" fillId="0" borderId="28" xfId="0" applyFont="1" applyFill="1" applyBorder="1" applyAlignment="1" applyProtection="1">
      <alignment horizontal="center"/>
    </xf>
    <xf numFmtId="0" fontId="30" fillId="0" borderId="69" xfId="0" applyFont="1" applyFill="1" applyBorder="1" applyAlignment="1" applyProtection="1">
      <alignment horizontal="center"/>
    </xf>
    <xf numFmtId="0" fontId="30" fillId="0" borderId="55" xfId="0" applyFont="1" applyFill="1" applyBorder="1" applyAlignment="1" applyProtection="1">
      <alignment horizontal="center"/>
    </xf>
    <xf numFmtId="0" fontId="30" fillId="0" borderId="70" xfId="0" applyFont="1" applyFill="1" applyBorder="1" applyAlignment="1" applyProtection="1">
      <alignment horizontal="center"/>
    </xf>
    <xf numFmtId="0" fontId="29" fillId="0" borderId="58" xfId="0" applyFont="1" applyFill="1" applyBorder="1" applyAlignment="1" applyProtection="1">
      <alignment horizontal="left" indent="1"/>
      <protection locked="0"/>
    </xf>
    <xf numFmtId="0" fontId="29" fillId="0" borderId="71" xfId="0" applyFont="1" applyFill="1" applyBorder="1" applyAlignment="1" applyProtection="1">
      <alignment horizontal="left" indent="1"/>
      <protection locked="0"/>
    </xf>
    <xf numFmtId="0" fontId="29" fillId="0" borderId="72" xfId="0" applyFont="1" applyFill="1" applyBorder="1" applyAlignment="1" applyProtection="1">
      <alignment horizontal="left" indent="1"/>
      <protection locked="0"/>
    </xf>
    <xf numFmtId="0" fontId="29" fillId="0" borderId="39" xfId="0" applyFont="1" applyFill="1" applyBorder="1" applyAlignment="1" applyProtection="1">
      <alignment horizontal="left" indent="1"/>
      <protection locked="0"/>
    </xf>
    <xf numFmtId="0" fontId="29" fillId="0" borderId="40" xfId="0" applyFont="1" applyFill="1" applyBorder="1" applyAlignment="1" applyProtection="1">
      <alignment horizontal="left" indent="1"/>
      <protection locked="0"/>
    </xf>
    <xf numFmtId="0" fontId="29" fillId="0" borderId="73" xfId="0" applyFont="1" applyFill="1" applyBorder="1" applyAlignment="1" applyProtection="1">
      <alignment horizontal="left" indent="1"/>
      <protection locked="0"/>
    </xf>
    <xf numFmtId="0" fontId="3" fillId="0" borderId="0" xfId="0" applyFont="1" applyFill="1" applyAlignment="1" applyProtection="1">
      <alignment horizontal="left"/>
      <protection locked="0"/>
    </xf>
    <xf numFmtId="0" fontId="23" fillId="0" borderId="0" xfId="0" applyFont="1" applyFill="1" applyAlignment="1">
      <alignment horizontal="center" wrapText="1"/>
    </xf>
    <xf numFmtId="0" fontId="53" fillId="0" borderId="0" xfId="0" applyFont="1" applyFill="1" applyAlignment="1">
      <alignment horizontal="right"/>
    </xf>
    <xf numFmtId="0" fontId="35" fillId="0" borderId="0" xfId="7" applyFont="1" applyFill="1" applyAlignment="1" applyProtection="1">
      <alignment horizontal="center"/>
      <protection locked="0"/>
    </xf>
    <xf numFmtId="0" fontId="35" fillId="0" borderId="0" xfId="7" applyFont="1" applyFill="1" applyAlignment="1" applyProtection="1">
      <alignment horizontal="center" vertical="center"/>
      <protection locked="0"/>
    </xf>
    <xf numFmtId="166" fontId="53" fillId="0" borderId="0" xfId="0" applyNumberFormat="1" applyFont="1" applyFill="1" applyBorder="1" applyAlignment="1" applyProtection="1">
      <alignment horizontal="right" textRotation="180" wrapText="1"/>
    </xf>
    <xf numFmtId="166" fontId="8" fillId="0" borderId="43" xfId="0" applyNumberFormat="1" applyFont="1" applyFill="1" applyBorder="1" applyAlignment="1" applyProtection="1">
      <alignment horizontal="left" vertical="center" wrapText="1" indent="2"/>
    </xf>
    <xf numFmtId="166" fontId="8" fillId="0" borderId="35" xfId="0" applyNumberFormat="1" applyFont="1" applyFill="1" applyBorder="1" applyAlignment="1" applyProtection="1">
      <alignment horizontal="left" vertical="center" wrapText="1" indent="2"/>
    </xf>
    <xf numFmtId="166" fontId="8" fillId="0" borderId="62" xfId="0" applyNumberFormat="1" applyFont="1" applyFill="1" applyBorder="1" applyAlignment="1" applyProtection="1">
      <alignment horizontal="center" vertical="center"/>
    </xf>
    <xf numFmtId="166" fontId="8" fillId="0" borderId="68" xfId="0" applyNumberFormat="1" applyFont="1" applyFill="1" applyBorder="1" applyAlignment="1" applyProtection="1">
      <alignment horizontal="center" vertical="center"/>
    </xf>
    <xf numFmtId="166" fontId="8" fillId="0" borderId="58" xfId="0" applyNumberFormat="1" applyFont="1" applyFill="1" applyBorder="1" applyAlignment="1" applyProtection="1">
      <alignment horizontal="center" vertical="center"/>
    </xf>
    <xf numFmtId="166" fontId="8" fillId="0" borderId="71" xfId="0" applyNumberFormat="1" applyFont="1" applyFill="1" applyBorder="1" applyAlignment="1" applyProtection="1">
      <alignment horizontal="center" vertical="center"/>
    </xf>
    <xf numFmtId="166" fontId="8" fillId="0" borderId="53" xfId="0" applyNumberFormat="1" applyFont="1" applyFill="1" applyBorder="1" applyAlignment="1" applyProtection="1">
      <alignment horizontal="center" vertical="center"/>
    </xf>
    <xf numFmtId="166" fontId="8" fillId="0" borderId="62" xfId="0" applyNumberFormat="1" applyFont="1" applyFill="1" applyBorder="1" applyAlignment="1" applyProtection="1">
      <alignment horizontal="center" vertical="center" wrapText="1"/>
    </xf>
    <xf numFmtId="166" fontId="8" fillId="0" borderId="68" xfId="0" applyNumberFormat="1" applyFont="1" applyFill="1" applyBorder="1" applyAlignment="1" applyProtection="1">
      <alignment horizontal="center" vertical="center" wrapText="1"/>
    </xf>
    <xf numFmtId="0" fontId="29" fillId="0" borderId="55" xfId="0" applyFont="1" applyFill="1" applyBorder="1" applyAlignment="1">
      <alignment horizontal="justify" vertical="center" wrapText="1"/>
    </xf>
    <xf numFmtId="0" fontId="16" fillId="0" borderId="0" xfId="0" applyFont="1" applyAlignment="1" applyProtection="1">
      <alignment horizontal="center" wrapText="1"/>
      <protection locked="0"/>
    </xf>
    <xf numFmtId="0" fontId="21" fillId="0" borderId="49" xfId="8" applyFont="1" applyFill="1" applyBorder="1" applyAlignment="1" applyProtection="1">
      <alignment horizontal="left" vertical="center" indent="1"/>
    </xf>
    <xf numFmtId="0" fontId="21" fillId="0" borderId="44" xfId="8" applyFont="1" applyFill="1" applyBorder="1" applyAlignment="1" applyProtection="1">
      <alignment horizontal="left" vertical="center" indent="1"/>
    </xf>
    <xf numFmtId="0" fontId="21" fillId="0" borderId="35" xfId="8" applyFont="1" applyFill="1" applyBorder="1" applyAlignment="1" applyProtection="1">
      <alignment horizontal="left" vertical="center" indent="1"/>
    </xf>
    <xf numFmtId="0" fontId="23" fillId="0" borderId="0" xfId="8" applyFont="1" applyFill="1" applyAlignment="1" applyProtection="1">
      <alignment horizontal="center" wrapText="1"/>
    </xf>
    <xf numFmtId="0" fontId="23" fillId="0" borderId="0" xfId="8" applyFont="1" applyFill="1" applyAlignment="1" applyProtection="1">
      <alignment horizontal="center"/>
    </xf>
    <xf numFmtId="0" fontId="16" fillId="0" borderId="0" xfId="0" applyFont="1" applyFill="1" applyBorder="1" applyAlignment="1" applyProtection="1">
      <alignment horizontal="center" vertical="center"/>
      <protection locked="0"/>
    </xf>
    <xf numFmtId="0" fontId="53" fillId="0" borderId="0" xfId="0" applyFont="1" applyFill="1" applyBorder="1" applyAlignment="1">
      <alignment horizontal="center" textRotation="180"/>
    </xf>
    <xf numFmtId="0" fontId="18" fillId="0" borderId="55" xfId="0" applyFont="1" applyBorder="1"/>
    <xf numFmtId="0" fontId="36" fillId="0" borderId="0" xfId="0" applyFont="1" applyAlignment="1" applyProtection="1">
      <alignment horizontal="right"/>
    </xf>
    <xf numFmtId="0" fontId="30" fillId="0" borderId="43" xfId="0" applyFont="1" applyBorder="1" applyAlignment="1" applyProtection="1">
      <alignment horizontal="left" vertical="center" indent="2"/>
    </xf>
    <xf numFmtId="0" fontId="30" fillId="0" borderId="42" xfId="0" applyFont="1" applyBorder="1" applyAlignment="1" applyProtection="1">
      <alignment horizontal="left" vertical="center" indent="2"/>
    </xf>
    <xf numFmtId="0" fontId="23" fillId="0" borderId="0" xfId="0" applyFont="1" applyAlignment="1" applyProtection="1">
      <alignment horizontal="center" wrapText="1"/>
      <protection locked="0"/>
    </xf>
    <xf numFmtId="0" fontId="35" fillId="0" borderId="0" xfId="7" applyFont="1" applyFill="1" applyAlignment="1" applyProtection="1">
      <alignment horizontal="center"/>
    </xf>
    <xf numFmtId="0" fontId="35" fillId="0" borderId="0" xfId="0" applyFont="1" applyAlignment="1">
      <alignment horizontal="center"/>
    </xf>
    <xf numFmtId="0" fontId="35" fillId="0" borderId="0" xfId="0" applyFont="1" applyAlignment="1" applyProtection="1">
      <alignment horizontal="center"/>
      <protection locked="0"/>
    </xf>
  </cellXfs>
  <cellStyles count="10">
    <cellStyle name="Ezres" xfId="1" builtinId="3"/>
    <cellStyle name="Ezres 2" xfId="2"/>
    <cellStyle name="Hiperhivatkozás" xfId="3"/>
    <cellStyle name="Hivatkozás" xfId="4" builtinId="8"/>
    <cellStyle name="Már látott hiperhivatkozás" xfId="5"/>
    <cellStyle name="Normál" xfId="0" builtinId="0"/>
    <cellStyle name="Normál 2" xfId="6"/>
    <cellStyle name="Normál_KVRENMUNKA" xfId="7"/>
    <cellStyle name="Normál_SEGEDLETEK" xfId="8"/>
    <cellStyle name="Százalék 2" xfId="9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C103"/>
  <sheetViews>
    <sheetView topLeftCell="A4" zoomScale="120" zoomScaleNormal="120" workbookViewId="0">
      <selection activeCell="F21" sqref="F21"/>
    </sheetView>
  </sheetViews>
  <sheetFormatPr defaultRowHeight="12.75"/>
  <cols>
    <col min="1" max="1" width="35.33203125" customWidth="1"/>
    <col min="2" max="2" width="83" customWidth="1"/>
    <col min="3" max="3" width="34.5" customWidth="1"/>
  </cols>
  <sheetData>
    <row r="2" spans="1:3" ht="18.75" customHeight="1">
      <c r="A2" s="807" t="s">
        <v>585</v>
      </c>
      <c r="B2" s="807"/>
      <c r="C2" s="807"/>
    </row>
    <row r="3" spans="1:3" ht="15">
      <c r="A3" s="579"/>
      <c r="B3" s="580"/>
      <c r="C3" s="579"/>
    </row>
    <row r="4" spans="1:3" ht="14.25">
      <c r="A4" s="581" t="s">
        <v>610</v>
      </c>
      <c r="B4" s="582" t="s">
        <v>609</v>
      </c>
      <c r="C4" s="581" t="s">
        <v>586</v>
      </c>
    </row>
    <row r="5" spans="1:3">
      <c r="A5" s="583"/>
      <c r="B5" s="583"/>
      <c r="C5" s="583"/>
    </row>
    <row r="6" spans="1:3" ht="18.75">
      <c r="A6" s="808" t="s">
        <v>588</v>
      </c>
      <c r="B6" s="808"/>
      <c r="C6" s="808"/>
    </row>
    <row r="7" spans="1:3">
      <c r="A7" s="583" t="s">
        <v>611</v>
      </c>
      <c r="B7" s="583" t="s">
        <v>612</v>
      </c>
      <c r="C7" s="648" t="str">
        <f ca="1">HYPERLINK(SUBSTITUTE(CELL("address",ALAPADATOK!A1),"'",""),SUBSTITUTE(MID(CELL("address",ALAPADATOK!A1),SEARCH("]",CELL("address",ALAPADATOK!A1),1)+1,LEN(CELL("address",ALAPADATOK!A1))-SEARCH("]",CELL("address",ALAPADATOK!A1),1)),"'",""))</f>
        <v>ALAPADATOK!$A$1</v>
      </c>
    </row>
    <row r="8" spans="1:3">
      <c r="A8" s="583" t="s">
        <v>613</v>
      </c>
      <c r="B8" s="583" t="s">
        <v>614</v>
      </c>
      <c r="C8" s="648" t="str">
        <f ca="1">HYPERLINK(SUBSTITUTE(CELL("address",KV_ÖSSZEFÜGGÉSEK!A1),"'",""),SUBSTITUTE(MID(CELL("address",KV_ÖSSZEFÜGGÉSEK!A1),SEARCH("]",CELL("address",KV_ÖSSZEFÜGGÉSEK!A1),1)+1,LEN(CELL("address",KV_ÖSSZEFÜGGÉSEK!A1))-SEARCH("]",CELL("address",KV_ÖSSZEFÜGGÉSEK!A1),1)),"'",""))</f>
        <v>KV_ÖSSZEFÜGGÉSEK!$A$1</v>
      </c>
    </row>
    <row r="9" spans="1:3">
      <c r="A9" s="583" t="s">
        <v>615</v>
      </c>
      <c r="B9" s="583" t="s">
        <v>616</v>
      </c>
      <c r="C9" s="648" t="str">
        <f ca="1">HYPERLINK(SUBSTITUTE(CELL("address",KV_1.1.sz.mell.!A1),"'",""),SUBSTITUTE(MID(CELL("address",KV_1.1.sz.mell.!A1),SEARCH("]",CELL("address",KV_1.1.sz.mell.!A1),1)+1,LEN(CELL("address",KV_1.1.sz.mell.!A1))-SEARCH("]",CELL("address",KV_1.1.sz.mell.!A1),1)),"'",""))</f>
        <v>KV_1.1.sz.mell.!$A$1</v>
      </c>
    </row>
    <row r="10" spans="1:3">
      <c r="A10" s="583" t="s">
        <v>617</v>
      </c>
      <c r="B10" s="583" t="s">
        <v>619</v>
      </c>
      <c r="C10" s="648" t="str">
        <f ca="1">HYPERLINK(SUBSTITUTE(CELL("address",KV_1.2.sz.mell.!A1),"'",""),SUBSTITUTE(MID(CELL("address",KV_1.2.sz.mell.!A1),SEARCH("]",CELL("address",KV_1.2.sz.mell.!A1),1)+1,LEN(CELL("address",KV_1.2.sz.mell.!A1))-SEARCH("]",CELL("address",KV_1.2.sz.mell.!A1),1)),"'",""))</f>
        <v>KV_1.2.sz.mell.!$A$1</v>
      </c>
    </row>
    <row r="11" spans="1:3">
      <c r="A11" s="583" t="s">
        <v>618</v>
      </c>
      <c r="B11" s="583" t="s">
        <v>620</v>
      </c>
      <c r="C11" s="648" t="str">
        <f ca="1">HYPERLINK(SUBSTITUTE(CELL("address",KV_1.3.sz.mell.!A1),"'",""),SUBSTITUTE(MID(CELL("address",KV_1.3.sz.mell.!A1),SEARCH("]",CELL("address",KV_1.3.sz.mell.!A1),1)+1,LEN(CELL("address",KV_1.3.sz.mell.!A1))-SEARCH("]",CELL("address",KV_1.3.sz.mell.!A1),1)),"'",""))</f>
        <v>KV_1.3.sz.mell.!$A$1</v>
      </c>
    </row>
    <row r="12" spans="1:3">
      <c r="A12" s="583" t="s">
        <v>621</v>
      </c>
      <c r="B12" s="583" t="s">
        <v>622</v>
      </c>
      <c r="C12" s="648" t="str">
        <f ca="1">HYPERLINK(SUBSTITUTE(CELL("address",KV_1.4.sz.mell.!A1),"'",""),SUBSTITUTE(MID(CELL("address",KV_1.4.sz.mell.!A1),SEARCH("]",CELL("address",KV_1.4.sz.mell.!A1),1)+1,LEN(CELL("address",KV_1.4.sz.mell.!A1))-SEARCH("]",CELL("address",KV_1.4.sz.mell.!A1),1)),"'",""))</f>
        <v>KV_1.4.sz.mell.!$A$1</v>
      </c>
    </row>
    <row r="13" spans="1:3">
      <c r="A13" s="583" t="s">
        <v>623</v>
      </c>
      <c r="B13" s="583" t="s">
        <v>624</v>
      </c>
      <c r="C13" s="648" t="str">
        <f ca="1">HYPERLINK(SUBSTITUTE(CELL("address",KV_2.1.sz.mell.!A1),"'",""),SUBSTITUTE(MID(CELL("address",KV_2.1.sz.mell.!A1),SEARCH("]",CELL("address",KV_2.1.sz.mell.!A1),1)+1,LEN(CELL("address",KV_2.1.sz.mell.!A1))-SEARCH("]",CELL("address",KV_2.1.sz.mell.!A1),1)),"'",""))</f>
        <v>KV_2.1.sz.mell.!$A$1</v>
      </c>
    </row>
    <row r="14" spans="1:3">
      <c r="A14" s="583" t="s">
        <v>625</v>
      </c>
      <c r="B14" s="583" t="s">
        <v>626</v>
      </c>
      <c r="C14" s="648" t="str">
        <f ca="1">HYPERLINK(SUBSTITUTE(CELL("address",KV_2.2.sz.mell.!A1),"'",""),SUBSTITUTE(MID(CELL("address",KV_2.2.sz.mell.!A1),SEARCH("]",CELL("address",KV_2.2.sz.mell.!A1),1)+1,LEN(CELL("address",KV_2.2.sz.mell.!A1))-SEARCH("]",CELL("address",KV_2.2.sz.mell.!A1),1)),"'",""))</f>
        <v>KV_2.2.sz.mell.!$A$1</v>
      </c>
    </row>
    <row r="15" spans="1:3">
      <c r="A15" s="583" t="s">
        <v>627</v>
      </c>
      <c r="B15" s="583" t="s">
        <v>628</v>
      </c>
      <c r="C15" s="648" t="str">
        <f ca="1">HYPERLINK(SUBSTITUTE(CELL("address",KV_ELLENŐRZÉS!A1),"'",""),SUBSTITUTE(MID(CELL("address",KV_ELLENŐRZÉS!A1),SEARCH("]",CELL("address",KV_ELLENŐRZÉS!A1),1)+1,LEN(CELL("address",KV_ELLENŐRZÉS!A1))-SEARCH("]",CELL("address",KV_ELLENŐRZÉS!A1),1)),"'",""))</f>
        <v>KV_ELLENŐRZÉS!$A$1</v>
      </c>
    </row>
    <row r="16" spans="1:3">
      <c r="A16" s="583" t="s">
        <v>629</v>
      </c>
      <c r="B16" s="583" t="s">
        <v>630</v>
      </c>
      <c r="C16" s="648" t="str">
        <f ca="1">HYPERLINK(SUBSTITUTE(CELL("address",KV_3.sz.mell.!A1),"'",""),SUBSTITUTE(MID(CELL("address",KV_3.sz.mell.!A1),SEARCH("]",CELL("address",KV_3.sz.mell.!A1),1)+1,LEN(CELL("address",KV_3.sz.mell.!A1))-SEARCH("]",CELL("address",KV_3.sz.mell.!A1),1)),"'",""))</f>
        <v>KV_3.sz.mell.!$A$1</v>
      </c>
    </row>
    <row r="17" spans="1:3">
      <c r="A17" s="583" t="s">
        <v>631</v>
      </c>
      <c r="B17" s="583" t="s">
        <v>632</v>
      </c>
      <c r="C17" s="648" t="str">
        <f ca="1">HYPERLINK(SUBSTITUTE(CELL("address",KV_4.sz.mell.!A1),"'",""),SUBSTITUTE(MID(CELL("address",KV_4.sz.mell.!A1),SEARCH("]",CELL("address",KV_4.sz.mell.!A1),1)+1,LEN(CELL("address",KV_4.sz.mell.!A1))-SEARCH("]",CELL("address",KV_4.sz.mell.!A1),1)),"'",""))</f>
        <v>KV_4.sz.mell.!$A$1</v>
      </c>
    </row>
    <row r="18" spans="1:3">
      <c r="A18" s="583" t="s">
        <v>634</v>
      </c>
      <c r="B18" s="583" t="s">
        <v>633</v>
      </c>
      <c r="C18" s="648" t="str">
        <f ca="1">HYPERLINK(SUBSTITUTE(CELL("address",KV_5.sz.mell.!A1),"'",""),SUBSTITUTE(MID(CELL("address",KV_5.sz.mell.!A1),SEARCH("]",CELL("address",KV_5.sz.mell.!A1),1)+1,LEN(CELL("address",KV_5.sz.mell.!A1))-SEARCH("]",CELL("address",KV_5.sz.mell.!A1),1)),"'",""))</f>
        <v>KV_5.sz.mell.!$A$1</v>
      </c>
    </row>
    <row r="19" spans="1:3">
      <c r="A19" s="583" t="s">
        <v>635</v>
      </c>
      <c r="B19" s="583" t="s">
        <v>636</v>
      </c>
      <c r="C19" s="648" t="str">
        <f ca="1">HYPERLINK(SUBSTITUTE(CELL("address",KV_6.sz.mell.!A1),"'",""),SUBSTITUTE(MID(CELL("address",KV_6.sz.mell.!A1),SEARCH("]",CELL("address",KV_6.sz.mell.!A1),1)+1,LEN(CELL("address",KV_6.sz.mell.!A1))-SEARCH("]",CELL("address",KV_6.sz.mell.!A1),1)),"'",""))</f>
        <v>KV_6.sz.mell.!$A$1</v>
      </c>
    </row>
    <row r="20" spans="1:3">
      <c r="A20" s="583" t="s">
        <v>637</v>
      </c>
      <c r="B20" s="583" t="s">
        <v>638</v>
      </c>
      <c r="C20" s="648" t="str">
        <f ca="1">HYPERLINK(SUBSTITUTE(CELL("address",KV_7.sz.mell.!A1),"'",""),SUBSTITUTE(MID(CELL("address",KV_7.sz.mell.!A1),SEARCH("]",CELL("address",KV_7.sz.mell.!A1),1)+1,LEN(CELL("address",KV_7.sz.mell.!A1))-SEARCH("]",CELL("address",KV_7.sz.mell.!A1),1)),"'",""))</f>
        <v>KV_7.sz.mell.!$A$1</v>
      </c>
    </row>
    <row r="21" spans="1:3">
      <c r="A21" s="583" t="s">
        <v>639</v>
      </c>
      <c r="B21" s="583" t="s">
        <v>640</v>
      </c>
      <c r="C21" s="648" t="str">
        <f ca="1">HYPERLINK(SUBSTITUTE(CELL("address",KV_8.sz.mell.!A1),"'",""),SUBSTITUTE(MID(CELL("address",KV_8.sz.mell.!A1),SEARCH("]",CELL("address",KV_8.sz.mell.!A1),1)+1,LEN(CELL("address",KV_8.sz.mell.!A1))-SEARCH("]",CELL("address",KV_8.sz.mell.!A1),1)),"'",""))</f>
        <v>KV_8.sz.mell.!$A$1</v>
      </c>
    </row>
    <row r="22" spans="1:3">
      <c r="A22" s="591" t="s">
        <v>641</v>
      </c>
      <c r="B22" s="583" t="s">
        <v>642</v>
      </c>
      <c r="C22" s="648" t="str">
        <f ca="1">HYPERLINK(SUBSTITUTE(CELL("address",KV_9.1.sz.mell!A1),"'",""),SUBSTITUTE(MID(CELL("address",KV_9.1.sz.mell!A1),SEARCH("]",CELL("address",KV_9.1.sz.mell!A1),1)+1,LEN(CELL("address",KV_9.1.sz.mell!A1))-SEARCH("]",CELL("address",KV_9.1.sz.mell!A1),1)),"'",""))</f>
        <v>KV_9.1.sz.mell!$A$1</v>
      </c>
    </row>
    <row r="23" spans="1:3">
      <c r="A23" s="592" t="s">
        <v>643</v>
      </c>
      <c r="B23" s="583" t="s">
        <v>644</v>
      </c>
      <c r="C23" s="648" t="str">
        <f ca="1">HYPERLINK(SUBSTITUTE(CELL("address",KV_9.1.1.sz.mell!A1),"'",""),SUBSTITUTE(MID(CELL("address",KV_9.1.1.sz.mell!A1),SEARCH("]",CELL("address",KV_9.1.1.sz.mell!A1),1)+1,LEN(CELL("address",KV_9.1.1.sz.mell!A1))-SEARCH("]",CELL("address",KV_9.1.1.sz.mell!A1),1)),"'",""))</f>
        <v>KV_9.1.1.sz.mell!$A$1</v>
      </c>
    </row>
    <row r="24" spans="1:3">
      <c r="A24" s="583" t="s">
        <v>645</v>
      </c>
      <c r="B24" s="583" t="s">
        <v>646</v>
      </c>
      <c r="C24" s="648" t="str">
        <f ca="1">HYPERLINK(SUBSTITUTE(CELL("address",KV_9.1.2.sz.mell.!A1),"'",""),SUBSTITUTE(MID(CELL("address",KV_9.1.2.sz.mell.!A1),SEARCH("]",CELL("address",KV_9.1.2.sz.mell.!A1),1)+1,LEN(CELL("address",KV_9.1.2.sz.mell.!A1))-SEARCH("]",CELL("address",KV_9.1.2.sz.mell.!A1),1)),"'",""))</f>
        <v>KV_9.1.2.sz.mell.!$A$1</v>
      </c>
    </row>
    <row r="25" spans="1:3">
      <c r="A25" s="583" t="s">
        <v>647</v>
      </c>
      <c r="B25" s="583" t="s">
        <v>648</v>
      </c>
      <c r="C25" s="648" t="str">
        <f ca="1">HYPERLINK(SUBSTITUTE(CELL("address",KV_9.1.3.sz.mell!A1),"'",""),SUBSTITUTE(MID(CELL("address",KV_9.1.3.sz.mell!A1),SEARCH("]",CELL("address",KV_9.1.3.sz.mell!A1),1)+1,LEN(CELL("address",KV_9.1.3.sz.mell!A1))-SEARCH("]",CELL("address",KV_9.1.3.sz.mell!A1),1)),"'",""))</f>
        <v>KV_9.1.3.sz.mell!$A$1</v>
      </c>
    </row>
    <row r="26" spans="1:3">
      <c r="A26" s="583" t="s">
        <v>649</v>
      </c>
      <c r="B26" s="583" t="s">
        <v>650</v>
      </c>
      <c r="C26" s="648" t="str">
        <f ca="1">HYPERLINK(SUBSTITUTE(CELL("address",KV_9.2.sz.mell!A1),"'",""),SUBSTITUTE(MID(CELL("address",KV_9.2.sz.mell!A1),SEARCH("]",CELL("address",KV_9.2.sz.mell!A1),1)+1,LEN(CELL("address",KV_9.2.sz.mell!A1))-SEARCH("]",CELL("address",KV_9.2.sz.mell!A1),1)),"'",""))</f>
        <v>KV_9.2.sz.mell!$A$1</v>
      </c>
    </row>
    <row r="27" spans="1:3">
      <c r="A27" s="583" t="s">
        <v>651</v>
      </c>
      <c r="B27" s="583" t="str">
        <f ca="1">CONCATENATE(ALAPADATOK!B13)</f>
        <v>Dabas Sári Óvoda</v>
      </c>
      <c r="C27" s="648" t="str">
        <f ca="1">HYPERLINK(SUBSTITUTE(CELL("address",KV_9.3.sz.mell!A1),"'",""),SUBSTITUTE(MID(CELL("address",KV_9.3.sz.mell!A1),SEARCH("]",CELL("address",KV_9.3.sz.mell!A1),1)+1,LEN(CELL("address",KV_9.3.sz.mell!A1))-SEARCH("]",CELL("address",KV_9.3.sz.mell!A1),1)),"'",""))</f>
        <v>KV_9.3.sz.mell!$A$1</v>
      </c>
    </row>
    <row r="28" spans="1:3">
      <c r="A28" s="583" t="s">
        <v>652</v>
      </c>
      <c r="B28" s="583" t="str">
        <f ca="1">CONCATENATE(ALAPADATOK!B15)</f>
        <v>Dabasi Egyesített Óvodák</v>
      </c>
      <c r="C28" s="648" t="str">
        <f ca="1">HYPERLINK(SUBSTITUTE(CELL("address",KV_9.4.sz.mell!A1),"'",""),SUBSTITUTE(MID(CELL("address",KV_9.4.sz.mell!A1),SEARCH("]",CELL("address",KV_9.4.sz.mell!A1),1)+1,LEN(CELL("address",KV_9.4.sz.mell!A1))-SEARCH("]",CELL("address",KV_9.4.sz.mell!A1),1)),"'",""))</f>
        <v>KV_9.4.sz.mell!$A$1</v>
      </c>
    </row>
    <row r="29" spans="1:3">
      <c r="A29" s="583" t="s">
        <v>659</v>
      </c>
      <c r="B29" s="583" t="str">
        <f ca="1">CONCATENATE(ALAPADATOK!B17)</f>
        <v>Kossuth Művelődési Központ és Halász Boldizsár Városi Könyvtár</v>
      </c>
      <c r="C29" s="648" t="str">
        <f ca="1">HYPERLINK(SUBSTITUTE(CELL("address",KV_9.5.sz.mell!A1),"'",""),SUBSTITUTE(MID(CELL("address",KV_9.5.sz.mell!A1),SEARCH("]",CELL("address",KV_9.5.sz.mell!A1),1)+1,LEN(CELL("address",KV_9.5.sz.mell!A1))-SEARCH("]",CELL("address",KV_9.5.sz.mell!A1),1)),"'",""))</f>
        <v>KV_9.5.sz.mell!$A$1</v>
      </c>
    </row>
    <row r="30" spans="1:3">
      <c r="A30" s="583" t="s">
        <v>660</v>
      </c>
      <c r="B30" s="583" t="str">
        <f ca="1">CONCATENATE(ALAPADATOK!B19)</f>
        <v>Dr. Halász Géza Szakorvosi Rendelőintézet</v>
      </c>
      <c r="C30" s="648" t="str">
        <f ca="1">HYPERLINK(SUBSTITUTE(CELL("address",KV_9.6.sz.mell!A1),"'",""),SUBSTITUTE(MID(CELL("address",KV_9.6.sz.mell!A1),SEARCH("]",CELL("address",KV_9.6.sz.mell!A1),1)+1,LEN(CELL("address",KV_9.6.sz.mell!A1))-SEARCH("]",CELL("address",KV_9.6.sz.mell!A1),1)),"'",""))</f>
        <v>KV_9.6.sz.mell!$A$1</v>
      </c>
    </row>
    <row r="31" spans="1:3">
      <c r="A31" s="583" t="s">
        <v>661</v>
      </c>
      <c r="B31" s="583" t="str">
        <f ca="1">CONCATENATE(ALAPADATOK!B21)</f>
        <v>Dabasi Intézményfenntartó Központ</v>
      </c>
      <c r="C31" s="648" t="str">
        <f ca="1">HYPERLINK(SUBSTITUTE(CELL("address",KV_9.7.sz.mell!A1),"'",""),SUBSTITUTE(MID(CELL("address",KV_9.7.sz.mell!A1),SEARCH("]",CELL("address",KV_9.7.sz.mell!A1),1)+1,LEN(CELL("address",KV_9.7.sz.mell!A1))-SEARCH("]",CELL("address",KV_9.7.sz.mell!A1),1)),"'",""))</f>
        <v>KV_9.7.sz.mell!$A$1</v>
      </c>
    </row>
    <row r="32" spans="1:3">
      <c r="A32" s="583" t="s">
        <v>662</v>
      </c>
      <c r="B32" s="583" t="str">
        <f ca="1">CONCATENATE(ALAPADATOK!B23)</f>
        <v>6 kvi név</v>
      </c>
      <c r="C32" s="648" t="e">
        <f ca="1">HYPERLINK(SUBSTITUTE(CELL("address",#REF!),"'",""),SUBSTITUTE(MID(CELL("address",#REF!),SEARCH("]",CELL("address",#REF!),1)+1,LEN(CELL("address",#REF!))-SEARCH("]",CELL("address",#REF!),1)),"'",""))</f>
        <v>#REF!</v>
      </c>
    </row>
    <row r="33" spans="1:3">
      <c r="A33" s="583" t="s">
        <v>663</v>
      </c>
      <c r="B33" s="583" t="str">
        <f ca="1">CONCATENATE(ALAPADATOK!B25)</f>
        <v>7 kvi név</v>
      </c>
      <c r="C33" s="648" t="e">
        <f ca="1">HYPERLINK(SUBSTITUTE(CELL("address",#REF!),"'",""),SUBSTITUTE(MID(CELL("address",#REF!),SEARCH("]",CELL("address",#REF!),1)+1,LEN(CELL("address",#REF!))-SEARCH("]",CELL("address",#REF!),1)),"'",""))</f>
        <v>#REF!</v>
      </c>
    </row>
    <row r="34" spans="1:3">
      <c r="A34" s="583" t="s">
        <v>664</v>
      </c>
      <c r="B34" s="583" t="str">
        <f ca="1">CONCATENATE(ALAPADATOK!B27)</f>
        <v>8 kvi név</v>
      </c>
      <c r="C34" s="648" t="e">
        <f ca="1">HYPERLINK(SUBSTITUTE(CELL("address",#REF!),"'",""),SUBSTITUTE(MID(CELL("address",#REF!),SEARCH("]",CELL("address",#REF!),1)+1,LEN(CELL("address",#REF!))-SEARCH("]",CELL("address",#REF!),1)),"'",""))</f>
        <v>#REF!</v>
      </c>
    </row>
    <row r="35" spans="1:3">
      <c r="A35" s="583" t="s">
        <v>665</v>
      </c>
      <c r="B35" s="583" t="str">
        <f ca="1">CONCATENATE(ALAPADATOK!B29)</f>
        <v>9 kvi név</v>
      </c>
      <c r="C35" s="648" t="e">
        <f ca="1">HYPERLINK(SUBSTITUTE(CELL("address",#REF!),"'",""),SUBSTITUTE(MID(CELL("address",#REF!),SEARCH("]",CELL("address",#REF!),1)+1,LEN(CELL("address",#REF!))-SEARCH("]",CELL("address",#REF!),1)),"'",""))</f>
        <v>#REF!</v>
      </c>
    </row>
    <row r="36" spans="1:3">
      <c r="A36" s="583" t="s">
        <v>666</v>
      </c>
      <c r="B36" s="583" t="str">
        <f ca="1">CONCATENATE(ALAPADATOK!B31)</f>
        <v>10 kvi név</v>
      </c>
      <c r="C36" s="648" t="e">
        <f ca="1">HYPERLINK(SUBSTITUTE(CELL("address",#REF!),"'",""),SUBSTITUTE(MID(CELL("address",#REF!),SEARCH("]",CELL("address",#REF!),1)+1,LEN(CELL("address",#REF!))-SEARCH("]",CELL("address",#REF!),1)),"'",""))</f>
        <v>#REF!</v>
      </c>
    </row>
    <row r="37" spans="1:3">
      <c r="A37" s="583" t="s">
        <v>667</v>
      </c>
      <c r="B37" s="583" t="s">
        <v>675</v>
      </c>
      <c r="C37" s="648" t="str">
        <f ca="1">HYPERLINK(SUBSTITUTE(CELL("address",KV_10.sz.mell!A1),"'",""),SUBSTITUTE(MID(CELL("address",KV_10.sz.mell!A1),SEARCH("]",CELL("address",KV_10.sz.mell!A1),1)+1,LEN(CELL("address",KV_10.sz.mell!A1))-SEARCH("]",CELL("address",KV_10.sz.mell!A1),1)),"'",""))</f>
        <v>KV_10.sz.mell!$A$1</v>
      </c>
    </row>
    <row r="38" spans="1:3">
      <c r="A38" s="583" t="s">
        <v>668</v>
      </c>
      <c r="B38" s="583" t="s">
        <v>603</v>
      </c>
      <c r="C38" s="648" t="str">
        <f ca="1">HYPERLINK(SUBSTITUTE(CELL("address",KV_1.sz.tájékoztató_t.!A1),"'",""),SUBSTITUTE(MID(CELL("address",KV_1.sz.tájékoztató_t.!A1),SEARCH("]",CELL("address",KV_1.sz.tájékoztató_t.!A1),1)+1,LEN(CELL("address",KV_1.sz.tájékoztató_t.!A1))-SEARCH("]",CELL("address",KV_1.sz.tájékoztató_t.!A1),1)),"'",""))</f>
        <v>KV_1.sz.tájékoztató_t.!$A$1</v>
      </c>
    </row>
    <row r="39" spans="1:3" ht="25.5">
      <c r="A39" s="583" t="s">
        <v>669</v>
      </c>
      <c r="B39" s="649" t="s">
        <v>4</v>
      </c>
      <c r="C39" s="648" t="str">
        <f ca="1">HYPERLINK(SUBSTITUTE(CELL("address",KV_2.sz.tájékoztató_t.!A1),"'",""),SUBSTITUTE(MID(CELL("address",KV_2.sz.tájékoztató_t.!A1),SEARCH("]",CELL("address",KV_2.sz.tájékoztató_t.!A1),1)+1,LEN(CELL("address",KV_2.sz.tájékoztató_t.!A1))-SEARCH("]",CELL("address",KV_2.sz.tájékoztató_t.!A1),1)),"'",""))</f>
        <v>KV_2.sz.tájékoztató_t.!$A$1</v>
      </c>
    </row>
    <row r="40" spans="1:3">
      <c r="A40" s="583" t="s">
        <v>670</v>
      </c>
      <c r="B40" s="583" t="s">
        <v>676</v>
      </c>
      <c r="C40" s="648" t="str">
        <f ca="1">HYPERLINK(SUBSTITUTE(CELL("address",KV_3.sz.tájékoztató_t.!A1),"'",""),SUBSTITUTE(MID(CELL("address",KV_3.sz.tájékoztató_t.!A1),SEARCH("]",CELL("address",KV_3.sz.tájékoztató_t.!A1),1)+1,LEN(CELL("address",KV_3.sz.tájékoztató_t.!A1))-SEARCH("]",CELL("address",KV_3.sz.tájékoztató_t.!A1),1)),"'",""))</f>
        <v>KV_3.sz.tájékoztató_t.!$A$1</v>
      </c>
    </row>
    <row r="41" spans="1:3">
      <c r="A41" s="583" t="s">
        <v>671</v>
      </c>
      <c r="B41" s="583" t="s">
        <v>677</v>
      </c>
      <c r="C41" s="648" t="str">
        <f ca="1">HYPERLINK(SUBSTITUTE(CELL("address",KV_4.sz.tájékoztató_t.!A1),"'",""),SUBSTITUTE(MID(CELL("address",KV_4.sz.tájékoztató_t.!A1),SEARCH("]",CELL("address",KV_4.sz.tájékoztató_t.!A1),1)+1,LEN(CELL("address",KV_4.sz.tájékoztató_t.!A1))-SEARCH("]",CELL("address",KV_4.sz.tájékoztató_t.!A1),1)),"'",""))</f>
        <v>KV_4.sz.tájékoztató_t.!$A$1</v>
      </c>
    </row>
    <row r="42" spans="1:3">
      <c r="A42" s="583" t="s">
        <v>672</v>
      </c>
      <c r="B42" s="583" t="s">
        <v>678</v>
      </c>
      <c r="C42" s="648" t="str">
        <f ca="1">HYPERLINK(SUBSTITUTE(CELL("address",KV_5.sz.tájékoztató_t!A1),"'",""),SUBSTITUTE(MID(CELL("address",KV_5.sz.tájékoztató_t!A1),SEARCH("]",CELL("address",KV_5.sz.tájékoztató_t!A1),1)+1,LEN(CELL("address",KV_5.sz.tájékoztató_t!A1))-SEARCH("]",CELL("address",KV_5.sz.tájékoztató_t!A1),1)),"'",""))</f>
        <v>KV_5.sz.tájékoztató_t!$A$1</v>
      </c>
    </row>
    <row r="43" spans="1:3">
      <c r="A43" s="583" t="s">
        <v>673</v>
      </c>
      <c r="B43" s="583" t="s">
        <v>679</v>
      </c>
      <c r="C43" s="648" t="str">
        <f ca="1">HYPERLINK(SUBSTITUTE(CELL("address",KV_6.sz.tájékoztató_t.!A1),"'",""),SUBSTITUTE(MID(CELL("address",KV_6.sz.tájékoztató_t.!A1),SEARCH("]",CELL("address",KV_6.sz.tájékoztató_t.!A1),1)+1,LEN(CELL("address",KV_6.sz.tájékoztató_t.!A1))-SEARCH("]",CELL("address",KV_6.sz.tájékoztató_t.!A1),1)),"'",""))</f>
        <v>KV_6.sz.tájékoztató_t.!$A$1</v>
      </c>
    </row>
    <row r="44" spans="1:3">
      <c r="A44" s="583" t="s">
        <v>674</v>
      </c>
      <c r="B44" s="583" t="s">
        <v>680</v>
      </c>
      <c r="C44" s="648" t="str">
        <f ca="1">HYPERLINK(SUBSTITUTE(CELL("address",KV_7.sz.tájékoztató_t.!A1),"'",""),SUBSTITUTE(MID(CELL("address",KV_7.sz.tájékoztató_t.!A1),SEARCH("]",CELL("address",KV_7.sz.tájékoztató_t.!A1),1)+1,LEN(CELL("address",KV_7.sz.tájékoztató_t.!A1))-SEARCH("]",CELL("address",KV_7.sz.tájékoztató_t.!A1),1)),"'",""))</f>
        <v>KV_7.sz.tájékoztató_t.!$A$1</v>
      </c>
    </row>
    <row r="45" spans="1:3">
      <c r="A45" s="583"/>
      <c r="B45" s="583"/>
      <c r="C45" s="648"/>
    </row>
    <row r="46" spans="1:3" ht="18.75">
      <c r="A46" s="808"/>
      <c r="B46" s="808"/>
      <c r="C46" s="808"/>
    </row>
    <row r="47" spans="1:3">
      <c r="A47" s="583"/>
      <c r="B47" s="583"/>
      <c r="C47" s="583"/>
    </row>
    <row r="48" spans="1:3">
      <c r="A48" s="583"/>
      <c r="B48" s="583"/>
      <c r="C48" s="583"/>
    </row>
    <row r="49" spans="1:3">
      <c r="A49" s="583"/>
      <c r="B49" s="583"/>
      <c r="C49" s="583"/>
    </row>
    <row r="50" spans="1:3">
      <c r="A50" s="583"/>
      <c r="B50" s="583"/>
      <c r="C50" s="583"/>
    </row>
    <row r="51" spans="1:3">
      <c r="A51" s="583"/>
      <c r="B51" s="583"/>
      <c r="C51" s="583"/>
    </row>
    <row r="52" spans="1:3">
      <c r="A52" s="583"/>
      <c r="B52" s="583"/>
      <c r="C52" s="583"/>
    </row>
    <row r="53" spans="1:3">
      <c r="A53" s="583"/>
      <c r="B53" s="583"/>
      <c r="C53" s="583"/>
    </row>
    <row r="54" spans="1:3">
      <c r="A54" s="583"/>
      <c r="B54" s="583"/>
      <c r="C54" s="583"/>
    </row>
    <row r="55" spans="1:3">
      <c r="A55" s="583"/>
      <c r="B55" s="583"/>
      <c r="C55" s="583"/>
    </row>
    <row r="56" spans="1:3">
      <c r="A56" s="583"/>
      <c r="B56" s="583"/>
      <c r="C56" s="583"/>
    </row>
    <row r="57" spans="1:3">
      <c r="A57" s="583"/>
      <c r="B57" s="583"/>
      <c r="C57" s="583"/>
    </row>
    <row r="58" spans="1:3">
      <c r="A58" s="583"/>
      <c r="B58" s="583"/>
      <c r="C58" s="583"/>
    </row>
    <row r="59" spans="1:3">
      <c r="A59" s="583"/>
      <c r="B59" s="583"/>
      <c r="C59" s="583"/>
    </row>
    <row r="60" spans="1:3">
      <c r="A60" s="583"/>
      <c r="B60" s="583"/>
      <c r="C60" s="583"/>
    </row>
    <row r="61" spans="1:3" ht="33.75" customHeight="1">
      <c r="A61" s="809"/>
      <c r="B61" s="810"/>
      <c r="C61" s="810"/>
    </row>
    <row r="62" spans="1:3">
      <c r="A62" s="583"/>
      <c r="B62" s="583"/>
      <c r="C62" s="583"/>
    </row>
    <row r="63" spans="1:3">
      <c r="A63" s="583"/>
      <c r="B63" s="583"/>
      <c r="C63" s="583"/>
    </row>
    <row r="64" spans="1:3">
      <c r="A64" s="583"/>
      <c r="B64" s="583"/>
      <c r="C64" s="583"/>
    </row>
    <row r="65" spans="1:3">
      <c r="A65" s="583"/>
      <c r="B65" s="583"/>
      <c r="C65" s="583"/>
    </row>
    <row r="66" spans="1:3">
      <c r="A66" s="583"/>
      <c r="B66" s="583"/>
      <c r="C66" s="583"/>
    </row>
    <row r="67" spans="1:3">
      <c r="A67" s="583"/>
      <c r="B67" s="583"/>
      <c r="C67" s="583"/>
    </row>
    <row r="68" spans="1:3">
      <c r="A68" s="583"/>
      <c r="B68" s="583"/>
      <c r="C68" s="583"/>
    </row>
    <row r="69" spans="1:3">
      <c r="A69" s="583"/>
      <c r="B69" s="583"/>
      <c r="C69" s="583"/>
    </row>
    <row r="70" spans="1:3">
      <c r="A70" s="583"/>
      <c r="B70" s="583"/>
      <c r="C70" s="583"/>
    </row>
    <row r="71" spans="1:3">
      <c r="A71" s="583"/>
      <c r="B71" s="583"/>
      <c r="C71" s="583"/>
    </row>
    <row r="72" spans="1:3">
      <c r="A72" s="583"/>
      <c r="B72" s="583"/>
      <c r="C72" s="583"/>
    </row>
    <row r="73" spans="1:3">
      <c r="A73" s="583"/>
      <c r="B73" s="583"/>
      <c r="C73" s="583"/>
    </row>
    <row r="74" spans="1:3">
      <c r="A74" s="583"/>
      <c r="B74" s="583"/>
      <c r="C74" s="583"/>
    </row>
    <row r="75" spans="1:3">
      <c r="A75" s="583"/>
      <c r="B75" s="583"/>
      <c r="C75" s="583"/>
    </row>
    <row r="76" spans="1:3">
      <c r="A76" s="583"/>
      <c r="B76" s="583"/>
      <c r="C76" s="583"/>
    </row>
    <row r="77" spans="1:3">
      <c r="A77" s="583"/>
      <c r="B77" s="583"/>
      <c r="C77" s="583"/>
    </row>
    <row r="78" spans="1:3">
      <c r="A78" s="583"/>
      <c r="B78" s="583"/>
      <c r="C78" s="583"/>
    </row>
    <row r="79" spans="1:3">
      <c r="A79" s="583"/>
      <c r="B79" s="583"/>
      <c r="C79" s="583"/>
    </row>
    <row r="81" spans="1:3" ht="18.75">
      <c r="A81" s="808"/>
      <c r="B81" s="808"/>
      <c r="C81" s="808"/>
    </row>
    <row r="103" spans="1:3" ht="18.75">
      <c r="A103" s="808"/>
      <c r="B103" s="808"/>
      <c r="C103" s="808"/>
    </row>
  </sheetData>
  <sheetProtection sheet="1"/>
  <mergeCells count="6">
    <mergeCell ref="A2:C2"/>
    <mergeCell ref="A6:C6"/>
    <mergeCell ref="A46:C46"/>
    <mergeCell ref="A61:C61"/>
    <mergeCell ref="A81:C81"/>
    <mergeCell ref="A103:C103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3"/>
  <sheetViews>
    <sheetView zoomScale="120" zoomScaleNormal="120" workbookViewId="0">
      <selection activeCell="L16" sqref="L16"/>
    </sheetView>
  </sheetViews>
  <sheetFormatPr defaultRowHeight="12.75"/>
  <cols>
    <col min="1" max="1" width="33.5" customWidth="1"/>
    <col min="2" max="2" width="18.83203125" customWidth="1"/>
    <col min="3" max="3" width="1.83203125" bestFit="1" customWidth="1"/>
    <col min="4" max="4" width="5.5" bestFit="1" customWidth="1"/>
    <col min="5" max="5" width="1.83203125" bestFit="1" customWidth="1"/>
    <col min="6" max="6" width="11" customWidth="1"/>
  </cols>
  <sheetData>
    <row r="1" spans="1:11" ht="18.75">
      <c r="A1" s="811" t="s">
        <v>587</v>
      </c>
      <c r="B1" s="811"/>
      <c r="C1" s="811"/>
      <c r="D1" s="811"/>
      <c r="E1" s="811"/>
      <c r="F1" s="811"/>
      <c r="G1" s="811"/>
      <c r="H1" s="811"/>
      <c r="I1" s="811"/>
      <c r="J1" s="811"/>
    </row>
    <row r="3" spans="1:11" ht="15.75">
      <c r="A3" s="814" t="s">
        <v>688</v>
      </c>
      <c r="B3" s="815"/>
      <c r="C3" s="815"/>
      <c r="D3" s="815"/>
      <c r="E3" s="815"/>
      <c r="F3" s="815"/>
      <c r="G3" s="656"/>
      <c r="H3" s="656"/>
      <c r="I3" s="656"/>
    </row>
    <row r="6" spans="1:11" ht="15">
      <c r="A6" s="573" t="s">
        <v>683</v>
      </c>
    </row>
    <row r="7" spans="1:11">
      <c r="A7" s="662" t="s">
        <v>657</v>
      </c>
      <c r="B7" s="683" t="s">
        <v>656</v>
      </c>
      <c r="C7" s="663" t="s">
        <v>653</v>
      </c>
      <c r="D7" s="663">
        <v>2019</v>
      </c>
      <c r="E7" s="663" t="s">
        <v>654</v>
      </c>
      <c r="F7" s="683" t="s">
        <v>656</v>
      </c>
      <c r="G7" s="663" t="s">
        <v>655</v>
      </c>
      <c r="H7" s="663" t="s">
        <v>658</v>
      </c>
      <c r="I7" s="663"/>
      <c r="J7" s="663"/>
      <c r="K7" s="663"/>
    </row>
    <row r="8" spans="1:11">
      <c r="A8" s="590"/>
      <c r="B8" s="589"/>
      <c r="F8" s="589"/>
    </row>
    <row r="9" spans="1:11">
      <c r="A9" s="590"/>
      <c r="B9" s="589"/>
      <c r="F9" s="589"/>
    </row>
    <row r="11" spans="1:11" ht="15.75">
      <c r="A11" s="814" t="s">
        <v>745</v>
      </c>
      <c r="B11" s="815"/>
      <c r="C11" s="815"/>
      <c r="D11" s="815"/>
      <c r="E11" s="815"/>
      <c r="F11" s="815"/>
      <c r="G11" s="815"/>
      <c r="H11" s="816"/>
      <c r="I11" s="816"/>
      <c r="J11" s="816"/>
    </row>
    <row r="13" spans="1:11" ht="14.25">
      <c r="A13" s="585" t="s">
        <v>589</v>
      </c>
      <c r="B13" s="812" t="s">
        <v>689</v>
      </c>
      <c r="C13" s="813"/>
      <c r="D13" s="813"/>
      <c r="E13" s="813"/>
      <c r="F13" s="813"/>
      <c r="G13" s="813"/>
      <c r="H13" s="813"/>
      <c r="I13" s="813"/>
      <c r="J13" s="813"/>
    </row>
    <row r="14" spans="1:11" ht="14.25">
      <c r="B14" s="657"/>
      <c r="C14" s="656"/>
      <c r="D14" s="656"/>
      <c r="E14" s="656"/>
      <c r="F14" s="656"/>
      <c r="G14" s="656"/>
      <c r="H14" s="656"/>
      <c r="I14" s="656"/>
      <c r="J14" s="656"/>
    </row>
    <row r="15" spans="1:11" ht="14.25">
      <c r="A15" s="585" t="s">
        <v>590</v>
      </c>
      <c r="B15" s="812" t="s">
        <v>690</v>
      </c>
      <c r="C15" s="813"/>
      <c r="D15" s="813"/>
      <c r="E15" s="813"/>
      <c r="F15" s="813"/>
      <c r="G15" s="813"/>
      <c r="H15" s="813"/>
      <c r="I15" s="813"/>
      <c r="J15" s="813"/>
    </row>
    <row r="16" spans="1:11" ht="14.25">
      <c r="B16" s="657"/>
      <c r="C16" s="656"/>
      <c r="D16" s="656"/>
      <c r="E16" s="656"/>
      <c r="F16" s="656"/>
      <c r="G16" s="656"/>
      <c r="H16" s="656"/>
      <c r="I16" s="656"/>
      <c r="J16" s="656"/>
    </row>
    <row r="17" spans="1:10" ht="14.25">
      <c r="A17" s="585" t="s">
        <v>591</v>
      </c>
      <c r="B17" s="812" t="s">
        <v>691</v>
      </c>
      <c r="C17" s="813"/>
      <c r="D17" s="813"/>
      <c r="E17" s="813"/>
      <c r="F17" s="813"/>
      <c r="G17" s="813"/>
      <c r="H17" s="813"/>
      <c r="I17" s="813"/>
      <c r="J17" s="813"/>
    </row>
    <row r="18" spans="1:10" ht="14.25">
      <c r="B18" s="657"/>
      <c r="C18" s="656"/>
      <c r="D18" s="656"/>
      <c r="E18" s="656"/>
      <c r="F18" s="656"/>
      <c r="G18" s="656"/>
      <c r="H18" s="656"/>
      <c r="I18" s="656"/>
      <c r="J18" s="656"/>
    </row>
    <row r="19" spans="1:10" ht="14.25">
      <c r="A19" s="585" t="s">
        <v>592</v>
      </c>
      <c r="B19" s="812" t="s">
        <v>692</v>
      </c>
      <c r="C19" s="813"/>
      <c r="D19" s="813"/>
      <c r="E19" s="813"/>
      <c r="F19" s="813"/>
      <c r="G19" s="813"/>
      <c r="H19" s="813"/>
      <c r="I19" s="813"/>
      <c r="J19" s="813"/>
    </row>
    <row r="20" spans="1:10" ht="14.25">
      <c r="B20" s="657"/>
      <c r="C20" s="656"/>
      <c r="D20" s="656"/>
      <c r="E20" s="656"/>
      <c r="F20" s="656"/>
      <c r="G20" s="656"/>
      <c r="H20" s="656"/>
      <c r="I20" s="656"/>
      <c r="J20" s="656"/>
    </row>
    <row r="21" spans="1:10" ht="14.25">
      <c r="A21" s="585" t="s">
        <v>593</v>
      </c>
      <c r="B21" s="812" t="s">
        <v>693</v>
      </c>
      <c r="C21" s="813"/>
      <c r="D21" s="813"/>
      <c r="E21" s="813"/>
      <c r="F21" s="813"/>
      <c r="G21" s="813"/>
      <c r="H21" s="813"/>
      <c r="I21" s="813"/>
      <c r="J21" s="813"/>
    </row>
    <row r="22" spans="1:10" ht="14.25">
      <c r="B22" s="657"/>
      <c r="C22" s="656"/>
      <c r="D22" s="656"/>
      <c r="E22" s="656"/>
      <c r="F22" s="656"/>
      <c r="G22" s="656"/>
      <c r="H22" s="656"/>
      <c r="I22" s="656"/>
      <c r="J22" s="656"/>
    </row>
    <row r="23" spans="1:10" ht="14.25">
      <c r="A23" s="585" t="s">
        <v>594</v>
      </c>
      <c r="B23" s="812" t="s">
        <v>598</v>
      </c>
      <c r="C23" s="813"/>
      <c r="D23" s="813"/>
      <c r="E23" s="813"/>
      <c r="F23" s="813"/>
      <c r="G23" s="813"/>
      <c r="H23" s="813"/>
      <c r="I23" s="813"/>
      <c r="J23" s="813"/>
    </row>
    <row r="24" spans="1:10" ht="14.25">
      <c r="B24" s="657"/>
      <c r="C24" s="656"/>
      <c r="D24" s="656"/>
      <c r="E24" s="656"/>
      <c r="F24" s="656"/>
      <c r="G24" s="656"/>
      <c r="H24" s="656"/>
      <c r="I24" s="656"/>
      <c r="J24" s="656"/>
    </row>
    <row r="25" spans="1:10" ht="14.25">
      <c r="A25" s="585" t="s">
        <v>595</v>
      </c>
      <c r="B25" s="812" t="s">
        <v>599</v>
      </c>
      <c r="C25" s="813"/>
      <c r="D25" s="813"/>
      <c r="E25" s="813"/>
      <c r="F25" s="813"/>
      <c r="G25" s="813"/>
      <c r="H25" s="813"/>
      <c r="I25" s="813"/>
      <c r="J25" s="813"/>
    </row>
    <row r="26" spans="1:10" ht="14.25">
      <c r="B26" s="657"/>
      <c r="C26" s="656"/>
      <c r="D26" s="656"/>
      <c r="E26" s="656"/>
      <c r="F26" s="656"/>
      <c r="G26" s="656"/>
      <c r="H26" s="656"/>
      <c r="I26" s="656"/>
      <c r="J26" s="656"/>
    </row>
    <row r="27" spans="1:10" ht="14.25">
      <c r="A27" s="585" t="s">
        <v>596</v>
      </c>
      <c r="B27" s="812" t="s">
        <v>600</v>
      </c>
      <c r="C27" s="813"/>
      <c r="D27" s="813"/>
      <c r="E27" s="813"/>
      <c r="F27" s="813"/>
      <c r="G27" s="813"/>
      <c r="H27" s="813"/>
      <c r="I27" s="813"/>
      <c r="J27" s="813"/>
    </row>
    <row r="28" spans="1:10" ht="14.25">
      <c r="B28" s="657"/>
      <c r="C28" s="656"/>
      <c r="D28" s="656"/>
      <c r="E28" s="656"/>
      <c r="F28" s="656"/>
      <c r="G28" s="656"/>
      <c r="H28" s="656"/>
      <c r="I28" s="656"/>
      <c r="J28" s="656"/>
    </row>
    <row r="29" spans="1:10" ht="14.25">
      <c r="A29" s="585" t="s">
        <v>596</v>
      </c>
      <c r="B29" s="812" t="s">
        <v>601</v>
      </c>
      <c r="C29" s="813"/>
      <c r="D29" s="813"/>
      <c r="E29" s="813"/>
      <c r="F29" s="813"/>
      <c r="G29" s="813"/>
      <c r="H29" s="813"/>
      <c r="I29" s="813"/>
      <c r="J29" s="813"/>
    </row>
    <row r="30" spans="1:10" ht="14.25">
      <c r="B30" s="657"/>
      <c r="C30" s="656"/>
      <c r="D30" s="656"/>
      <c r="E30" s="656"/>
      <c r="F30" s="656"/>
      <c r="G30" s="656"/>
      <c r="H30" s="656"/>
      <c r="I30" s="656"/>
      <c r="J30" s="656"/>
    </row>
    <row r="31" spans="1:10" ht="14.25">
      <c r="A31" s="585" t="s">
        <v>597</v>
      </c>
      <c r="B31" s="812" t="s">
        <v>602</v>
      </c>
      <c r="C31" s="813"/>
      <c r="D31" s="813"/>
      <c r="E31" s="813"/>
      <c r="F31" s="813"/>
      <c r="G31" s="813"/>
      <c r="H31" s="813"/>
      <c r="I31" s="813"/>
      <c r="J31" s="813"/>
    </row>
    <row r="33" spans="1:1" ht="14.25">
      <c r="A33" s="585"/>
    </row>
  </sheetData>
  <mergeCells count="13">
    <mergeCell ref="B31:J31"/>
    <mergeCell ref="A3:F3"/>
    <mergeCell ref="B13:J13"/>
    <mergeCell ref="B15:J15"/>
    <mergeCell ref="B17:J17"/>
    <mergeCell ref="B19:J19"/>
    <mergeCell ref="A11:J11"/>
    <mergeCell ref="A1:J1"/>
    <mergeCell ref="B21:J21"/>
    <mergeCell ref="B23:J23"/>
    <mergeCell ref="B25:J25"/>
    <mergeCell ref="B27:J27"/>
    <mergeCell ref="B29:J29"/>
  </mergeCells>
  <phoneticPr fontId="29" type="noConversion"/>
  <dataValidations count="1">
    <dataValidation type="list" allowBlank="1" showInputMessage="1" showErrorMessage="1" sqref="A6">
      <formula1>",Előterjesztéskor,Jóváhagyás után"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A2:B16"/>
  <sheetViews>
    <sheetView zoomScale="120" zoomScaleNormal="120" workbookViewId="0">
      <selection activeCell="C39" sqref="C39"/>
    </sheetView>
  </sheetViews>
  <sheetFormatPr defaultRowHeight="12.75"/>
  <cols>
    <col min="1" max="1" width="48.5" customWidth="1"/>
    <col min="2" max="2" width="73.5" customWidth="1"/>
    <col min="3" max="3" width="16.83203125" customWidth="1"/>
  </cols>
  <sheetData>
    <row r="2" spans="1:2" ht="15.75">
      <c r="A2" s="624" t="s">
        <v>151</v>
      </c>
    </row>
    <row r="4" spans="1:2">
      <c r="A4" s="130"/>
      <c r="B4" s="130"/>
    </row>
    <row r="5" spans="1:2" s="141" customFormat="1" ht="15.75">
      <c r="A5" s="79" t="s">
        <v>579</v>
      </c>
      <c r="B5" s="140"/>
    </row>
    <row r="6" spans="1:2">
      <c r="A6" s="130"/>
      <c r="B6" s="130"/>
    </row>
    <row r="7" spans="1:2">
      <c r="A7" s="130" t="s">
        <v>544</v>
      </c>
      <c r="B7" s="130" t="s">
        <v>487</v>
      </c>
    </row>
    <row r="8" spans="1:2">
      <c r="A8" s="130" t="s">
        <v>545</v>
      </c>
      <c r="B8" s="130" t="s">
        <v>488</v>
      </c>
    </row>
    <row r="9" spans="1:2">
      <c r="A9" s="130" t="s">
        <v>546</v>
      </c>
      <c r="B9" s="130" t="s">
        <v>489</v>
      </c>
    </row>
    <row r="10" spans="1:2">
      <c r="A10" s="130"/>
      <c r="B10" s="130"/>
    </row>
    <row r="11" spans="1:2">
      <c r="A11" s="130"/>
      <c r="B11" s="130"/>
    </row>
    <row r="12" spans="1:2" s="141" customFormat="1" ht="15.75">
      <c r="A12" s="79" t="str">
        <f>+CONCATENATE(LEFT(A5,4),". évi előirányzat KIADÁSOK")</f>
        <v>2019. évi előirányzat KIADÁSOK</v>
      </c>
      <c r="B12" s="140"/>
    </row>
    <row r="13" spans="1:2">
      <c r="A13" s="130"/>
      <c r="B13" s="130"/>
    </row>
    <row r="14" spans="1:2">
      <c r="A14" s="130" t="s">
        <v>547</v>
      </c>
      <c r="B14" s="130" t="s">
        <v>490</v>
      </c>
    </row>
    <row r="15" spans="1:2">
      <c r="A15" s="130" t="s">
        <v>548</v>
      </c>
      <c r="B15" s="130" t="s">
        <v>491</v>
      </c>
    </row>
    <row r="16" spans="1:2">
      <c r="A16" s="130" t="s">
        <v>549</v>
      </c>
      <c r="B16" s="130" t="s">
        <v>492</v>
      </c>
    </row>
  </sheetData>
  <sheetProtection sheet="1"/>
  <phoneticPr fontId="29" type="noConversion"/>
  <pageMargins left="1.0629921259842521" right="1.0236220472440944" top="0.78740157480314965" bottom="0.78740157480314965" header="0.70866141732283472" footer="0.7086614173228347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Munka2">
    <tabColor rgb="FF92D050"/>
    <pageSetUpPr fitToPage="1"/>
  </sheetPr>
  <dimension ref="A1:K164"/>
  <sheetViews>
    <sheetView tabSelected="1" topLeftCell="A58" zoomScale="120" zoomScaleNormal="120" zoomScaleSheetLayoutView="100" workbookViewId="0">
      <selection activeCell="J119" sqref="J119"/>
    </sheetView>
  </sheetViews>
  <sheetFormatPr defaultRowHeight="15.75"/>
  <cols>
    <col min="1" max="1" width="9.5" style="374" customWidth="1"/>
    <col min="2" max="2" width="99.33203125" style="374" customWidth="1"/>
    <col min="3" max="3" width="17" style="375" customWidth="1"/>
    <col min="4" max="4" width="15.83203125" style="375" customWidth="1"/>
    <col min="5" max="5" width="18.5" style="375" customWidth="1"/>
    <col min="6" max="6" width="15.83203125" style="406" customWidth="1"/>
    <col min="7" max="7" width="16.1640625" style="406" customWidth="1"/>
    <col min="8" max="8" width="16" style="406" customWidth="1"/>
    <col min="9" max="9" width="14.6640625" style="406" customWidth="1"/>
    <col min="10" max="10" width="14.1640625" style="406" customWidth="1"/>
    <col min="11" max="11" width="14.6640625" style="406" customWidth="1"/>
    <col min="12" max="16384" width="9.33203125" style="406"/>
  </cols>
  <sheetData>
    <row r="1" spans="1:11" ht="18.75" customHeight="1">
      <c r="A1" s="625"/>
      <c r="B1" s="817" t="str">
        <f ca="1">CONCATENATE("1.1. melléklet ",ALAPADATOK!A7," ",ALAPADATOK!B7," ",ALAPADATOK!C7," ",ALAPADATOK!D7," ",ALAPADATOK!E7," ",ALAPADATOK!F7," ",ALAPADATOK!G7," ",ALAPADATOK!H7)</f>
        <v>1.1. melléklet a … / 2019 ( … ) önkormányzati rendelethez</v>
      </c>
      <c r="C1" s="818"/>
      <c r="D1" s="406"/>
      <c r="E1" s="406"/>
    </row>
    <row r="2" spans="1:11" ht="21.95" customHeight="1">
      <c r="A2" s="626"/>
      <c r="B2" s="627" t="str">
        <f ca="1">CONCATENATE(ALAPADATOK!A3)</f>
        <v>DABAS ÖNKORMÁNYZATA</v>
      </c>
      <c r="C2" s="628"/>
      <c r="D2" s="628"/>
      <c r="E2" s="628"/>
    </row>
    <row r="3" spans="1:11" ht="21.95" customHeight="1">
      <c r="A3" s="628"/>
      <c r="B3" s="627" t="s">
        <v>580</v>
      </c>
      <c r="C3" s="628"/>
      <c r="D3" s="628"/>
      <c r="E3" s="628"/>
    </row>
    <row r="4" spans="1:11" ht="21.95" customHeight="1">
      <c r="A4" s="628"/>
      <c r="B4" s="627" t="s">
        <v>581</v>
      </c>
      <c r="C4" s="628"/>
      <c r="D4" s="628"/>
      <c r="E4" s="628"/>
    </row>
    <row r="5" spans="1:11" ht="21.95" customHeight="1">
      <c r="A5" s="625"/>
      <c r="B5" s="625"/>
      <c r="C5" s="629"/>
      <c r="D5" s="629"/>
      <c r="E5" s="629"/>
    </row>
    <row r="6" spans="1:11" ht="15.2" customHeight="1">
      <c r="A6" s="819" t="s">
        <v>15</v>
      </c>
      <c r="B6" s="819"/>
      <c r="C6" s="819"/>
      <c r="D6" s="406"/>
      <c r="E6" s="406"/>
    </row>
    <row r="7" spans="1:11" ht="15.2" customHeight="1" thickBot="1">
      <c r="A7" s="820" t="s">
        <v>152</v>
      </c>
      <c r="B7" s="820"/>
      <c r="C7" s="574"/>
      <c r="D7" s="574"/>
      <c r="E7" s="574" t="s">
        <v>564</v>
      </c>
    </row>
    <row r="8" spans="1:11" ht="24" customHeight="1" thickBot="1">
      <c r="A8" s="630" t="s">
        <v>69</v>
      </c>
      <c r="B8" s="631" t="s">
        <v>17</v>
      </c>
      <c r="C8" s="632" t="str">
        <f ca="1">+CONCATENATE(LEFT(KV_ÖSSZEFÜGGÉSEK!A5,4),". évi előirányzat")</f>
        <v>2019. évi előirányzat</v>
      </c>
      <c r="D8" s="796" t="s">
        <v>742</v>
      </c>
      <c r="E8" s="557" t="s">
        <v>741</v>
      </c>
      <c r="F8" s="796" t="s">
        <v>786</v>
      </c>
      <c r="G8" s="557" t="s">
        <v>741</v>
      </c>
      <c r="H8" s="796" t="s">
        <v>813</v>
      </c>
      <c r="I8" s="557" t="s">
        <v>741</v>
      </c>
      <c r="J8" s="796" t="s">
        <v>843</v>
      </c>
      <c r="K8" s="557" t="s">
        <v>741</v>
      </c>
    </row>
    <row r="9" spans="1:11" s="407" customFormat="1" ht="12" customHeight="1" thickBot="1">
      <c r="A9" s="558"/>
      <c r="B9" s="559" t="s">
        <v>493</v>
      </c>
      <c r="C9" s="560" t="s">
        <v>494</v>
      </c>
      <c r="D9" s="560" t="s">
        <v>495</v>
      </c>
      <c r="E9" s="560" t="s">
        <v>497</v>
      </c>
      <c r="F9" s="560" t="s">
        <v>495</v>
      </c>
      <c r="G9" s="560" t="s">
        <v>497</v>
      </c>
      <c r="H9" s="560" t="s">
        <v>495</v>
      </c>
      <c r="I9" s="560" t="s">
        <v>497</v>
      </c>
      <c r="J9" s="560" t="s">
        <v>495</v>
      </c>
      <c r="K9" s="560" t="s">
        <v>497</v>
      </c>
    </row>
    <row r="10" spans="1:11" s="408" customFormat="1" ht="12" customHeight="1" thickBot="1">
      <c r="A10" s="20" t="s">
        <v>18</v>
      </c>
      <c r="B10" s="21" t="s">
        <v>252</v>
      </c>
      <c r="C10" s="290">
        <f>+C11+C12+C13+C14+C15+C16</f>
        <v>905656407</v>
      </c>
      <c r="D10" s="290">
        <f>+D11+D12+D13+D14+D15+D16</f>
        <v>0</v>
      </c>
      <c r="E10" s="290">
        <f t="shared" ref="E10:E22" si="0">SUM(C10+D10)</f>
        <v>905656407</v>
      </c>
      <c r="F10" s="290">
        <f>+F11+F12+F13+F14+F15+F16</f>
        <v>27348337</v>
      </c>
      <c r="G10" s="290">
        <f t="shared" ref="G10:G22" si="1">SUM(E10+F10)</f>
        <v>933004744</v>
      </c>
      <c r="H10" s="290">
        <f>+H11+H12+H13+H14+H15+H16</f>
        <v>0</v>
      </c>
      <c r="I10" s="290">
        <f t="shared" ref="I10:I22" si="2">SUM(G10+H10)</f>
        <v>933004744</v>
      </c>
      <c r="J10" s="290">
        <f>+J11+J12+J13+J14+J15+J16</f>
        <v>21509645</v>
      </c>
      <c r="K10" s="290">
        <f t="shared" ref="K10:K22" si="3">SUM(I10+J10)</f>
        <v>954514389</v>
      </c>
    </row>
    <row r="11" spans="1:11" s="408" customFormat="1" ht="12" customHeight="1">
      <c r="A11" s="15" t="s">
        <v>98</v>
      </c>
      <c r="B11" s="409" t="s">
        <v>253</v>
      </c>
      <c r="C11" s="293">
        <v>172534022</v>
      </c>
      <c r="D11" s="293"/>
      <c r="E11" s="293">
        <f t="shared" si="0"/>
        <v>172534022</v>
      </c>
      <c r="F11" s="293"/>
      <c r="G11" s="293">
        <f t="shared" si="1"/>
        <v>172534022</v>
      </c>
      <c r="H11" s="293"/>
      <c r="I11" s="293">
        <f t="shared" si="2"/>
        <v>172534022</v>
      </c>
      <c r="J11" s="293">
        <v>2843168</v>
      </c>
      <c r="K11" s="293">
        <f t="shared" si="3"/>
        <v>175377190</v>
      </c>
    </row>
    <row r="12" spans="1:11" s="408" customFormat="1" ht="12" customHeight="1">
      <c r="A12" s="14" t="s">
        <v>99</v>
      </c>
      <c r="B12" s="410" t="s">
        <v>254</v>
      </c>
      <c r="C12" s="292">
        <v>437309484</v>
      </c>
      <c r="D12" s="292"/>
      <c r="E12" s="293">
        <f t="shared" si="0"/>
        <v>437309484</v>
      </c>
      <c r="F12" s="292"/>
      <c r="G12" s="293">
        <f t="shared" si="1"/>
        <v>437309484</v>
      </c>
      <c r="H12" s="292"/>
      <c r="I12" s="293">
        <f t="shared" si="2"/>
        <v>437309484</v>
      </c>
      <c r="J12" s="292">
        <v>14765300</v>
      </c>
      <c r="K12" s="293">
        <f t="shared" si="3"/>
        <v>452074784</v>
      </c>
    </row>
    <row r="13" spans="1:11" s="408" customFormat="1" ht="12" customHeight="1">
      <c r="A13" s="14" t="s">
        <v>100</v>
      </c>
      <c r="B13" s="410" t="s">
        <v>550</v>
      </c>
      <c r="C13" s="292">
        <v>275225961</v>
      </c>
      <c r="D13" s="292"/>
      <c r="E13" s="293">
        <f t="shared" si="0"/>
        <v>275225961</v>
      </c>
      <c r="F13" s="292">
        <v>16758737</v>
      </c>
      <c r="G13" s="293">
        <f t="shared" si="1"/>
        <v>291984698</v>
      </c>
      <c r="H13" s="292"/>
      <c r="I13" s="293">
        <f t="shared" si="2"/>
        <v>291984698</v>
      </c>
      <c r="J13" s="292">
        <v>927177</v>
      </c>
      <c r="K13" s="293">
        <f t="shared" si="3"/>
        <v>292911875</v>
      </c>
    </row>
    <row r="14" spans="1:11" s="408" customFormat="1" ht="12" customHeight="1">
      <c r="A14" s="14" t="s">
        <v>101</v>
      </c>
      <c r="B14" s="410" t="s">
        <v>256</v>
      </c>
      <c r="C14" s="292">
        <v>20586940</v>
      </c>
      <c r="D14" s="292"/>
      <c r="E14" s="293">
        <f t="shared" si="0"/>
        <v>20586940</v>
      </c>
      <c r="F14" s="292"/>
      <c r="G14" s="293">
        <f t="shared" si="1"/>
        <v>20586940</v>
      </c>
      <c r="H14" s="292"/>
      <c r="I14" s="293">
        <f t="shared" si="2"/>
        <v>20586940</v>
      </c>
      <c r="J14" s="292">
        <v>2585000</v>
      </c>
      <c r="K14" s="293">
        <f t="shared" si="3"/>
        <v>23171940</v>
      </c>
    </row>
    <row r="15" spans="1:11" s="408" customFormat="1" ht="12" customHeight="1">
      <c r="A15" s="14" t="s">
        <v>148</v>
      </c>
      <c r="B15" s="286" t="s">
        <v>432</v>
      </c>
      <c r="C15" s="292"/>
      <c r="D15" s="292"/>
      <c r="E15" s="293">
        <f t="shared" si="0"/>
        <v>0</v>
      </c>
      <c r="F15" s="292">
        <v>10589600</v>
      </c>
      <c r="G15" s="293">
        <f t="shared" si="1"/>
        <v>10589600</v>
      </c>
      <c r="H15" s="292"/>
      <c r="I15" s="293">
        <f t="shared" si="2"/>
        <v>10589600</v>
      </c>
      <c r="J15" s="292">
        <v>389000</v>
      </c>
      <c r="K15" s="293">
        <f t="shared" si="3"/>
        <v>10978600</v>
      </c>
    </row>
    <row r="16" spans="1:11" s="408" customFormat="1" ht="12" customHeight="1" thickBot="1">
      <c r="A16" s="16" t="s">
        <v>102</v>
      </c>
      <c r="B16" s="287" t="s">
        <v>433</v>
      </c>
      <c r="C16" s="292"/>
      <c r="D16" s="292"/>
      <c r="E16" s="293">
        <f t="shared" si="0"/>
        <v>0</v>
      </c>
      <c r="F16" s="292"/>
      <c r="G16" s="293">
        <f t="shared" si="1"/>
        <v>0</v>
      </c>
      <c r="H16" s="292"/>
      <c r="I16" s="293">
        <f t="shared" si="2"/>
        <v>0</v>
      </c>
      <c r="J16" s="292"/>
      <c r="K16" s="293">
        <f t="shared" si="3"/>
        <v>0</v>
      </c>
    </row>
    <row r="17" spans="1:11" s="408" customFormat="1" ht="12" customHeight="1" thickBot="1">
      <c r="A17" s="20" t="s">
        <v>19</v>
      </c>
      <c r="B17" s="285" t="s">
        <v>257</v>
      </c>
      <c r="C17" s="290">
        <f>+C18+C19+C20+C21+C22</f>
        <v>997850000</v>
      </c>
      <c r="D17" s="290">
        <f>+D18+D19+D20+D21+D22</f>
        <v>10968914</v>
      </c>
      <c r="E17" s="290">
        <f t="shared" si="0"/>
        <v>1008818914</v>
      </c>
      <c r="F17" s="290">
        <f>+F18+F19+F20+F21+F22</f>
        <v>50960599</v>
      </c>
      <c r="G17" s="290">
        <f t="shared" si="1"/>
        <v>1059779513</v>
      </c>
      <c r="H17" s="290">
        <f>+H18+H19+H20+H21+H22</f>
        <v>26382176</v>
      </c>
      <c r="I17" s="290">
        <f t="shared" si="2"/>
        <v>1086161689</v>
      </c>
      <c r="J17" s="290">
        <f>+J18+J19+J20+J21+J22</f>
        <v>63976441</v>
      </c>
      <c r="K17" s="290">
        <f t="shared" si="3"/>
        <v>1150138130</v>
      </c>
    </row>
    <row r="18" spans="1:11" s="408" customFormat="1" ht="12" customHeight="1">
      <c r="A18" s="15" t="s">
        <v>104</v>
      </c>
      <c r="B18" s="409" t="s">
        <v>258</v>
      </c>
      <c r="C18" s="293"/>
      <c r="D18" s="293"/>
      <c r="E18" s="293">
        <f t="shared" si="0"/>
        <v>0</v>
      </c>
      <c r="F18" s="293">
        <v>48791705</v>
      </c>
      <c r="G18" s="293">
        <f t="shared" si="1"/>
        <v>48791705</v>
      </c>
      <c r="H18" s="293"/>
      <c r="I18" s="293">
        <f t="shared" si="2"/>
        <v>48791705</v>
      </c>
      <c r="J18" s="293"/>
      <c r="K18" s="293">
        <f t="shared" si="3"/>
        <v>48791705</v>
      </c>
    </row>
    <row r="19" spans="1:11" s="408" customFormat="1" ht="12" customHeight="1">
      <c r="A19" s="14" t="s">
        <v>105</v>
      </c>
      <c r="B19" s="410" t="s">
        <v>259</v>
      </c>
      <c r="C19" s="292"/>
      <c r="D19" s="292"/>
      <c r="E19" s="293">
        <f t="shared" si="0"/>
        <v>0</v>
      </c>
      <c r="F19" s="292"/>
      <c r="G19" s="293">
        <f t="shared" si="1"/>
        <v>0</v>
      </c>
      <c r="H19" s="292"/>
      <c r="I19" s="293">
        <f t="shared" si="2"/>
        <v>0</v>
      </c>
      <c r="J19" s="292"/>
      <c r="K19" s="293">
        <f t="shared" si="3"/>
        <v>0</v>
      </c>
    </row>
    <row r="20" spans="1:11" s="408" customFormat="1" ht="12" customHeight="1">
      <c r="A20" s="14" t="s">
        <v>106</v>
      </c>
      <c r="B20" s="410" t="s">
        <v>422</v>
      </c>
      <c r="C20" s="292"/>
      <c r="D20" s="292"/>
      <c r="E20" s="293">
        <f t="shared" si="0"/>
        <v>0</v>
      </c>
      <c r="F20" s="292"/>
      <c r="G20" s="293">
        <f t="shared" si="1"/>
        <v>0</v>
      </c>
      <c r="H20" s="292"/>
      <c r="I20" s="293">
        <f t="shared" si="2"/>
        <v>0</v>
      </c>
      <c r="J20" s="292"/>
      <c r="K20" s="293">
        <f t="shared" si="3"/>
        <v>0</v>
      </c>
    </row>
    <row r="21" spans="1:11" s="408" customFormat="1" ht="12" customHeight="1">
      <c r="A21" s="14" t="s">
        <v>107</v>
      </c>
      <c r="B21" s="410" t="s">
        <v>423</v>
      </c>
      <c r="C21" s="292"/>
      <c r="D21" s="292"/>
      <c r="E21" s="293">
        <f t="shared" si="0"/>
        <v>0</v>
      </c>
      <c r="F21" s="292"/>
      <c r="G21" s="293">
        <f t="shared" si="1"/>
        <v>0</v>
      </c>
      <c r="H21" s="292"/>
      <c r="I21" s="293">
        <f t="shared" si="2"/>
        <v>0</v>
      </c>
      <c r="J21" s="292">
        <v>8100000</v>
      </c>
      <c r="K21" s="293">
        <f t="shared" si="3"/>
        <v>8100000</v>
      </c>
    </row>
    <row r="22" spans="1:11" s="408" customFormat="1" ht="12" customHeight="1">
      <c r="A22" s="14" t="s">
        <v>108</v>
      </c>
      <c r="B22" s="410" t="s">
        <v>574</v>
      </c>
      <c r="C22" s="292">
        <v>997850000</v>
      </c>
      <c r="D22" s="292">
        <v>10968914</v>
      </c>
      <c r="E22" s="293">
        <f t="shared" si="0"/>
        <v>1008818914</v>
      </c>
      <c r="F22" s="292">
        <v>2168894</v>
      </c>
      <c r="G22" s="293">
        <f t="shared" si="1"/>
        <v>1010987808</v>
      </c>
      <c r="H22" s="292">
        <v>26382176</v>
      </c>
      <c r="I22" s="293">
        <f t="shared" si="2"/>
        <v>1037369984</v>
      </c>
      <c r="J22" s="292">
        <f>42855957+11500000+920484+600000</f>
        <v>55876441</v>
      </c>
      <c r="K22" s="293">
        <f t="shared" si="3"/>
        <v>1093246425</v>
      </c>
    </row>
    <row r="23" spans="1:11" s="408" customFormat="1" ht="12" customHeight="1" thickBot="1">
      <c r="A23" s="16" t="s">
        <v>117</v>
      </c>
      <c r="B23" s="287" t="s">
        <v>261</v>
      </c>
      <c r="C23" s="294"/>
      <c r="D23" s="294"/>
      <c r="E23" s="294"/>
      <c r="F23" s="294"/>
      <c r="G23" s="294"/>
      <c r="H23" s="294"/>
      <c r="I23" s="294"/>
      <c r="J23" s="294"/>
      <c r="K23" s="294"/>
    </row>
    <row r="24" spans="1:11" s="408" customFormat="1" ht="12" customHeight="1" thickBot="1">
      <c r="A24" s="20" t="s">
        <v>20</v>
      </c>
      <c r="B24" s="21" t="s">
        <v>262</v>
      </c>
      <c r="C24" s="290">
        <f>+C25+C26+C27+C28+C29</f>
        <v>384801977</v>
      </c>
      <c r="D24" s="290">
        <f>+D25+D26+D27+D28+D29</f>
        <v>0</v>
      </c>
      <c r="E24" s="290">
        <f t="shared" ref="E24:E29" si="4">SUM(C24+D24)</f>
        <v>384801977</v>
      </c>
      <c r="F24" s="290">
        <f>+F25+F26+F27+F28+F29</f>
        <v>0</v>
      </c>
      <c r="G24" s="290">
        <f t="shared" ref="G24:G29" si="5">SUM(E24+F24)</f>
        <v>384801977</v>
      </c>
      <c r="H24" s="290">
        <f>+H25+H26+H27+H28+H29</f>
        <v>-278002417</v>
      </c>
      <c r="I24" s="290">
        <f t="shared" ref="I24:I29" si="6">SUM(G24+H24)</f>
        <v>106799560</v>
      </c>
      <c r="J24" s="290">
        <f>+J25+J26+J27+J28+J29</f>
        <v>0</v>
      </c>
      <c r="K24" s="290">
        <f t="shared" ref="K24:K29" si="7">SUM(I24+J24)</f>
        <v>106799560</v>
      </c>
    </row>
    <row r="25" spans="1:11" s="408" customFormat="1" ht="12" customHeight="1">
      <c r="A25" s="15" t="s">
        <v>87</v>
      </c>
      <c r="B25" s="409" t="s">
        <v>263</v>
      </c>
      <c r="C25" s="293"/>
      <c r="D25" s="293"/>
      <c r="E25" s="293">
        <f t="shared" si="4"/>
        <v>0</v>
      </c>
      <c r="F25" s="293"/>
      <c r="G25" s="293">
        <f t="shared" si="5"/>
        <v>0</v>
      </c>
      <c r="H25" s="293"/>
      <c r="I25" s="293">
        <f t="shared" si="6"/>
        <v>0</v>
      </c>
      <c r="J25" s="293"/>
      <c r="K25" s="293">
        <f t="shared" si="7"/>
        <v>0</v>
      </c>
    </row>
    <row r="26" spans="1:11" s="408" customFormat="1" ht="12" customHeight="1">
      <c r="A26" s="14" t="s">
        <v>88</v>
      </c>
      <c r="B26" s="410" t="s">
        <v>264</v>
      </c>
      <c r="C26" s="292"/>
      <c r="D26" s="292"/>
      <c r="E26" s="293">
        <f t="shared" si="4"/>
        <v>0</v>
      </c>
      <c r="F26" s="292"/>
      <c r="G26" s="293">
        <f t="shared" si="5"/>
        <v>0</v>
      </c>
      <c r="H26" s="292"/>
      <c r="I26" s="293">
        <f t="shared" si="6"/>
        <v>0</v>
      </c>
      <c r="J26" s="292"/>
      <c r="K26" s="293">
        <f t="shared" si="7"/>
        <v>0</v>
      </c>
    </row>
    <row r="27" spans="1:11" s="408" customFormat="1" ht="12" customHeight="1">
      <c r="A27" s="14" t="s">
        <v>89</v>
      </c>
      <c r="B27" s="410" t="s">
        <v>424</v>
      </c>
      <c r="C27" s="292"/>
      <c r="D27" s="292"/>
      <c r="E27" s="293">
        <f t="shared" si="4"/>
        <v>0</v>
      </c>
      <c r="F27" s="292"/>
      <c r="G27" s="293">
        <f t="shared" si="5"/>
        <v>0</v>
      </c>
      <c r="H27" s="292"/>
      <c r="I27" s="293">
        <f t="shared" si="6"/>
        <v>0</v>
      </c>
      <c r="J27" s="292"/>
      <c r="K27" s="293">
        <f t="shared" si="7"/>
        <v>0</v>
      </c>
    </row>
    <row r="28" spans="1:11" s="408" customFormat="1" ht="12" customHeight="1">
      <c r="A28" s="14" t="s">
        <v>90</v>
      </c>
      <c r="B28" s="410" t="s">
        <v>425</v>
      </c>
      <c r="C28" s="292"/>
      <c r="D28" s="292"/>
      <c r="E28" s="293">
        <f t="shared" si="4"/>
        <v>0</v>
      </c>
      <c r="F28" s="292"/>
      <c r="G28" s="293">
        <f t="shared" si="5"/>
        <v>0</v>
      </c>
      <c r="H28" s="292"/>
      <c r="I28" s="293">
        <f t="shared" si="6"/>
        <v>0</v>
      </c>
      <c r="J28" s="292"/>
      <c r="K28" s="293">
        <f t="shared" si="7"/>
        <v>0</v>
      </c>
    </row>
    <row r="29" spans="1:11" s="408" customFormat="1" ht="12" customHeight="1">
      <c r="A29" s="14" t="s">
        <v>171</v>
      </c>
      <c r="B29" s="410" t="s">
        <v>265</v>
      </c>
      <c r="C29" s="292">
        <v>384801977</v>
      </c>
      <c r="D29" s="292"/>
      <c r="E29" s="293">
        <f t="shared" si="4"/>
        <v>384801977</v>
      </c>
      <c r="F29" s="292"/>
      <c r="G29" s="293">
        <f t="shared" si="5"/>
        <v>384801977</v>
      </c>
      <c r="H29" s="292">
        <v>-278002417</v>
      </c>
      <c r="I29" s="293">
        <f t="shared" si="6"/>
        <v>106799560</v>
      </c>
      <c r="J29" s="292"/>
      <c r="K29" s="293">
        <f t="shared" si="7"/>
        <v>106799560</v>
      </c>
    </row>
    <row r="30" spans="1:11" s="550" customFormat="1" ht="12" customHeight="1" thickBot="1">
      <c r="A30" s="561" t="s">
        <v>172</v>
      </c>
      <c r="B30" s="548" t="s">
        <v>569</v>
      </c>
      <c r="C30" s="549"/>
      <c r="D30" s="549"/>
      <c r="E30" s="549"/>
      <c r="F30" s="549"/>
      <c r="G30" s="549"/>
      <c r="H30" s="549"/>
      <c r="I30" s="549"/>
      <c r="J30" s="549"/>
      <c r="K30" s="549"/>
    </row>
    <row r="31" spans="1:11" s="408" customFormat="1" ht="12" customHeight="1" thickBot="1">
      <c r="A31" s="20" t="s">
        <v>173</v>
      </c>
      <c r="B31" s="21" t="s">
        <v>551</v>
      </c>
      <c r="C31" s="296">
        <f>SUM(C32:C38)</f>
        <v>1194000000</v>
      </c>
      <c r="D31" s="296">
        <f>SUM(D32:D38)</f>
        <v>0</v>
      </c>
      <c r="E31" s="296">
        <f>SUM(C31+D31)</f>
        <v>1194000000</v>
      </c>
      <c r="F31" s="296">
        <f>SUM(F32:F38)</f>
        <v>0</v>
      </c>
      <c r="G31" s="296">
        <f>SUM(E31+F31)</f>
        <v>1194000000</v>
      </c>
      <c r="H31" s="296">
        <f>SUM(H32:H38)</f>
        <v>0</v>
      </c>
      <c r="I31" s="296">
        <f>SUM(G31+H31)</f>
        <v>1194000000</v>
      </c>
      <c r="J31" s="296">
        <f>SUM(J32:J38)</f>
        <v>16000000</v>
      </c>
      <c r="K31" s="296">
        <f>SUM(I31+J31)</f>
        <v>1210000000</v>
      </c>
    </row>
    <row r="32" spans="1:11" s="408" customFormat="1" ht="12" customHeight="1">
      <c r="A32" s="15" t="s">
        <v>268</v>
      </c>
      <c r="B32" s="409" t="s">
        <v>555</v>
      </c>
      <c r="C32" s="293">
        <v>81000000</v>
      </c>
      <c r="D32" s="293"/>
      <c r="E32" s="293">
        <f>SUM(C32+D32)</f>
        <v>81000000</v>
      </c>
      <c r="F32" s="293"/>
      <c r="G32" s="293">
        <f>SUM(E32+F32)</f>
        <v>81000000</v>
      </c>
      <c r="H32" s="293"/>
      <c r="I32" s="293">
        <f>SUM(G32+H32)</f>
        <v>81000000</v>
      </c>
      <c r="J32" s="293"/>
      <c r="K32" s="293">
        <f>SUM(I32+J32)</f>
        <v>81000000</v>
      </c>
    </row>
    <row r="33" spans="1:11" s="408" customFormat="1" ht="12" customHeight="1">
      <c r="A33" s="14" t="s">
        <v>269</v>
      </c>
      <c r="B33" s="410" t="s">
        <v>556</v>
      </c>
      <c r="C33" s="292">
        <v>2000000</v>
      </c>
      <c r="D33" s="292"/>
      <c r="E33" s="293">
        <f t="shared" ref="E33:E38" si="8">SUM(C33+D33)</f>
        <v>2000000</v>
      </c>
      <c r="F33" s="292"/>
      <c r="G33" s="293">
        <f t="shared" ref="G33:G38" si="9">SUM(E33+F33)</f>
        <v>2000000</v>
      </c>
      <c r="H33" s="292"/>
      <c r="I33" s="293">
        <f t="shared" ref="I33:I38" si="10">SUM(G33+H33)</f>
        <v>2000000</v>
      </c>
      <c r="J33" s="292"/>
      <c r="K33" s="293">
        <f t="shared" ref="K33:K38" si="11">SUM(I33+J33)</f>
        <v>2000000</v>
      </c>
    </row>
    <row r="34" spans="1:11" s="408" customFormat="1" ht="12" customHeight="1">
      <c r="A34" s="14" t="s">
        <v>270</v>
      </c>
      <c r="B34" s="410" t="s">
        <v>557</v>
      </c>
      <c r="C34" s="292">
        <v>950000000</v>
      </c>
      <c r="D34" s="292"/>
      <c r="E34" s="293">
        <f t="shared" si="8"/>
        <v>950000000</v>
      </c>
      <c r="F34" s="292"/>
      <c r="G34" s="293">
        <f t="shared" si="9"/>
        <v>950000000</v>
      </c>
      <c r="H34" s="292"/>
      <c r="I34" s="293">
        <f t="shared" si="10"/>
        <v>950000000</v>
      </c>
      <c r="J34" s="292">
        <v>16000000</v>
      </c>
      <c r="K34" s="293">
        <f t="shared" si="11"/>
        <v>966000000</v>
      </c>
    </row>
    <row r="35" spans="1:11" s="408" customFormat="1" ht="12" customHeight="1">
      <c r="A35" s="14" t="s">
        <v>271</v>
      </c>
      <c r="B35" s="410" t="s">
        <v>558</v>
      </c>
      <c r="C35" s="292">
        <v>2000000</v>
      </c>
      <c r="D35" s="292"/>
      <c r="E35" s="293">
        <f t="shared" si="8"/>
        <v>2000000</v>
      </c>
      <c r="F35" s="292"/>
      <c r="G35" s="293">
        <f t="shared" si="9"/>
        <v>2000000</v>
      </c>
      <c r="H35" s="292"/>
      <c r="I35" s="293">
        <f t="shared" si="10"/>
        <v>2000000</v>
      </c>
      <c r="J35" s="292"/>
      <c r="K35" s="293">
        <f t="shared" si="11"/>
        <v>2000000</v>
      </c>
    </row>
    <row r="36" spans="1:11" s="408" customFormat="1" ht="12" customHeight="1">
      <c r="A36" s="14" t="s">
        <v>552</v>
      </c>
      <c r="B36" s="410" t="s">
        <v>272</v>
      </c>
      <c r="C36" s="292">
        <v>105000000</v>
      </c>
      <c r="D36" s="292"/>
      <c r="E36" s="293">
        <f t="shared" si="8"/>
        <v>105000000</v>
      </c>
      <c r="F36" s="292"/>
      <c r="G36" s="293">
        <f t="shared" si="9"/>
        <v>105000000</v>
      </c>
      <c r="H36" s="292"/>
      <c r="I36" s="293">
        <f t="shared" si="10"/>
        <v>105000000</v>
      </c>
      <c r="J36" s="292"/>
      <c r="K36" s="293">
        <f t="shared" si="11"/>
        <v>105000000</v>
      </c>
    </row>
    <row r="37" spans="1:11" s="408" customFormat="1" ht="12" customHeight="1">
      <c r="A37" s="14" t="s">
        <v>553</v>
      </c>
      <c r="B37" s="410" t="s">
        <v>273</v>
      </c>
      <c r="C37" s="292">
        <v>50000000</v>
      </c>
      <c r="D37" s="292"/>
      <c r="E37" s="293">
        <f t="shared" si="8"/>
        <v>50000000</v>
      </c>
      <c r="F37" s="292"/>
      <c r="G37" s="293">
        <f t="shared" si="9"/>
        <v>50000000</v>
      </c>
      <c r="H37" s="292"/>
      <c r="I37" s="293">
        <f t="shared" si="10"/>
        <v>50000000</v>
      </c>
      <c r="J37" s="292"/>
      <c r="K37" s="293">
        <f t="shared" si="11"/>
        <v>50000000</v>
      </c>
    </row>
    <row r="38" spans="1:11" s="408" customFormat="1" ht="12" customHeight="1" thickBot="1">
      <c r="A38" s="16" t="s">
        <v>554</v>
      </c>
      <c r="B38" s="504" t="s">
        <v>274</v>
      </c>
      <c r="C38" s="294">
        <v>4000000</v>
      </c>
      <c r="D38" s="294"/>
      <c r="E38" s="293">
        <f t="shared" si="8"/>
        <v>4000000</v>
      </c>
      <c r="F38" s="294"/>
      <c r="G38" s="293">
        <f t="shared" si="9"/>
        <v>4000000</v>
      </c>
      <c r="H38" s="294"/>
      <c r="I38" s="293">
        <f t="shared" si="10"/>
        <v>4000000</v>
      </c>
      <c r="J38" s="294"/>
      <c r="K38" s="293">
        <f t="shared" si="11"/>
        <v>4000000</v>
      </c>
    </row>
    <row r="39" spans="1:11" s="408" customFormat="1" ht="12" customHeight="1" thickBot="1">
      <c r="A39" s="20" t="s">
        <v>22</v>
      </c>
      <c r="B39" s="21" t="s">
        <v>434</v>
      </c>
      <c r="C39" s="290">
        <f>SUM(C40:C50)</f>
        <v>290904364</v>
      </c>
      <c r="D39" s="290">
        <f>SUM(D40:D50)</f>
        <v>0</v>
      </c>
      <c r="E39" s="290">
        <f>SUM(C39+D39)</f>
        <v>290904364</v>
      </c>
      <c r="F39" s="290">
        <f>SUM(F40:F50)</f>
        <v>15275000</v>
      </c>
      <c r="G39" s="290">
        <f>SUM(E39+F39)</f>
        <v>306179364</v>
      </c>
      <c r="H39" s="290">
        <f>SUM(H40:H50)</f>
        <v>4622500</v>
      </c>
      <c r="I39" s="290">
        <f>SUM(G39+H39)</f>
        <v>310801864</v>
      </c>
      <c r="J39" s="290">
        <f>SUM(J40:J50)</f>
        <v>23954576</v>
      </c>
      <c r="K39" s="290">
        <f>SUM(I39+J39)</f>
        <v>334756440</v>
      </c>
    </row>
    <row r="40" spans="1:11" s="408" customFormat="1" ht="12" customHeight="1">
      <c r="A40" s="15" t="s">
        <v>91</v>
      </c>
      <c r="B40" s="409" t="s">
        <v>277</v>
      </c>
      <c r="C40" s="293"/>
      <c r="D40" s="293"/>
      <c r="E40" s="293">
        <f>SUM(C40+D40)</f>
        <v>0</v>
      </c>
      <c r="F40" s="293"/>
      <c r="G40" s="293">
        <f>SUM(E40+F40)</f>
        <v>0</v>
      </c>
      <c r="H40" s="293"/>
      <c r="I40" s="293">
        <f>SUM(G40+H40)</f>
        <v>0</v>
      </c>
      <c r="J40" s="293"/>
      <c r="K40" s="293">
        <f>SUM(I40+J40)</f>
        <v>0</v>
      </c>
    </row>
    <row r="41" spans="1:11" s="408" customFormat="1" ht="12" customHeight="1">
      <c r="A41" s="14" t="s">
        <v>92</v>
      </c>
      <c r="B41" s="410" t="s">
        <v>278</v>
      </c>
      <c r="C41" s="292">
        <v>177519802</v>
      </c>
      <c r="D41" s="292"/>
      <c r="E41" s="293">
        <f t="shared" ref="E41:E50" si="12">SUM(C41+D41)</f>
        <v>177519802</v>
      </c>
      <c r="F41" s="292">
        <v>15275000</v>
      </c>
      <c r="G41" s="293">
        <f t="shared" ref="G41:G50" si="13">SUM(E41+F41)</f>
        <v>192794802</v>
      </c>
      <c r="H41" s="292">
        <v>113500</v>
      </c>
      <c r="I41" s="293">
        <f t="shared" ref="I41:I50" si="14">SUM(G41+H41)</f>
        <v>192908302</v>
      </c>
      <c r="J41" s="292">
        <v>8015576</v>
      </c>
      <c r="K41" s="293">
        <f t="shared" ref="K41:K50" si="15">SUM(I41+J41)</f>
        <v>200923878</v>
      </c>
    </row>
    <row r="42" spans="1:11" s="408" customFormat="1" ht="12" customHeight="1">
      <c r="A42" s="14" t="s">
        <v>93</v>
      </c>
      <c r="B42" s="410" t="s">
        <v>279</v>
      </c>
      <c r="C42" s="292">
        <v>16500000</v>
      </c>
      <c r="D42" s="292"/>
      <c r="E42" s="293">
        <f t="shared" si="12"/>
        <v>16500000</v>
      </c>
      <c r="F42" s="292"/>
      <c r="G42" s="293">
        <f t="shared" si="13"/>
        <v>16500000</v>
      </c>
      <c r="H42" s="292"/>
      <c r="I42" s="293">
        <f t="shared" si="14"/>
        <v>16500000</v>
      </c>
      <c r="J42" s="292">
        <f>9525000-1700000</f>
        <v>7825000</v>
      </c>
      <c r="K42" s="293">
        <f t="shared" si="15"/>
        <v>24325000</v>
      </c>
    </row>
    <row r="43" spans="1:11" s="408" customFormat="1" ht="12" customHeight="1">
      <c r="A43" s="14" t="s">
        <v>175</v>
      </c>
      <c r="B43" s="410" t="s">
        <v>280</v>
      </c>
      <c r="C43" s="292"/>
      <c r="D43" s="292"/>
      <c r="E43" s="293">
        <f t="shared" si="12"/>
        <v>0</v>
      </c>
      <c r="F43" s="292"/>
      <c r="G43" s="293">
        <f t="shared" si="13"/>
        <v>0</v>
      </c>
      <c r="H43" s="292"/>
      <c r="I43" s="293">
        <f t="shared" si="14"/>
        <v>0</v>
      </c>
      <c r="J43" s="292"/>
      <c r="K43" s="293">
        <f t="shared" si="15"/>
        <v>0</v>
      </c>
    </row>
    <row r="44" spans="1:11" s="408" customFormat="1" ht="12" customHeight="1">
      <c r="A44" s="14" t="s">
        <v>176</v>
      </c>
      <c r="B44" s="410" t="s">
        <v>281</v>
      </c>
      <c r="C44" s="292">
        <v>54000000</v>
      </c>
      <c r="D44" s="292"/>
      <c r="E44" s="293">
        <f t="shared" si="12"/>
        <v>54000000</v>
      </c>
      <c r="F44" s="292"/>
      <c r="G44" s="293">
        <f t="shared" si="13"/>
        <v>54000000</v>
      </c>
      <c r="H44" s="292"/>
      <c r="I44" s="293">
        <f t="shared" si="14"/>
        <v>54000000</v>
      </c>
      <c r="J44" s="292"/>
      <c r="K44" s="293">
        <f t="shared" si="15"/>
        <v>54000000</v>
      </c>
    </row>
    <row r="45" spans="1:11" s="408" customFormat="1" ht="12" customHeight="1">
      <c r="A45" s="14" t="s">
        <v>177</v>
      </c>
      <c r="B45" s="410" t="s">
        <v>282</v>
      </c>
      <c r="C45" s="292">
        <v>41164562</v>
      </c>
      <c r="D45" s="292"/>
      <c r="E45" s="293">
        <f t="shared" si="12"/>
        <v>41164562</v>
      </c>
      <c r="F45" s="292"/>
      <c r="G45" s="293">
        <f t="shared" si="13"/>
        <v>41164562</v>
      </c>
      <c r="H45" s="292"/>
      <c r="I45" s="293">
        <f t="shared" si="14"/>
        <v>41164562</v>
      </c>
      <c r="J45" s="292"/>
      <c r="K45" s="293">
        <f t="shared" si="15"/>
        <v>41164562</v>
      </c>
    </row>
    <row r="46" spans="1:11" s="408" customFormat="1" ht="12" customHeight="1">
      <c r="A46" s="14" t="s">
        <v>178</v>
      </c>
      <c r="B46" s="410" t="s">
        <v>283</v>
      </c>
      <c r="C46" s="292"/>
      <c r="D46" s="292"/>
      <c r="E46" s="293">
        <f t="shared" si="12"/>
        <v>0</v>
      </c>
      <c r="F46" s="292"/>
      <c r="G46" s="293">
        <f t="shared" si="13"/>
        <v>0</v>
      </c>
      <c r="H46" s="292">
        <v>4509000</v>
      </c>
      <c r="I46" s="293">
        <f t="shared" si="14"/>
        <v>4509000</v>
      </c>
      <c r="J46" s="292">
        <v>8114000</v>
      </c>
      <c r="K46" s="293">
        <f t="shared" si="15"/>
        <v>12623000</v>
      </c>
    </row>
    <row r="47" spans="1:11" s="408" customFormat="1" ht="12" customHeight="1">
      <c r="A47" s="14" t="s">
        <v>179</v>
      </c>
      <c r="B47" s="410" t="s">
        <v>559</v>
      </c>
      <c r="C47" s="292">
        <v>1000000</v>
      </c>
      <c r="D47" s="292"/>
      <c r="E47" s="293">
        <f t="shared" si="12"/>
        <v>1000000</v>
      </c>
      <c r="F47" s="292"/>
      <c r="G47" s="293">
        <f t="shared" si="13"/>
        <v>1000000</v>
      </c>
      <c r="H47" s="292"/>
      <c r="I47" s="293">
        <f t="shared" si="14"/>
        <v>1000000</v>
      </c>
      <c r="J47" s="292"/>
      <c r="K47" s="293">
        <f t="shared" si="15"/>
        <v>1000000</v>
      </c>
    </row>
    <row r="48" spans="1:11" s="408" customFormat="1" ht="12" customHeight="1">
      <c r="A48" s="14" t="s">
        <v>275</v>
      </c>
      <c r="B48" s="410" t="s">
        <v>285</v>
      </c>
      <c r="C48" s="295"/>
      <c r="D48" s="295"/>
      <c r="E48" s="293">
        <f t="shared" si="12"/>
        <v>0</v>
      </c>
      <c r="F48" s="295"/>
      <c r="G48" s="293">
        <f t="shared" si="13"/>
        <v>0</v>
      </c>
      <c r="H48" s="295"/>
      <c r="I48" s="293">
        <f t="shared" si="14"/>
        <v>0</v>
      </c>
      <c r="J48" s="295"/>
      <c r="K48" s="293">
        <f t="shared" si="15"/>
        <v>0</v>
      </c>
    </row>
    <row r="49" spans="1:11" s="408" customFormat="1" ht="12" customHeight="1">
      <c r="A49" s="16" t="s">
        <v>276</v>
      </c>
      <c r="B49" s="411" t="s">
        <v>436</v>
      </c>
      <c r="C49" s="396"/>
      <c r="D49" s="396"/>
      <c r="E49" s="293">
        <f t="shared" si="12"/>
        <v>0</v>
      </c>
      <c r="F49" s="396"/>
      <c r="G49" s="293">
        <f t="shared" si="13"/>
        <v>0</v>
      </c>
      <c r="H49" s="396"/>
      <c r="I49" s="293">
        <f t="shared" si="14"/>
        <v>0</v>
      </c>
      <c r="J49" s="396"/>
      <c r="K49" s="293">
        <f t="shared" si="15"/>
        <v>0</v>
      </c>
    </row>
    <row r="50" spans="1:11" s="408" customFormat="1" ht="12" customHeight="1" thickBot="1">
      <c r="A50" s="16" t="s">
        <v>435</v>
      </c>
      <c r="B50" s="287" t="s">
        <v>286</v>
      </c>
      <c r="C50" s="396">
        <v>720000</v>
      </c>
      <c r="D50" s="396"/>
      <c r="E50" s="293">
        <f t="shared" si="12"/>
        <v>720000</v>
      </c>
      <c r="F50" s="396"/>
      <c r="G50" s="293">
        <f t="shared" si="13"/>
        <v>720000</v>
      </c>
      <c r="H50" s="396"/>
      <c r="I50" s="293">
        <f t="shared" si="14"/>
        <v>720000</v>
      </c>
      <c r="J50" s="551"/>
      <c r="K50" s="293">
        <f t="shared" si="15"/>
        <v>720000</v>
      </c>
    </row>
    <row r="51" spans="1:11" s="408" customFormat="1" ht="12" customHeight="1" thickBot="1">
      <c r="A51" s="20" t="s">
        <v>23</v>
      </c>
      <c r="B51" s="21" t="s">
        <v>287</v>
      </c>
      <c r="C51" s="290">
        <f>SUM(C52:C56)</f>
        <v>40000000</v>
      </c>
      <c r="D51" s="290">
        <f>SUM(D52:D56)</f>
        <v>0</v>
      </c>
      <c r="E51" s="290">
        <f t="shared" ref="E51:E57" si="16">SUM(C51+D51)</f>
        <v>40000000</v>
      </c>
      <c r="F51" s="290">
        <f>SUM(F52:F56)</f>
        <v>1732283</v>
      </c>
      <c r="G51" s="290">
        <f t="shared" ref="G51:G57" si="17">SUM(E51+F51)</f>
        <v>41732283</v>
      </c>
      <c r="H51" s="290">
        <f>SUM(H52:H56)</f>
        <v>0</v>
      </c>
      <c r="I51" s="290">
        <f t="shared" ref="I51:I57" si="18">SUM(G51+H51)</f>
        <v>41732283</v>
      </c>
      <c r="J51" s="290">
        <f>SUM(J52:J56)</f>
        <v>0</v>
      </c>
      <c r="K51" s="290">
        <f t="shared" ref="K51:K57" si="19">SUM(I51+J51)</f>
        <v>41732283</v>
      </c>
    </row>
    <row r="52" spans="1:11" s="408" customFormat="1" ht="12" customHeight="1">
      <c r="A52" s="15" t="s">
        <v>94</v>
      </c>
      <c r="B52" s="409" t="s">
        <v>291</v>
      </c>
      <c r="C52" s="453"/>
      <c r="D52" s="453"/>
      <c r="E52" s="453">
        <f t="shared" si="16"/>
        <v>0</v>
      </c>
      <c r="F52" s="453"/>
      <c r="G52" s="453">
        <f t="shared" si="17"/>
        <v>0</v>
      </c>
      <c r="H52" s="453"/>
      <c r="I52" s="453">
        <f t="shared" si="18"/>
        <v>0</v>
      </c>
      <c r="J52" s="453"/>
      <c r="K52" s="453">
        <f t="shared" si="19"/>
        <v>0</v>
      </c>
    </row>
    <row r="53" spans="1:11" s="408" customFormat="1" ht="12" customHeight="1">
      <c r="A53" s="14" t="s">
        <v>95</v>
      </c>
      <c r="B53" s="410" t="s">
        <v>292</v>
      </c>
      <c r="C53" s="295">
        <v>40000000</v>
      </c>
      <c r="D53" s="295"/>
      <c r="E53" s="453">
        <f t="shared" si="16"/>
        <v>40000000</v>
      </c>
      <c r="F53" s="295"/>
      <c r="G53" s="453">
        <f t="shared" si="17"/>
        <v>40000000</v>
      </c>
      <c r="H53" s="295"/>
      <c r="I53" s="453">
        <f t="shared" si="18"/>
        <v>40000000</v>
      </c>
      <c r="J53" s="295"/>
      <c r="K53" s="453">
        <f t="shared" si="19"/>
        <v>40000000</v>
      </c>
    </row>
    <row r="54" spans="1:11" s="408" customFormat="1" ht="12" customHeight="1">
      <c r="A54" s="14" t="s">
        <v>288</v>
      </c>
      <c r="B54" s="410" t="s">
        <v>293</v>
      </c>
      <c r="C54" s="295"/>
      <c r="D54" s="295"/>
      <c r="E54" s="453">
        <f t="shared" si="16"/>
        <v>0</v>
      </c>
      <c r="F54" s="295">
        <v>1732283</v>
      </c>
      <c r="G54" s="453">
        <f t="shared" si="17"/>
        <v>1732283</v>
      </c>
      <c r="H54" s="295"/>
      <c r="I54" s="453">
        <f t="shared" si="18"/>
        <v>1732283</v>
      </c>
      <c r="J54" s="295"/>
      <c r="K54" s="453">
        <f t="shared" si="19"/>
        <v>1732283</v>
      </c>
    </row>
    <row r="55" spans="1:11" s="408" customFormat="1" ht="12" customHeight="1">
      <c r="A55" s="14" t="s">
        <v>289</v>
      </c>
      <c r="B55" s="410" t="s">
        <v>294</v>
      </c>
      <c r="C55" s="295"/>
      <c r="D55" s="295"/>
      <c r="E55" s="453">
        <f t="shared" si="16"/>
        <v>0</v>
      </c>
      <c r="F55" s="295"/>
      <c r="G55" s="453">
        <f t="shared" si="17"/>
        <v>0</v>
      </c>
      <c r="H55" s="295"/>
      <c r="I55" s="453">
        <f t="shared" si="18"/>
        <v>0</v>
      </c>
      <c r="J55" s="295"/>
      <c r="K55" s="453">
        <f t="shared" si="19"/>
        <v>0</v>
      </c>
    </row>
    <row r="56" spans="1:11" s="408" customFormat="1" ht="12" customHeight="1" thickBot="1">
      <c r="A56" s="16" t="s">
        <v>290</v>
      </c>
      <c r="B56" s="287" t="s">
        <v>295</v>
      </c>
      <c r="C56" s="396"/>
      <c r="D56" s="396"/>
      <c r="E56" s="453">
        <f t="shared" si="16"/>
        <v>0</v>
      </c>
      <c r="F56" s="396"/>
      <c r="G56" s="453">
        <f t="shared" si="17"/>
        <v>0</v>
      </c>
      <c r="H56" s="396"/>
      <c r="I56" s="453">
        <f t="shared" si="18"/>
        <v>0</v>
      </c>
      <c r="J56" s="396"/>
      <c r="K56" s="453">
        <f t="shared" si="19"/>
        <v>0</v>
      </c>
    </row>
    <row r="57" spans="1:11" s="408" customFormat="1" ht="12" customHeight="1" thickBot="1">
      <c r="A57" s="20" t="s">
        <v>180</v>
      </c>
      <c r="B57" s="21" t="s">
        <v>296</v>
      </c>
      <c r="C57" s="290">
        <f>SUM(C58:C60)</f>
        <v>0</v>
      </c>
      <c r="D57" s="290">
        <f>SUM(D58:D60)</f>
        <v>26099767</v>
      </c>
      <c r="E57" s="290">
        <f t="shared" si="16"/>
        <v>26099767</v>
      </c>
      <c r="F57" s="290">
        <f>SUM(F58:F60)</f>
        <v>0</v>
      </c>
      <c r="G57" s="290">
        <f t="shared" si="17"/>
        <v>26099767</v>
      </c>
      <c r="H57" s="290">
        <f>SUM(H58:H60)</f>
        <v>0</v>
      </c>
      <c r="I57" s="290">
        <f t="shared" si="18"/>
        <v>26099767</v>
      </c>
      <c r="J57" s="290">
        <f>SUM(J58:J60)</f>
        <v>0</v>
      </c>
      <c r="K57" s="290">
        <f t="shared" si="19"/>
        <v>26099767</v>
      </c>
    </row>
    <row r="58" spans="1:11" s="408" customFormat="1" ht="12" customHeight="1">
      <c r="A58" s="15" t="s">
        <v>96</v>
      </c>
      <c r="B58" s="409" t="s">
        <v>297</v>
      </c>
      <c r="C58" s="293"/>
      <c r="D58" s="293"/>
      <c r="E58" s="293"/>
      <c r="F58" s="293"/>
      <c r="G58" s="293"/>
      <c r="H58" s="293"/>
      <c r="I58" s="293"/>
      <c r="J58" s="293"/>
      <c r="K58" s="293"/>
    </row>
    <row r="59" spans="1:11" s="408" customFormat="1" ht="12" customHeight="1">
      <c r="A59" s="14" t="s">
        <v>97</v>
      </c>
      <c r="B59" s="410" t="s">
        <v>426</v>
      </c>
      <c r="C59" s="292"/>
      <c r="D59" s="292"/>
      <c r="E59" s="292"/>
      <c r="F59" s="292"/>
      <c r="G59" s="292"/>
      <c r="H59" s="292"/>
      <c r="I59" s="292"/>
      <c r="J59" s="292"/>
      <c r="K59" s="292"/>
    </row>
    <row r="60" spans="1:11" s="408" customFormat="1" ht="12" customHeight="1">
      <c r="A60" s="14" t="s">
        <v>300</v>
      </c>
      <c r="B60" s="410" t="s">
        <v>298</v>
      </c>
      <c r="C60" s="292"/>
      <c r="D60" s="292">
        <v>26099767</v>
      </c>
      <c r="E60" s="292">
        <f>SUM(C60+D60)</f>
        <v>26099767</v>
      </c>
      <c r="F60" s="292"/>
      <c r="G60" s="292">
        <f>SUM(E60+F60)</f>
        <v>26099767</v>
      </c>
      <c r="H60" s="292"/>
      <c r="I60" s="292">
        <f>SUM(G60+H60)</f>
        <v>26099767</v>
      </c>
      <c r="J60" s="292"/>
      <c r="K60" s="292">
        <f>SUM(I60+J60)</f>
        <v>26099767</v>
      </c>
    </row>
    <row r="61" spans="1:11" s="408" customFormat="1" ht="12" customHeight="1" thickBot="1">
      <c r="A61" s="16" t="s">
        <v>301</v>
      </c>
      <c r="B61" s="287" t="s">
        <v>299</v>
      </c>
      <c r="C61" s="294"/>
      <c r="D61" s="294"/>
      <c r="E61" s="294"/>
      <c r="F61" s="294"/>
      <c r="G61" s="294"/>
      <c r="H61" s="294"/>
      <c r="I61" s="294"/>
      <c r="J61" s="294"/>
      <c r="K61" s="294"/>
    </row>
    <row r="62" spans="1:11" s="408" customFormat="1" ht="12" customHeight="1" thickBot="1">
      <c r="A62" s="20" t="s">
        <v>25</v>
      </c>
      <c r="B62" s="285" t="s">
        <v>302</v>
      </c>
      <c r="C62" s="290">
        <f>SUM(C63:C65)</f>
        <v>50000000</v>
      </c>
      <c r="D62" s="290">
        <f>SUM(D63:D65)</f>
        <v>0</v>
      </c>
      <c r="E62" s="290">
        <f>SUM(C62+D62)</f>
        <v>50000000</v>
      </c>
      <c r="F62" s="290">
        <f>SUM(F63:F65)</f>
        <v>0</v>
      </c>
      <c r="G62" s="290">
        <f>SUM(E62+F62)</f>
        <v>50000000</v>
      </c>
      <c r="H62" s="290">
        <f>SUM(H63:H65)</f>
        <v>2000000</v>
      </c>
      <c r="I62" s="290">
        <f>SUM(G62+H62)</f>
        <v>52000000</v>
      </c>
      <c r="J62" s="290">
        <f>SUM(J63:J65)</f>
        <v>10000000</v>
      </c>
      <c r="K62" s="290">
        <f>SUM(I62+J62)</f>
        <v>62000000</v>
      </c>
    </row>
    <row r="63" spans="1:11" s="408" customFormat="1" ht="12" customHeight="1">
      <c r="A63" s="15" t="s">
        <v>181</v>
      </c>
      <c r="B63" s="409" t="s">
        <v>304</v>
      </c>
      <c r="C63" s="295"/>
      <c r="D63" s="295"/>
      <c r="E63" s="295">
        <f>SUM(C63+D63)</f>
        <v>0</v>
      </c>
      <c r="F63" s="295"/>
      <c r="G63" s="295">
        <f>SUM(E63+F63)</f>
        <v>0</v>
      </c>
      <c r="H63" s="295"/>
      <c r="I63" s="295">
        <f>SUM(G63+H63)</f>
        <v>0</v>
      </c>
      <c r="J63" s="295"/>
      <c r="K63" s="295">
        <f>SUM(I63+J63)</f>
        <v>0</v>
      </c>
    </row>
    <row r="64" spans="1:11" s="408" customFormat="1" ht="12" customHeight="1">
      <c r="A64" s="14" t="s">
        <v>182</v>
      </c>
      <c r="B64" s="410" t="s">
        <v>427</v>
      </c>
      <c r="C64" s="295"/>
      <c r="D64" s="295"/>
      <c r="E64" s="295">
        <f>SUM(C64+D64)</f>
        <v>0</v>
      </c>
      <c r="F64" s="295"/>
      <c r="G64" s="295">
        <f>SUM(E64+F64)</f>
        <v>0</v>
      </c>
      <c r="H64" s="295"/>
      <c r="I64" s="295">
        <f>SUM(G64+H64)</f>
        <v>0</v>
      </c>
      <c r="J64" s="295"/>
      <c r="K64" s="295">
        <f>SUM(I64+J64)</f>
        <v>0</v>
      </c>
    </row>
    <row r="65" spans="1:11" s="408" customFormat="1" ht="12" customHeight="1">
      <c r="A65" s="14" t="s">
        <v>231</v>
      </c>
      <c r="B65" s="410" t="s">
        <v>305</v>
      </c>
      <c r="C65" s="295">
        <v>50000000</v>
      </c>
      <c r="D65" s="295"/>
      <c r="E65" s="295">
        <f>SUM(C65+D65)</f>
        <v>50000000</v>
      </c>
      <c r="F65" s="295"/>
      <c r="G65" s="295">
        <f>SUM(E65+F65)</f>
        <v>50000000</v>
      </c>
      <c r="H65" s="295">
        <v>2000000</v>
      </c>
      <c r="I65" s="295">
        <f>SUM(G65+H65)</f>
        <v>52000000</v>
      </c>
      <c r="J65" s="295">
        <v>10000000</v>
      </c>
      <c r="K65" s="295">
        <f>SUM(I65+J65)</f>
        <v>62000000</v>
      </c>
    </row>
    <row r="66" spans="1:11" s="408" customFormat="1" ht="12" customHeight="1" thickBot="1">
      <c r="A66" s="16" t="s">
        <v>303</v>
      </c>
      <c r="B66" s="287" t="s">
        <v>306</v>
      </c>
      <c r="C66" s="295"/>
      <c r="D66" s="295"/>
      <c r="E66" s="295">
        <f>SUM(C66+D66)</f>
        <v>0</v>
      </c>
      <c r="F66" s="295"/>
      <c r="G66" s="295">
        <f>SUM(E66+F66)</f>
        <v>0</v>
      </c>
      <c r="H66" s="295"/>
      <c r="I66" s="295">
        <f>SUM(G66+H66)</f>
        <v>0</v>
      </c>
      <c r="J66" s="295"/>
      <c r="K66" s="295">
        <f>SUM(I66+J66)</f>
        <v>0</v>
      </c>
    </row>
    <row r="67" spans="1:11" s="408" customFormat="1" ht="12" customHeight="1" thickBot="1">
      <c r="A67" s="477" t="s">
        <v>476</v>
      </c>
      <c r="B67" s="21" t="s">
        <v>307</v>
      </c>
      <c r="C67" s="296">
        <f t="shared" ref="C67:I67" si="20">+C10+C17+C24+C31+C39+C51+C57+C62</f>
        <v>3863212748</v>
      </c>
      <c r="D67" s="296">
        <f t="shared" si="20"/>
        <v>37068681</v>
      </c>
      <c r="E67" s="296">
        <f t="shared" si="20"/>
        <v>3900281429</v>
      </c>
      <c r="F67" s="296">
        <f t="shared" si="20"/>
        <v>95316219</v>
      </c>
      <c r="G67" s="296">
        <f t="shared" si="20"/>
        <v>3995597648</v>
      </c>
      <c r="H67" s="296">
        <f t="shared" si="20"/>
        <v>-244997741</v>
      </c>
      <c r="I67" s="296">
        <f t="shared" si="20"/>
        <v>3750599907</v>
      </c>
      <c r="J67" s="296">
        <f>+J10+J17+J24+J31+J39+J51+J57+J62</f>
        <v>135440662</v>
      </c>
      <c r="K67" s="296">
        <f>+K10+K17+K24+K31+K39+K51+K57+K62</f>
        <v>3886040569</v>
      </c>
    </row>
    <row r="68" spans="1:11" s="408" customFormat="1" ht="12" customHeight="1" thickBot="1">
      <c r="A68" s="456" t="s">
        <v>308</v>
      </c>
      <c r="B68" s="285" t="s">
        <v>309</v>
      </c>
      <c r="C68" s="290">
        <f t="shared" ref="C68:I68" si="21">SUM(C69:C71)</f>
        <v>0</v>
      </c>
      <c r="D68" s="290">
        <f t="shared" si="21"/>
        <v>0</v>
      </c>
      <c r="E68" s="290">
        <f t="shared" si="21"/>
        <v>0</v>
      </c>
      <c r="F68" s="290">
        <f t="shared" si="21"/>
        <v>0</v>
      </c>
      <c r="G68" s="290">
        <f t="shared" si="21"/>
        <v>0</v>
      </c>
      <c r="H68" s="290">
        <f t="shared" si="21"/>
        <v>0</v>
      </c>
      <c r="I68" s="290">
        <f t="shared" si="21"/>
        <v>0</v>
      </c>
      <c r="J68" s="290">
        <f>SUM(J69:J71)</f>
        <v>0</v>
      </c>
      <c r="K68" s="290">
        <f>SUM(K69:K71)</f>
        <v>0</v>
      </c>
    </row>
    <row r="69" spans="1:11" s="408" customFormat="1" ht="12" customHeight="1">
      <c r="A69" s="15" t="s">
        <v>337</v>
      </c>
      <c r="B69" s="409" t="s">
        <v>310</v>
      </c>
      <c r="C69" s="295"/>
      <c r="D69" s="295"/>
      <c r="E69" s="295"/>
      <c r="F69" s="295"/>
      <c r="G69" s="295"/>
      <c r="H69" s="295"/>
      <c r="I69" s="295"/>
      <c r="J69" s="295"/>
      <c r="K69" s="295"/>
    </row>
    <row r="70" spans="1:11" s="408" customFormat="1" ht="12" customHeight="1">
      <c r="A70" s="14" t="s">
        <v>346</v>
      </c>
      <c r="B70" s="410" t="s">
        <v>311</v>
      </c>
      <c r="C70" s="295"/>
      <c r="D70" s="295"/>
      <c r="E70" s="295"/>
      <c r="F70" s="295"/>
      <c r="G70" s="295"/>
      <c r="H70" s="295"/>
      <c r="I70" s="295"/>
      <c r="J70" s="295"/>
      <c r="K70" s="295"/>
    </row>
    <row r="71" spans="1:11" s="408" customFormat="1" ht="12" customHeight="1" thickBot="1">
      <c r="A71" s="16" t="s">
        <v>347</v>
      </c>
      <c r="B71" s="471" t="s">
        <v>570</v>
      </c>
      <c r="C71" s="295"/>
      <c r="D71" s="295"/>
      <c r="E71" s="295"/>
      <c r="F71" s="295"/>
      <c r="G71" s="295"/>
      <c r="H71" s="295"/>
      <c r="I71" s="295"/>
      <c r="J71" s="295"/>
      <c r="K71" s="295"/>
    </row>
    <row r="72" spans="1:11" s="408" customFormat="1" ht="12" customHeight="1" thickBot="1">
      <c r="A72" s="456" t="s">
        <v>313</v>
      </c>
      <c r="B72" s="285" t="s">
        <v>314</v>
      </c>
      <c r="C72" s="290">
        <f t="shared" ref="C72:I72" si="22">SUM(C73:C76)</f>
        <v>0</v>
      </c>
      <c r="D72" s="290">
        <f t="shared" si="22"/>
        <v>0</v>
      </c>
      <c r="E72" s="290">
        <f t="shared" si="22"/>
        <v>0</v>
      </c>
      <c r="F72" s="290">
        <f t="shared" si="22"/>
        <v>0</v>
      </c>
      <c r="G72" s="290">
        <f t="shared" si="22"/>
        <v>0</v>
      </c>
      <c r="H72" s="290">
        <f t="shared" si="22"/>
        <v>0</v>
      </c>
      <c r="I72" s="290">
        <f t="shared" si="22"/>
        <v>0</v>
      </c>
      <c r="J72" s="290">
        <f>SUM(J73:J76)</f>
        <v>0</v>
      </c>
      <c r="K72" s="290">
        <f>SUM(K73:K76)</f>
        <v>0</v>
      </c>
    </row>
    <row r="73" spans="1:11" s="408" customFormat="1" ht="12" customHeight="1">
      <c r="A73" s="15" t="s">
        <v>149</v>
      </c>
      <c r="B73" s="409" t="s">
        <v>315</v>
      </c>
      <c r="C73" s="295"/>
      <c r="D73" s="295"/>
      <c r="E73" s="295"/>
      <c r="F73" s="295"/>
      <c r="G73" s="295"/>
      <c r="H73" s="295"/>
      <c r="I73" s="295"/>
      <c r="J73" s="295"/>
      <c r="K73" s="295"/>
    </row>
    <row r="74" spans="1:11" s="408" customFormat="1" ht="12" customHeight="1">
      <c r="A74" s="14" t="s">
        <v>150</v>
      </c>
      <c r="B74" s="410" t="s">
        <v>571</v>
      </c>
      <c r="C74" s="295"/>
      <c r="D74" s="295"/>
      <c r="E74" s="295"/>
      <c r="F74" s="295"/>
      <c r="G74" s="295"/>
      <c r="H74" s="295"/>
      <c r="I74" s="295"/>
      <c r="J74" s="295"/>
      <c r="K74" s="295"/>
    </row>
    <row r="75" spans="1:11" s="408" customFormat="1" ht="12" customHeight="1" thickBot="1">
      <c r="A75" s="16" t="s">
        <v>338</v>
      </c>
      <c r="B75" s="411" t="s">
        <v>316</v>
      </c>
      <c r="C75" s="396"/>
      <c r="D75" s="396"/>
      <c r="E75" s="396"/>
      <c r="F75" s="396"/>
      <c r="G75" s="396"/>
      <c r="H75" s="396"/>
      <c r="I75" s="396"/>
      <c r="J75" s="396"/>
      <c r="K75" s="396"/>
    </row>
    <row r="76" spans="1:11" s="408" customFormat="1" ht="12" customHeight="1" thickBot="1">
      <c r="A76" s="563" t="s">
        <v>339</v>
      </c>
      <c r="B76" s="564" t="s">
        <v>572</v>
      </c>
      <c r="C76" s="565"/>
      <c r="D76" s="565"/>
      <c r="E76" s="565"/>
      <c r="F76" s="565"/>
      <c r="G76" s="565"/>
      <c r="H76" s="565"/>
      <c r="I76" s="565"/>
      <c r="J76" s="565"/>
      <c r="K76" s="565"/>
    </row>
    <row r="77" spans="1:11" s="408" customFormat="1" ht="12" customHeight="1" thickBot="1">
      <c r="A77" s="456" t="s">
        <v>317</v>
      </c>
      <c r="B77" s="285" t="s">
        <v>318</v>
      </c>
      <c r="C77" s="290">
        <f>SUM(C78:C79)</f>
        <v>350000000</v>
      </c>
      <c r="D77" s="290">
        <f>SUM(D78:D79)</f>
        <v>0</v>
      </c>
      <c r="E77" s="290">
        <f>SUM(C77+D77)</f>
        <v>350000000</v>
      </c>
      <c r="F77" s="290">
        <f>SUM(F78:F79)</f>
        <v>524898833</v>
      </c>
      <c r="G77" s="290">
        <f>SUM(E77+F77)</f>
        <v>874898833</v>
      </c>
      <c r="H77" s="290">
        <f>SUM(H78:H79)</f>
        <v>0</v>
      </c>
      <c r="I77" s="290">
        <f>SUM(G77+H77)</f>
        <v>874898833</v>
      </c>
      <c r="J77" s="290">
        <f>SUM(J78:J79)</f>
        <v>0</v>
      </c>
      <c r="K77" s="290">
        <f>SUM(I77+J77)</f>
        <v>874898833</v>
      </c>
    </row>
    <row r="78" spans="1:11" s="408" customFormat="1" ht="12" customHeight="1" thickBot="1">
      <c r="A78" s="13" t="s">
        <v>340</v>
      </c>
      <c r="B78" s="562" t="s">
        <v>319</v>
      </c>
      <c r="C78" s="396">
        <v>350000000</v>
      </c>
      <c r="D78" s="396"/>
      <c r="E78" s="396">
        <f>SUM(C78+D78)</f>
        <v>350000000</v>
      </c>
      <c r="F78" s="396">
        <v>524898833</v>
      </c>
      <c r="G78" s="396">
        <f>SUM(E78+F78)</f>
        <v>874898833</v>
      </c>
      <c r="H78" s="396"/>
      <c r="I78" s="396">
        <f>SUM(G78+H78)</f>
        <v>874898833</v>
      </c>
      <c r="J78" s="396"/>
      <c r="K78" s="396">
        <f>SUM(I78+J78)</f>
        <v>874898833</v>
      </c>
    </row>
    <row r="79" spans="1:11" s="408" customFormat="1" ht="12" customHeight="1" thickBot="1">
      <c r="A79" s="563" t="s">
        <v>341</v>
      </c>
      <c r="B79" s="564" t="s">
        <v>320</v>
      </c>
      <c r="C79" s="565"/>
      <c r="D79" s="565"/>
      <c r="E79" s="565"/>
      <c r="F79" s="565"/>
      <c r="G79" s="565"/>
      <c r="H79" s="565"/>
      <c r="I79" s="565"/>
      <c r="J79" s="565"/>
      <c r="K79" s="565"/>
    </row>
    <row r="80" spans="1:11" s="408" customFormat="1" ht="12" customHeight="1" thickBot="1">
      <c r="A80" s="456" t="s">
        <v>321</v>
      </c>
      <c r="B80" s="285" t="s">
        <v>322</v>
      </c>
      <c r="C80" s="290">
        <f t="shared" ref="C80:I80" si="23">SUM(C81:C83)</f>
        <v>0</v>
      </c>
      <c r="D80" s="290">
        <f t="shared" si="23"/>
        <v>0</v>
      </c>
      <c r="E80" s="290">
        <f t="shared" si="23"/>
        <v>0</v>
      </c>
      <c r="F80" s="290">
        <f t="shared" si="23"/>
        <v>0</v>
      </c>
      <c r="G80" s="290">
        <f t="shared" si="23"/>
        <v>0</v>
      </c>
      <c r="H80" s="290">
        <f t="shared" si="23"/>
        <v>0</v>
      </c>
      <c r="I80" s="290">
        <f t="shared" si="23"/>
        <v>0</v>
      </c>
      <c r="J80" s="290">
        <f>SUM(J81:J83)</f>
        <v>0</v>
      </c>
      <c r="K80" s="290">
        <f>SUM(K81:K83)</f>
        <v>0</v>
      </c>
    </row>
    <row r="81" spans="1:11" s="408" customFormat="1" ht="12" customHeight="1">
      <c r="A81" s="15" t="s">
        <v>342</v>
      </c>
      <c r="B81" s="409" t="s">
        <v>323</v>
      </c>
      <c r="C81" s="295"/>
      <c r="D81" s="295"/>
      <c r="E81" s="295"/>
      <c r="F81" s="295"/>
      <c r="G81" s="295"/>
      <c r="H81" s="295"/>
      <c r="I81" s="295"/>
      <c r="J81" s="295"/>
      <c r="K81" s="295"/>
    </row>
    <row r="82" spans="1:11" s="408" customFormat="1" ht="12" customHeight="1">
      <c r="A82" s="14" t="s">
        <v>343</v>
      </c>
      <c r="B82" s="410" t="s">
        <v>324</v>
      </c>
      <c r="C82" s="295"/>
      <c r="D82" s="295"/>
      <c r="E82" s="295"/>
      <c r="F82" s="295"/>
      <c r="G82" s="295"/>
      <c r="H82" s="295"/>
      <c r="I82" s="295"/>
      <c r="J82" s="295"/>
      <c r="K82" s="295"/>
    </row>
    <row r="83" spans="1:11" s="408" customFormat="1" ht="12" customHeight="1" thickBot="1">
      <c r="A83" s="18" t="s">
        <v>344</v>
      </c>
      <c r="B83" s="566" t="s">
        <v>573</v>
      </c>
      <c r="C83" s="567"/>
      <c r="D83" s="567"/>
      <c r="E83" s="567"/>
      <c r="F83" s="567"/>
      <c r="G83" s="567"/>
      <c r="H83" s="567"/>
      <c r="I83" s="567"/>
      <c r="J83" s="567"/>
      <c r="K83" s="567"/>
    </row>
    <row r="84" spans="1:11" s="408" customFormat="1" ht="12" customHeight="1" thickBot="1">
      <c r="A84" s="456" t="s">
        <v>325</v>
      </c>
      <c r="B84" s="285" t="s">
        <v>345</v>
      </c>
      <c r="C84" s="290">
        <f t="shared" ref="C84:I84" si="24">SUM(C85:C88)</f>
        <v>0</v>
      </c>
      <c r="D84" s="290">
        <f t="shared" si="24"/>
        <v>0</v>
      </c>
      <c r="E84" s="290">
        <f t="shared" si="24"/>
        <v>0</v>
      </c>
      <c r="F84" s="290">
        <f t="shared" si="24"/>
        <v>0</v>
      </c>
      <c r="G84" s="290">
        <f t="shared" si="24"/>
        <v>0</v>
      </c>
      <c r="H84" s="290">
        <f t="shared" si="24"/>
        <v>0</v>
      </c>
      <c r="I84" s="290">
        <f t="shared" si="24"/>
        <v>0</v>
      </c>
      <c r="J84" s="290">
        <f>SUM(J85:J88)</f>
        <v>0</v>
      </c>
      <c r="K84" s="290">
        <f>SUM(K85:K88)</f>
        <v>0</v>
      </c>
    </row>
    <row r="85" spans="1:11" s="408" customFormat="1" ht="12" customHeight="1">
      <c r="A85" s="413" t="s">
        <v>326</v>
      </c>
      <c r="B85" s="409" t="s">
        <v>327</v>
      </c>
      <c r="C85" s="295"/>
      <c r="D85" s="295"/>
      <c r="E85" s="295"/>
      <c r="F85" s="295"/>
      <c r="G85" s="295"/>
      <c r="H85" s="295"/>
      <c r="I85" s="295"/>
      <c r="J85" s="295"/>
      <c r="K85" s="295"/>
    </row>
    <row r="86" spans="1:11" s="408" customFormat="1" ht="12" customHeight="1">
      <c r="A86" s="414" t="s">
        <v>328</v>
      </c>
      <c r="B86" s="410" t="s">
        <v>329</v>
      </c>
      <c r="C86" s="295"/>
      <c r="D86" s="295"/>
      <c r="E86" s="295"/>
      <c r="F86" s="295"/>
      <c r="G86" s="295"/>
      <c r="H86" s="295"/>
      <c r="I86" s="295"/>
      <c r="J86" s="295"/>
      <c r="K86" s="295"/>
    </row>
    <row r="87" spans="1:11" s="408" customFormat="1" ht="12" customHeight="1">
      <c r="A87" s="414" t="s">
        <v>330</v>
      </c>
      <c r="B87" s="410" t="s">
        <v>331</v>
      </c>
      <c r="C87" s="295"/>
      <c r="D87" s="295"/>
      <c r="E87" s="295"/>
      <c r="F87" s="295"/>
      <c r="G87" s="295"/>
      <c r="H87" s="295"/>
      <c r="I87" s="295"/>
      <c r="J87" s="295"/>
      <c r="K87" s="295"/>
    </row>
    <row r="88" spans="1:11" s="408" customFormat="1" ht="12" customHeight="1" thickBot="1">
      <c r="A88" s="415" t="s">
        <v>332</v>
      </c>
      <c r="B88" s="287" t="s">
        <v>333</v>
      </c>
      <c r="C88" s="295"/>
      <c r="D88" s="295"/>
      <c r="E88" s="295"/>
      <c r="F88" s="295"/>
      <c r="G88" s="295"/>
      <c r="H88" s="295"/>
      <c r="I88" s="295"/>
      <c r="J88" s="295"/>
      <c r="K88" s="295"/>
    </row>
    <row r="89" spans="1:11" s="408" customFormat="1" ht="12" customHeight="1" thickBot="1">
      <c r="A89" s="456" t="s">
        <v>334</v>
      </c>
      <c r="B89" s="285" t="s">
        <v>475</v>
      </c>
      <c r="C89" s="454"/>
      <c r="D89" s="454"/>
      <c r="E89" s="454"/>
      <c r="F89" s="454"/>
      <c r="G89" s="454"/>
      <c r="H89" s="454"/>
      <c r="I89" s="454"/>
      <c r="J89" s="454"/>
      <c r="K89" s="454"/>
    </row>
    <row r="90" spans="1:11" s="408" customFormat="1" ht="13.5" customHeight="1" thickBot="1">
      <c r="A90" s="456" t="s">
        <v>336</v>
      </c>
      <c r="B90" s="285" t="s">
        <v>335</v>
      </c>
      <c r="C90" s="454"/>
      <c r="D90" s="454"/>
      <c r="E90" s="454"/>
      <c r="F90" s="454"/>
      <c r="G90" s="454"/>
      <c r="H90" s="454"/>
      <c r="I90" s="454"/>
      <c r="J90" s="454"/>
      <c r="K90" s="454"/>
    </row>
    <row r="91" spans="1:11" s="408" customFormat="1" ht="15.75" customHeight="1" thickBot="1">
      <c r="A91" s="456" t="s">
        <v>348</v>
      </c>
      <c r="B91" s="416" t="s">
        <v>478</v>
      </c>
      <c r="C91" s="296">
        <f t="shared" ref="C91:I91" si="25">+C68+C72+C77+C80+C84+C90+C89</f>
        <v>350000000</v>
      </c>
      <c r="D91" s="296">
        <f t="shared" si="25"/>
        <v>0</v>
      </c>
      <c r="E91" s="296">
        <f t="shared" si="25"/>
        <v>350000000</v>
      </c>
      <c r="F91" s="296">
        <f t="shared" si="25"/>
        <v>524898833</v>
      </c>
      <c r="G91" s="296">
        <f t="shared" si="25"/>
        <v>874898833</v>
      </c>
      <c r="H91" s="296">
        <f t="shared" si="25"/>
        <v>0</v>
      </c>
      <c r="I91" s="296">
        <f t="shared" si="25"/>
        <v>874898833</v>
      </c>
      <c r="J91" s="296">
        <f>+J68+J72+J77+J80+J84+J90+J89</f>
        <v>0</v>
      </c>
      <c r="K91" s="296">
        <f>+K68+K72+K77+K80+K84+K90+K89</f>
        <v>874898833</v>
      </c>
    </row>
    <row r="92" spans="1:11" s="408" customFormat="1" ht="16.5" customHeight="1" thickBot="1">
      <c r="A92" s="457" t="s">
        <v>477</v>
      </c>
      <c r="B92" s="417" t="s">
        <v>479</v>
      </c>
      <c r="C92" s="296">
        <f t="shared" ref="C92:I92" si="26">+C67+C91</f>
        <v>4213212748</v>
      </c>
      <c r="D92" s="296">
        <f t="shared" si="26"/>
        <v>37068681</v>
      </c>
      <c r="E92" s="296">
        <f t="shared" si="26"/>
        <v>4250281429</v>
      </c>
      <c r="F92" s="296">
        <f t="shared" si="26"/>
        <v>620215052</v>
      </c>
      <c r="G92" s="296">
        <f t="shared" si="26"/>
        <v>4870496481</v>
      </c>
      <c r="H92" s="296">
        <f t="shared" si="26"/>
        <v>-244997741</v>
      </c>
      <c r="I92" s="296">
        <f t="shared" si="26"/>
        <v>4625498740</v>
      </c>
      <c r="J92" s="296">
        <f>+J67+J91</f>
        <v>135440662</v>
      </c>
      <c r="K92" s="296">
        <f>+K67+K91</f>
        <v>4760939402</v>
      </c>
    </row>
    <row r="93" spans="1:11" s="408" customFormat="1" ht="11.1" customHeight="1">
      <c r="A93" s="5"/>
      <c r="B93" s="6"/>
      <c r="C93" s="297"/>
      <c r="D93" s="297"/>
      <c r="E93" s="297"/>
    </row>
    <row r="94" spans="1:11" ht="16.5" customHeight="1">
      <c r="A94" s="824" t="s">
        <v>47</v>
      </c>
      <c r="B94" s="824"/>
      <c r="C94" s="824"/>
      <c r="D94" s="406"/>
      <c r="E94" s="406"/>
    </row>
    <row r="95" spans="1:11" s="418" customFormat="1" ht="16.5" customHeight="1" thickBot="1">
      <c r="A95" s="821" t="s">
        <v>153</v>
      </c>
      <c r="B95" s="821"/>
      <c r="C95" s="575">
        <f>C7</f>
        <v>0</v>
      </c>
      <c r="D95" s="575">
        <f>D7</f>
        <v>0</v>
      </c>
      <c r="E95" s="575" t="str">
        <f>E7</f>
        <v>Forintban!</v>
      </c>
    </row>
    <row r="96" spans="1:11" ht="38.1" customHeight="1" thickBot="1">
      <c r="A96" s="555" t="s">
        <v>69</v>
      </c>
      <c r="B96" s="556" t="s">
        <v>48</v>
      </c>
      <c r="C96" s="557" t="str">
        <f ca="1">+C8</f>
        <v>2019. évi előirányzat</v>
      </c>
      <c r="D96" s="796" t="s">
        <v>742</v>
      </c>
      <c r="E96" s="557" t="s">
        <v>741</v>
      </c>
      <c r="F96" s="796" t="s">
        <v>786</v>
      </c>
      <c r="G96" s="557" t="s">
        <v>741</v>
      </c>
      <c r="H96" s="796" t="s">
        <v>813</v>
      </c>
      <c r="I96" s="557" t="s">
        <v>741</v>
      </c>
      <c r="J96" s="796" t="s">
        <v>843</v>
      </c>
      <c r="K96" s="557" t="s">
        <v>741</v>
      </c>
    </row>
    <row r="97" spans="1:11" s="407" customFormat="1" ht="12" customHeight="1" thickBot="1">
      <c r="A97" s="555"/>
      <c r="B97" s="556" t="s">
        <v>493</v>
      </c>
      <c r="C97" s="557" t="s">
        <v>494</v>
      </c>
      <c r="D97" s="557" t="s">
        <v>494</v>
      </c>
      <c r="E97" s="557" t="s">
        <v>494</v>
      </c>
      <c r="F97" s="557" t="s">
        <v>494</v>
      </c>
      <c r="G97" s="557" t="s">
        <v>494</v>
      </c>
      <c r="H97" s="557" t="s">
        <v>494</v>
      </c>
      <c r="I97" s="557" t="s">
        <v>494</v>
      </c>
      <c r="J97" s="557" t="s">
        <v>494</v>
      </c>
      <c r="K97" s="557" t="s">
        <v>494</v>
      </c>
    </row>
    <row r="98" spans="1:11" ht="12" customHeight="1" thickBot="1">
      <c r="A98" s="22" t="s">
        <v>18</v>
      </c>
      <c r="B98" s="28" t="s">
        <v>437</v>
      </c>
      <c r="C98" s="289">
        <f>C99+C100+C101+C102+C103+C116</f>
        <v>3042131821</v>
      </c>
      <c r="D98" s="289">
        <f>D99+D100+D101+D102+D103+D116</f>
        <v>21021929</v>
      </c>
      <c r="E98" s="289">
        <f t="shared" ref="E98:E103" si="27">SUM(C98+D98)</f>
        <v>3063153750</v>
      </c>
      <c r="F98" s="289">
        <f>F99+F100+F101+F102+F103+F116</f>
        <v>437091011</v>
      </c>
      <c r="G98" s="289">
        <f t="shared" ref="G98:G103" si="28">SUM(E98+F98)</f>
        <v>3500244761</v>
      </c>
      <c r="H98" s="289">
        <f>H99+H100+H101+H102+H103+H116</f>
        <v>72553584</v>
      </c>
      <c r="I98" s="289">
        <f t="shared" ref="I98:I103" si="29">SUM(G98+H98)</f>
        <v>3572798345</v>
      </c>
      <c r="J98" s="289">
        <f>+J99+J100+J101+J102+J103+J116</f>
        <v>118877777</v>
      </c>
      <c r="K98" s="289">
        <f t="shared" ref="K98:K103" si="30">SUM(I98+J98)</f>
        <v>3691676122</v>
      </c>
    </row>
    <row r="99" spans="1:11" ht="12" customHeight="1" thickBot="1">
      <c r="A99" s="17" t="s">
        <v>98</v>
      </c>
      <c r="B99" s="10" t="s">
        <v>49</v>
      </c>
      <c r="C99" s="291">
        <v>1261020988</v>
      </c>
      <c r="D99" s="291">
        <v>8220800</v>
      </c>
      <c r="E99" s="291">
        <f t="shared" si="27"/>
        <v>1269241788</v>
      </c>
      <c r="F99" s="291">
        <v>27981048</v>
      </c>
      <c r="G99" s="291">
        <f t="shared" si="28"/>
        <v>1297222836</v>
      </c>
      <c r="H99" s="291">
        <v>26836259</v>
      </c>
      <c r="I99" s="291">
        <f t="shared" si="29"/>
        <v>1324059095</v>
      </c>
      <c r="J99" s="291">
        <f>43826081+370917+1544000+278500-71865400+480633+1082098</f>
        <v>-24283171</v>
      </c>
      <c r="K99" s="291">
        <f t="shared" si="30"/>
        <v>1299775924</v>
      </c>
    </row>
    <row r="100" spans="1:11" ht="12" customHeight="1" thickBot="1">
      <c r="A100" s="14" t="s">
        <v>99</v>
      </c>
      <c r="B100" s="8" t="s">
        <v>183</v>
      </c>
      <c r="C100" s="292">
        <v>230506879</v>
      </c>
      <c r="D100" s="292">
        <v>2894759</v>
      </c>
      <c r="E100" s="291">
        <f t="shared" si="27"/>
        <v>233401638</v>
      </c>
      <c r="F100" s="292">
        <v>2341049</v>
      </c>
      <c r="G100" s="291">
        <f t="shared" si="28"/>
        <v>235742687</v>
      </c>
      <c r="H100" s="292">
        <v>4303471</v>
      </c>
      <c r="I100" s="291">
        <f t="shared" si="29"/>
        <v>240046158</v>
      </c>
      <c r="J100" s="292">
        <f>5586243+3507876+49855+202912-5041+192814</f>
        <v>9534659</v>
      </c>
      <c r="K100" s="291">
        <f t="shared" si="30"/>
        <v>249580817</v>
      </c>
    </row>
    <row r="101" spans="1:11" ht="12" customHeight="1" thickBot="1">
      <c r="A101" s="14" t="s">
        <v>100</v>
      </c>
      <c r="B101" s="8" t="s">
        <v>140</v>
      </c>
      <c r="C101" s="294">
        <v>1114463890</v>
      </c>
      <c r="D101" s="294">
        <v>47846752</v>
      </c>
      <c r="E101" s="291">
        <f t="shared" si="27"/>
        <v>1162310642</v>
      </c>
      <c r="F101" s="294">
        <v>91376409</v>
      </c>
      <c r="G101" s="291">
        <f t="shared" si="28"/>
        <v>1253687051</v>
      </c>
      <c r="H101" s="294">
        <v>43982702</v>
      </c>
      <c r="I101" s="291">
        <f t="shared" si="29"/>
        <v>1297669753</v>
      </c>
      <c r="J101" s="294">
        <f>81424412+2209777+97399+88000000-18108-587000</f>
        <v>171126480</v>
      </c>
      <c r="K101" s="291">
        <f t="shared" si="30"/>
        <v>1468796233</v>
      </c>
    </row>
    <row r="102" spans="1:11" ht="12" customHeight="1" thickBot="1">
      <c r="A102" s="14" t="s">
        <v>101</v>
      </c>
      <c r="B102" s="11" t="s">
        <v>184</v>
      </c>
      <c r="C102" s="294">
        <v>61500000</v>
      </c>
      <c r="D102" s="294"/>
      <c r="E102" s="291">
        <f t="shared" si="27"/>
        <v>61500000</v>
      </c>
      <c r="F102" s="294">
        <v>3147000</v>
      </c>
      <c r="G102" s="291">
        <f t="shared" si="28"/>
        <v>64647000</v>
      </c>
      <c r="H102" s="294">
        <v>-4199000</v>
      </c>
      <c r="I102" s="291">
        <f t="shared" si="29"/>
        <v>60448000</v>
      </c>
      <c r="J102" s="294">
        <v>389000</v>
      </c>
      <c r="K102" s="291">
        <f t="shared" si="30"/>
        <v>60837000</v>
      </c>
    </row>
    <row r="103" spans="1:11" ht="12" customHeight="1">
      <c r="A103" s="14" t="s">
        <v>112</v>
      </c>
      <c r="B103" s="19" t="s">
        <v>185</v>
      </c>
      <c r="C103" s="294">
        <v>270477006</v>
      </c>
      <c r="D103" s="294"/>
      <c r="E103" s="291">
        <f t="shared" si="27"/>
        <v>270477006</v>
      </c>
      <c r="F103" s="294">
        <v>29767946</v>
      </c>
      <c r="G103" s="291">
        <f t="shared" si="28"/>
        <v>300244952</v>
      </c>
      <c r="H103" s="294">
        <v>-586580</v>
      </c>
      <c r="I103" s="291">
        <f t="shared" si="29"/>
        <v>299658372</v>
      </c>
      <c r="J103" s="294">
        <v>22620177</v>
      </c>
      <c r="K103" s="291">
        <f t="shared" si="30"/>
        <v>322278549</v>
      </c>
    </row>
    <row r="104" spans="1:11" ht="12" customHeight="1">
      <c r="A104" s="14" t="s">
        <v>102</v>
      </c>
      <c r="B104" s="8" t="s">
        <v>442</v>
      </c>
      <c r="C104" s="294"/>
      <c r="D104" s="294"/>
      <c r="E104" s="294"/>
      <c r="F104" s="294"/>
      <c r="G104" s="294"/>
      <c r="H104" s="294"/>
      <c r="I104" s="294"/>
      <c r="J104" s="294"/>
      <c r="K104" s="294"/>
    </row>
    <row r="105" spans="1:11" ht="12" customHeight="1">
      <c r="A105" s="14" t="s">
        <v>103</v>
      </c>
      <c r="B105" s="138" t="s">
        <v>441</v>
      </c>
      <c r="C105" s="294"/>
      <c r="D105" s="294"/>
      <c r="E105" s="294"/>
      <c r="F105" s="294"/>
      <c r="G105" s="294"/>
      <c r="H105" s="294"/>
      <c r="I105" s="294"/>
      <c r="J105" s="294"/>
      <c r="K105" s="294"/>
    </row>
    <row r="106" spans="1:11" ht="12" customHeight="1">
      <c r="A106" s="14" t="s">
        <v>113</v>
      </c>
      <c r="B106" s="138" t="s">
        <v>440</v>
      </c>
      <c r="C106" s="294"/>
      <c r="D106" s="294"/>
      <c r="E106" s="294"/>
      <c r="F106" s="294"/>
      <c r="G106" s="294"/>
      <c r="H106" s="294"/>
      <c r="I106" s="294"/>
      <c r="J106" s="294"/>
      <c r="K106" s="294"/>
    </row>
    <row r="107" spans="1:11" ht="12" customHeight="1">
      <c r="A107" s="14" t="s">
        <v>114</v>
      </c>
      <c r="B107" s="136" t="s">
        <v>351</v>
      </c>
      <c r="C107" s="294"/>
      <c r="D107" s="294"/>
      <c r="E107" s="294"/>
      <c r="F107" s="294"/>
      <c r="G107" s="294"/>
      <c r="H107" s="294"/>
      <c r="I107" s="294"/>
      <c r="J107" s="294"/>
      <c r="K107" s="294"/>
    </row>
    <row r="108" spans="1:11" ht="12" customHeight="1">
      <c r="A108" s="14" t="s">
        <v>115</v>
      </c>
      <c r="B108" s="137" t="s">
        <v>352</v>
      </c>
      <c r="C108" s="294"/>
      <c r="D108" s="294"/>
      <c r="E108" s="294"/>
      <c r="F108" s="294"/>
      <c r="G108" s="294"/>
      <c r="H108" s="294"/>
      <c r="I108" s="294"/>
      <c r="J108" s="294"/>
      <c r="K108" s="294"/>
    </row>
    <row r="109" spans="1:11" ht="12" customHeight="1">
      <c r="A109" s="14" t="s">
        <v>116</v>
      </c>
      <c r="B109" s="137" t="s">
        <v>353</v>
      </c>
      <c r="C109" s="294"/>
      <c r="D109" s="294"/>
      <c r="E109" s="294"/>
      <c r="F109" s="294"/>
      <c r="G109" s="294"/>
      <c r="H109" s="294"/>
      <c r="I109" s="294"/>
      <c r="J109" s="294"/>
      <c r="K109" s="294"/>
    </row>
    <row r="110" spans="1:11" ht="12" customHeight="1">
      <c r="A110" s="14" t="s">
        <v>118</v>
      </c>
      <c r="B110" s="136" t="s">
        <v>354</v>
      </c>
      <c r="C110" s="294"/>
      <c r="D110" s="294"/>
      <c r="E110" s="294"/>
      <c r="F110" s="294"/>
      <c r="G110" s="294"/>
      <c r="H110" s="294"/>
      <c r="I110" s="294"/>
      <c r="J110" s="294"/>
      <c r="K110" s="294"/>
    </row>
    <row r="111" spans="1:11" ht="12" customHeight="1">
      <c r="A111" s="14" t="s">
        <v>186</v>
      </c>
      <c r="B111" s="136" t="s">
        <v>355</v>
      </c>
      <c r="C111" s="294"/>
      <c r="D111" s="294"/>
      <c r="E111" s="294"/>
      <c r="F111" s="294"/>
      <c r="G111" s="294"/>
      <c r="H111" s="294"/>
      <c r="I111" s="294"/>
      <c r="J111" s="294"/>
      <c r="K111" s="294"/>
    </row>
    <row r="112" spans="1:11" ht="12" customHeight="1">
      <c r="A112" s="14" t="s">
        <v>349</v>
      </c>
      <c r="B112" s="137" t="s">
        <v>356</v>
      </c>
      <c r="C112" s="294"/>
      <c r="D112" s="294"/>
      <c r="E112" s="294"/>
      <c r="F112" s="294"/>
      <c r="G112" s="294"/>
      <c r="H112" s="294"/>
      <c r="I112" s="294"/>
      <c r="J112" s="294"/>
      <c r="K112" s="294"/>
    </row>
    <row r="113" spans="1:11" ht="12" customHeight="1">
      <c r="A113" s="13" t="s">
        <v>350</v>
      </c>
      <c r="B113" s="138" t="s">
        <v>357</v>
      </c>
      <c r="C113" s="294"/>
      <c r="D113" s="294"/>
      <c r="E113" s="294"/>
      <c r="F113" s="294"/>
      <c r="G113" s="294"/>
      <c r="H113" s="294"/>
      <c r="I113" s="294"/>
      <c r="J113" s="294"/>
      <c r="K113" s="294"/>
    </row>
    <row r="114" spans="1:11" ht="12" customHeight="1">
      <c r="A114" s="14" t="s">
        <v>438</v>
      </c>
      <c r="B114" s="138" t="s">
        <v>358</v>
      </c>
      <c r="C114" s="294"/>
      <c r="D114" s="294"/>
      <c r="E114" s="294"/>
      <c r="F114" s="294"/>
      <c r="G114" s="294"/>
      <c r="H114" s="294"/>
      <c r="I114" s="294"/>
      <c r="J114" s="294"/>
      <c r="K114" s="294"/>
    </row>
    <row r="115" spans="1:11" ht="12" customHeight="1">
      <c r="A115" s="16" t="s">
        <v>439</v>
      </c>
      <c r="B115" s="138" t="s">
        <v>359</v>
      </c>
      <c r="C115" s="294">
        <v>273468360</v>
      </c>
      <c r="D115" s="294"/>
      <c r="E115" s="294"/>
      <c r="F115" s="294"/>
      <c r="G115" s="294"/>
      <c r="H115" s="294"/>
      <c r="I115" s="294"/>
      <c r="J115" s="292"/>
      <c r="K115" s="294"/>
    </row>
    <row r="116" spans="1:11" ht="12" customHeight="1">
      <c r="A116" s="14" t="s">
        <v>443</v>
      </c>
      <c r="B116" s="11" t="s">
        <v>50</v>
      </c>
      <c r="C116" s="292">
        <f>SUM(C117:C118)</f>
        <v>104163058</v>
      </c>
      <c r="D116" s="292">
        <f>SUM(D117:D118)</f>
        <v>-37940382</v>
      </c>
      <c r="E116" s="292">
        <f>SUM(C116+D116)</f>
        <v>66222676</v>
      </c>
      <c r="F116" s="292">
        <f>SUM(F117:F118)</f>
        <v>282477559</v>
      </c>
      <c r="G116" s="292">
        <f>SUM(E116+F116)</f>
        <v>348700235</v>
      </c>
      <c r="H116" s="292">
        <f>SUM(H117:H118)</f>
        <v>2216732</v>
      </c>
      <c r="I116" s="292">
        <f>SUM(G116+H116)</f>
        <v>350916967</v>
      </c>
      <c r="J116" s="292">
        <f>SUM(J117:J118)</f>
        <v>-60509368</v>
      </c>
      <c r="K116" s="292">
        <f>SUM(I116+J116)</f>
        <v>290407599</v>
      </c>
    </row>
    <row r="117" spans="1:11" ht="12" customHeight="1">
      <c r="A117" s="14" t="s">
        <v>444</v>
      </c>
      <c r="B117" s="8" t="s">
        <v>446</v>
      </c>
      <c r="C117" s="292">
        <v>44166704</v>
      </c>
      <c r="D117" s="292"/>
      <c r="E117" s="292">
        <f>SUM(C117+D117)</f>
        <v>44166704</v>
      </c>
      <c r="F117" s="292">
        <v>2091701</v>
      </c>
      <c r="G117" s="292">
        <f>SUM(E117+F117)</f>
        <v>46258405</v>
      </c>
      <c r="H117" s="292">
        <v>14246732</v>
      </c>
      <c r="I117" s="292">
        <f>SUM(G117+H117)</f>
        <v>60505137</v>
      </c>
      <c r="J117" s="294">
        <v>-55069368</v>
      </c>
      <c r="K117" s="292">
        <f>SUM(I117+J117)</f>
        <v>5435769</v>
      </c>
    </row>
    <row r="118" spans="1:11" ht="12" customHeight="1" thickBot="1">
      <c r="A118" s="18" t="s">
        <v>445</v>
      </c>
      <c r="B118" s="475" t="s">
        <v>447</v>
      </c>
      <c r="C118" s="298">
        <v>59996354</v>
      </c>
      <c r="D118" s="298">
        <v>-37940382</v>
      </c>
      <c r="E118" s="292">
        <f>SUM(C118+D118)</f>
        <v>22055972</v>
      </c>
      <c r="F118" s="298">
        <v>280385858</v>
      </c>
      <c r="G118" s="292">
        <f>SUM(E118+F118)</f>
        <v>302441830</v>
      </c>
      <c r="H118" s="298">
        <v>-12030000</v>
      </c>
      <c r="I118" s="292">
        <f>SUM(G118+H118)</f>
        <v>290411830</v>
      </c>
      <c r="J118" s="298">
        <v>-5440000</v>
      </c>
      <c r="K118" s="292">
        <f>SUM(I118+J118)</f>
        <v>284971830</v>
      </c>
    </row>
    <row r="119" spans="1:11" ht="12" customHeight="1" thickBot="1">
      <c r="A119" s="472" t="s">
        <v>19</v>
      </c>
      <c r="B119" s="473" t="s">
        <v>360</v>
      </c>
      <c r="C119" s="474">
        <f>+C120+C122+C124</f>
        <v>1171080927</v>
      </c>
      <c r="D119" s="474">
        <f>+D120+D122+D124</f>
        <v>-14247913</v>
      </c>
      <c r="E119" s="474">
        <f>SUM(C119+D119)</f>
        <v>1156833014</v>
      </c>
      <c r="F119" s="474">
        <f>+F120+F122+F124</f>
        <v>183124041</v>
      </c>
      <c r="G119" s="474">
        <f>SUM(E119+F119)</f>
        <v>1339957055</v>
      </c>
      <c r="H119" s="474">
        <f>+H120+H122+H124</f>
        <v>-317551325</v>
      </c>
      <c r="I119" s="474">
        <f>SUM(G119+H119)</f>
        <v>1022405730</v>
      </c>
      <c r="J119" s="474">
        <f>+J120+J122+J124</f>
        <v>16562885</v>
      </c>
      <c r="K119" s="474">
        <f>SUM(I119+J119)</f>
        <v>1038968615</v>
      </c>
    </row>
    <row r="120" spans="1:11" ht="12" customHeight="1">
      <c r="A120" s="15" t="s">
        <v>104</v>
      </c>
      <c r="B120" s="8" t="s">
        <v>230</v>
      </c>
      <c r="C120" s="293">
        <v>959341949</v>
      </c>
      <c r="D120" s="293">
        <v>-138021513</v>
      </c>
      <c r="E120" s="293">
        <f>SUM(C120+D120)</f>
        <v>821320436</v>
      </c>
      <c r="F120" s="293">
        <v>92729936</v>
      </c>
      <c r="G120" s="293">
        <f>SUM(E120+F120)</f>
        <v>914050372</v>
      </c>
      <c r="H120" s="293">
        <v>-320923905</v>
      </c>
      <c r="I120" s="293">
        <f>SUM(G120+H120)</f>
        <v>593126467</v>
      </c>
      <c r="J120" s="293">
        <f>-54147686+266280+2902601+1100000+1473000</f>
        <v>-48405805</v>
      </c>
      <c r="K120" s="293">
        <f>SUM(I120+J120)</f>
        <v>544720662</v>
      </c>
    </row>
    <row r="121" spans="1:11" ht="12" customHeight="1">
      <c r="A121" s="15" t="s">
        <v>105</v>
      </c>
      <c r="B121" s="12" t="s">
        <v>364</v>
      </c>
      <c r="C121" s="293"/>
      <c r="D121" s="293"/>
      <c r="E121" s="293"/>
      <c r="F121" s="293"/>
      <c r="G121" s="293"/>
      <c r="H121" s="293"/>
      <c r="I121" s="293"/>
      <c r="J121" s="293"/>
      <c r="K121" s="293"/>
    </row>
    <row r="122" spans="1:11" ht="12" customHeight="1">
      <c r="A122" s="15" t="s">
        <v>106</v>
      </c>
      <c r="B122" s="12" t="s">
        <v>187</v>
      </c>
      <c r="C122" s="292">
        <v>211738978</v>
      </c>
      <c r="D122" s="292"/>
      <c r="E122" s="292">
        <f>SUM(C122+D122)</f>
        <v>211738978</v>
      </c>
      <c r="F122" s="292">
        <v>90394105</v>
      </c>
      <c r="G122" s="292">
        <f>SUM(E122+F122)</f>
        <v>302133083</v>
      </c>
      <c r="H122" s="292">
        <v>1016000</v>
      </c>
      <c r="I122" s="292">
        <f>SUM(G122+H122)</f>
        <v>303149083</v>
      </c>
      <c r="J122" s="292">
        <v>45568690</v>
      </c>
      <c r="K122" s="292">
        <f>SUM(I122+J122)</f>
        <v>348717773</v>
      </c>
    </row>
    <row r="123" spans="1:11" ht="12" customHeight="1">
      <c r="A123" s="15" t="s">
        <v>107</v>
      </c>
      <c r="B123" s="12" t="s">
        <v>365</v>
      </c>
      <c r="C123" s="257"/>
      <c r="D123" s="257"/>
      <c r="E123" s="257"/>
      <c r="F123" s="257"/>
      <c r="G123" s="257"/>
      <c r="H123" s="257"/>
      <c r="I123" s="257"/>
      <c r="J123" s="257"/>
      <c r="K123" s="257"/>
    </row>
    <row r="124" spans="1:11" ht="12" customHeight="1">
      <c r="A124" s="15" t="s">
        <v>108</v>
      </c>
      <c r="B124" s="287" t="s">
        <v>575</v>
      </c>
      <c r="C124" s="257"/>
      <c r="D124" s="257">
        <v>123773600</v>
      </c>
      <c r="E124" s="257">
        <f>SUM(C124+D124)</f>
        <v>123773600</v>
      </c>
      <c r="F124" s="257"/>
      <c r="G124" s="257">
        <f>SUM(E124+F124)</f>
        <v>123773600</v>
      </c>
      <c r="H124" s="257">
        <v>2356580</v>
      </c>
      <c r="I124" s="257">
        <f>SUM(G124+H124)</f>
        <v>126130180</v>
      </c>
      <c r="J124" s="257">
        <v>19400000</v>
      </c>
      <c r="K124" s="257">
        <f>SUM(I124+J124)</f>
        <v>145530180</v>
      </c>
    </row>
    <row r="125" spans="1:11" ht="12" customHeight="1">
      <c r="A125" s="15" t="s">
        <v>117</v>
      </c>
      <c r="B125" s="286" t="s">
        <v>428</v>
      </c>
      <c r="C125" s="257"/>
      <c r="D125" s="257"/>
      <c r="E125" s="257"/>
      <c r="F125" s="257"/>
      <c r="G125" s="257"/>
      <c r="H125" s="257"/>
      <c r="I125" s="257"/>
      <c r="J125" s="257"/>
      <c r="K125" s="257"/>
    </row>
    <row r="126" spans="1:11" ht="12" customHeight="1">
      <c r="A126" s="15" t="s">
        <v>119</v>
      </c>
      <c r="B126" s="405" t="s">
        <v>370</v>
      </c>
      <c r="C126" s="257"/>
      <c r="D126" s="257"/>
      <c r="E126" s="257"/>
      <c r="F126" s="257"/>
      <c r="G126" s="257"/>
      <c r="H126" s="257"/>
      <c r="I126" s="257"/>
      <c r="J126" s="257"/>
      <c r="K126" s="257"/>
    </row>
    <row r="127" spans="1:11">
      <c r="A127" s="15" t="s">
        <v>188</v>
      </c>
      <c r="B127" s="137" t="s">
        <v>353</v>
      </c>
      <c r="C127" s="257"/>
      <c r="D127" s="257"/>
      <c r="E127" s="257"/>
      <c r="F127" s="257"/>
      <c r="G127" s="257"/>
      <c r="H127" s="257"/>
      <c r="I127" s="257"/>
      <c r="J127" s="257"/>
      <c r="K127" s="257"/>
    </row>
    <row r="128" spans="1:11" ht="12" customHeight="1">
      <c r="A128" s="15" t="s">
        <v>189</v>
      </c>
      <c r="B128" s="137" t="s">
        <v>369</v>
      </c>
      <c r="C128" s="257"/>
      <c r="D128" s="257"/>
      <c r="E128" s="257"/>
      <c r="F128" s="257"/>
      <c r="G128" s="257"/>
      <c r="H128" s="257"/>
      <c r="I128" s="257"/>
      <c r="J128" s="257"/>
      <c r="K128" s="257"/>
    </row>
    <row r="129" spans="1:11" ht="12" customHeight="1">
      <c r="A129" s="15" t="s">
        <v>190</v>
      </c>
      <c r="B129" s="137" t="s">
        <v>368</v>
      </c>
      <c r="C129" s="257"/>
      <c r="D129" s="257"/>
      <c r="E129" s="257"/>
      <c r="F129" s="257"/>
      <c r="G129" s="257"/>
      <c r="H129" s="257"/>
      <c r="I129" s="257"/>
      <c r="J129" s="257"/>
      <c r="K129" s="257"/>
    </row>
    <row r="130" spans="1:11" ht="12" customHeight="1">
      <c r="A130" s="15" t="s">
        <v>361</v>
      </c>
      <c r="B130" s="137" t="s">
        <v>356</v>
      </c>
      <c r="C130" s="257"/>
      <c r="D130" s="257"/>
      <c r="E130" s="257"/>
      <c r="F130" s="257"/>
      <c r="G130" s="257"/>
      <c r="H130" s="257"/>
      <c r="I130" s="257"/>
      <c r="J130" s="257"/>
      <c r="K130" s="257"/>
    </row>
    <row r="131" spans="1:11" ht="12" customHeight="1">
      <c r="A131" s="15" t="s">
        <v>362</v>
      </c>
      <c r="B131" s="137" t="s">
        <v>367</v>
      </c>
      <c r="C131" s="257"/>
      <c r="D131" s="257"/>
      <c r="E131" s="257"/>
      <c r="F131" s="257"/>
      <c r="G131" s="257"/>
      <c r="H131" s="257"/>
      <c r="I131" s="257"/>
      <c r="J131" s="257"/>
      <c r="K131" s="257"/>
    </row>
    <row r="132" spans="1:11" ht="16.5" thickBot="1">
      <c r="A132" s="13" t="s">
        <v>363</v>
      </c>
      <c r="B132" s="137" t="s">
        <v>366</v>
      </c>
      <c r="C132" s="259"/>
      <c r="D132" s="259"/>
      <c r="E132" s="259"/>
      <c r="F132" s="259"/>
      <c r="G132" s="259"/>
      <c r="H132" s="259"/>
      <c r="I132" s="259"/>
      <c r="J132" s="259"/>
      <c r="K132" s="259"/>
    </row>
    <row r="133" spans="1:11" ht="12" customHeight="1" thickBot="1">
      <c r="A133" s="20" t="s">
        <v>20</v>
      </c>
      <c r="B133" s="118" t="s">
        <v>448</v>
      </c>
      <c r="C133" s="290">
        <f t="shared" ref="C133:I133" si="31">+C98+C119</f>
        <v>4213212748</v>
      </c>
      <c r="D133" s="290">
        <f t="shared" si="31"/>
        <v>6774016</v>
      </c>
      <c r="E133" s="290">
        <f t="shared" si="31"/>
        <v>4219986764</v>
      </c>
      <c r="F133" s="290">
        <f t="shared" si="31"/>
        <v>620215052</v>
      </c>
      <c r="G133" s="290">
        <f t="shared" si="31"/>
        <v>4840201816</v>
      </c>
      <c r="H133" s="290">
        <f t="shared" si="31"/>
        <v>-244997741</v>
      </c>
      <c r="I133" s="290">
        <f t="shared" si="31"/>
        <v>4595204075</v>
      </c>
      <c r="J133" s="290">
        <f>+J98+J119</f>
        <v>135440662</v>
      </c>
      <c r="K133" s="290">
        <f>+K98+K119</f>
        <v>4730644737</v>
      </c>
    </row>
    <row r="134" spans="1:11" ht="12" customHeight="1" thickBot="1">
      <c r="A134" s="20" t="s">
        <v>21</v>
      </c>
      <c r="B134" s="118" t="s">
        <v>449</v>
      </c>
      <c r="C134" s="290">
        <f t="shared" ref="C134:I134" si="32">+C135+C136+C137</f>
        <v>0</v>
      </c>
      <c r="D134" s="290">
        <f t="shared" si="32"/>
        <v>0</v>
      </c>
      <c r="E134" s="290">
        <f t="shared" si="32"/>
        <v>0</v>
      </c>
      <c r="F134" s="290">
        <f t="shared" si="32"/>
        <v>0</v>
      </c>
      <c r="G134" s="290">
        <f t="shared" si="32"/>
        <v>0</v>
      </c>
      <c r="H134" s="290">
        <f t="shared" si="32"/>
        <v>0</v>
      </c>
      <c r="I134" s="290">
        <f t="shared" si="32"/>
        <v>0</v>
      </c>
      <c r="J134" s="290">
        <f>+J135+J136+J137</f>
        <v>0</v>
      </c>
      <c r="K134" s="290">
        <f>+K135+K136+K137</f>
        <v>0</v>
      </c>
    </row>
    <row r="135" spans="1:11" ht="12" customHeight="1">
      <c r="A135" s="15" t="s">
        <v>268</v>
      </c>
      <c r="B135" s="12" t="s">
        <v>456</v>
      </c>
      <c r="C135" s="257"/>
      <c r="D135" s="257"/>
      <c r="E135" s="257"/>
      <c r="F135" s="257"/>
      <c r="G135" s="257"/>
      <c r="H135" s="257"/>
      <c r="I135" s="257"/>
      <c r="J135" s="257"/>
      <c r="K135" s="257"/>
    </row>
    <row r="136" spans="1:11" ht="12" customHeight="1">
      <c r="A136" s="15" t="s">
        <v>269</v>
      </c>
      <c r="B136" s="12" t="s">
        <v>457</v>
      </c>
      <c r="C136" s="257"/>
      <c r="D136" s="257"/>
      <c r="E136" s="257"/>
      <c r="F136" s="257"/>
      <c r="G136" s="257"/>
      <c r="H136" s="257"/>
      <c r="I136" s="257"/>
      <c r="J136" s="257"/>
      <c r="K136" s="257"/>
    </row>
    <row r="137" spans="1:11" ht="12" customHeight="1" thickBot="1">
      <c r="A137" s="13" t="s">
        <v>270</v>
      </c>
      <c r="B137" s="12" t="s">
        <v>458</v>
      </c>
      <c r="C137" s="257"/>
      <c r="D137" s="257"/>
      <c r="E137" s="257"/>
      <c r="F137" s="257"/>
      <c r="G137" s="257"/>
      <c r="H137" s="257"/>
      <c r="I137" s="257"/>
      <c r="J137" s="257"/>
      <c r="K137" s="257"/>
    </row>
    <row r="138" spans="1:11" ht="12" customHeight="1" thickBot="1">
      <c r="A138" s="20" t="s">
        <v>22</v>
      </c>
      <c r="B138" s="118" t="s">
        <v>450</v>
      </c>
      <c r="C138" s="290">
        <f t="shared" ref="C138:I138" si="33">SUM(C139:C144)</f>
        <v>0</v>
      </c>
      <c r="D138" s="290">
        <f t="shared" si="33"/>
        <v>0</v>
      </c>
      <c r="E138" s="290">
        <f t="shared" si="33"/>
        <v>0</v>
      </c>
      <c r="F138" s="290">
        <f t="shared" si="33"/>
        <v>0</v>
      </c>
      <c r="G138" s="290">
        <f t="shared" si="33"/>
        <v>0</v>
      </c>
      <c r="H138" s="290">
        <f t="shared" si="33"/>
        <v>0</v>
      </c>
      <c r="I138" s="290">
        <f t="shared" si="33"/>
        <v>0</v>
      </c>
      <c r="J138" s="290">
        <f>SUM(J139:J144)</f>
        <v>0</v>
      </c>
      <c r="K138" s="290">
        <f>SUM(K139:K144)</f>
        <v>0</v>
      </c>
    </row>
    <row r="139" spans="1:11" ht="12" customHeight="1">
      <c r="A139" s="15" t="s">
        <v>91</v>
      </c>
      <c r="B139" s="9" t="s">
        <v>459</v>
      </c>
      <c r="C139" s="257"/>
      <c r="D139" s="257"/>
      <c r="E139" s="257"/>
      <c r="F139" s="257"/>
      <c r="G139" s="257"/>
      <c r="H139" s="257"/>
      <c r="I139" s="257"/>
      <c r="J139" s="257"/>
      <c r="K139" s="257"/>
    </row>
    <row r="140" spans="1:11" ht="12" customHeight="1">
      <c r="A140" s="15" t="s">
        <v>92</v>
      </c>
      <c r="B140" s="9" t="s">
        <v>451</v>
      </c>
      <c r="C140" s="257"/>
      <c r="D140" s="257"/>
      <c r="E140" s="257"/>
      <c r="F140" s="257"/>
      <c r="G140" s="257"/>
      <c r="H140" s="257"/>
      <c r="I140" s="257"/>
      <c r="J140" s="257"/>
      <c r="K140" s="257"/>
    </row>
    <row r="141" spans="1:11" ht="12" customHeight="1">
      <c r="A141" s="15" t="s">
        <v>93</v>
      </c>
      <c r="B141" s="9" t="s">
        <v>452</v>
      </c>
      <c r="C141" s="257"/>
      <c r="D141" s="257"/>
      <c r="E141" s="257"/>
      <c r="F141" s="257"/>
      <c r="G141" s="257"/>
      <c r="H141" s="257"/>
      <c r="I141" s="257"/>
      <c r="J141" s="257"/>
      <c r="K141" s="257"/>
    </row>
    <row r="142" spans="1:11" ht="12" customHeight="1">
      <c r="A142" s="15" t="s">
        <v>175</v>
      </c>
      <c r="B142" s="9" t="s">
        <v>453</v>
      </c>
      <c r="C142" s="257"/>
      <c r="D142" s="257"/>
      <c r="E142" s="257"/>
      <c r="F142" s="257"/>
      <c r="G142" s="257"/>
      <c r="H142" s="257"/>
      <c r="I142" s="257"/>
      <c r="J142" s="257"/>
      <c r="K142" s="257"/>
    </row>
    <row r="143" spans="1:11" ht="12" customHeight="1" thickBot="1">
      <c r="A143" s="13" t="s">
        <v>176</v>
      </c>
      <c r="B143" s="7" t="s">
        <v>454</v>
      </c>
      <c r="C143" s="259"/>
      <c r="D143" s="259"/>
      <c r="E143" s="259"/>
      <c r="F143" s="259"/>
      <c r="G143" s="259"/>
      <c r="H143" s="259"/>
      <c r="I143" s="259"/>
      <c r="J143" s="259"/>
      <c r="K143" s="259"/>
    </row>
    <row r="144" spans="1:11" ht="12" customHeight="1" thickBot="1">
      <c r="A144" s="563" t="s">
        <v>177</v>
      </c>
      <c r="B144" s="568" t="s">
        <v>455</v>
      </c>
      <c r="C144" s="569"/>
      <c r="D144" s="569"/>
      <c r="E144" s="569"/>
      <c r="F144" s="569"/>
      <c r="G144" s="569"/>
      <c r="H144" s="569"/>
      <c r="I144" s="569"/>
      <c r="J144" s="569"/>
      <c r="K144" s="569"/>
    </row>
    <row r="145" spans="1:11" ht="12" customHeight="1" thickBot="1">
      <c r="A145" s="20" t="s">
        <v>23</v>
      </c>
      <c r="B145" s="118" t="s">
        <v>463</v>
      </c>
      <c r="C145" s="296">
        <f>+C146+C147+C148+C149</f>
        <v>0</v>
      </c>
      <c r="D145" s="296">
        <f>+D146+D147+D148+D149</f>
        <v>30294665</v>
      </c>
      <c r="E145" s="296">
        <f>SUM(C145+D145)</f>
        <v>30294665</v>
      </c>
      <c r="F145" s="296">
        <f>+F146+F147+F148+F149</f>
        <v>0</v>
      </c>
      <c r="G145" s="296">
        <f>SUM(E145+F145)</f>
        <v>30294665</v>
      </c>
      <c r="H145" s="296">
        <f>+H146+H147+H148+H149</f>
        <v>0</v>
      </c>
      <c r="I145" s="296">
        <f>SUM(G145+H145)</f>
        <v>30294665</v>
      </c>
      <c r="J145" s="296">
        <f>+J146+J147+J148+J149</f>
        <v>0</v>
      </c>
      <c r="K145" s="296">
        <f>SUM(I145+J145)</f>
        <v>30294665</v>
      </c>
    </row>
    <row r="146" spans="1:11" ht="12" customHeight="1">
      <c r="A146" s="15" t="s">
        <v>94</v>
      </c>
      <c r="B146" s="9" t="s">
        <v>371</v>
      </c>
      <c r="C146" s="257"/>
      <c r="D146" s="257"/>
      <c r="E146" s="257"/>
      <c r="F146" s="257"/>
      <c r="G146" s="257"/>
      <c r="H146" s="257"/>
      <c r="I146" s="257"/>
      <c r="J146" s="257"/>
      <c r="K146" s="257"/>
    </row>
    <row r="147" spans="1:11" ht="12" customHeight="1">
      <c r="A147" s="15" t="s">
        <v>95</v>
      </c>
      <c r="B147" s="9" t="s">
        <v>372</v>
      </c>
      <c r="C147" s="257"/>
      <c r="D147" s="257">
        <v>30294665</v>
      </c>
      <c r="E147" s="257">
        <f>SUM(C147+D147)</f>
        <v>30294665</v>
      </c>
      <c r="F147" s="257"/>
      <c r="G147" s="257">
        <f>SUM(E147+F147)</f>
        <v>30294665</v>
      </c>
      <c r="H147" s="257"/>
      <c r="I147" s="257">
        <f>SUM(G147+H147)</f>
        <v>30294665</v>
      </c>
      <c r="J147" s="257"/>
      <c r="K147" s="257">
        <f>SUM(I147+J147)</f>
        <v>30294665</v>
      </c>
    </row>
    <row r="148" spans="1:11" ht="12" customHeight="1" thickBot="1">
      <c r="A148" s="13" t="s">
        <v>288</v>
      </c>
      <c r="B148" s="7" t="s">
        <v>464</v>
      </c>
      <c r="C148" s="259"/>
      <c r="D148" s="259"/>
      <c r="E148" s="259"/>
      <c r="F148" s="259"/>
      <c r="G148" s="259"/>
      <c r="H148" s="259"/>
      <c r="I148" s="259"/>
      <c r="J148" s="259"/>
      <c r="K148" s="259"/>
    </row>
    <row r="149" spans="1:11" ht="12" customHeight="1" thickBot="1">
      <c r="A149" s="563" t="s">
        <v>289</v>
      </c>
      <c r="B149" s="568" t="s">
        <v>390</v>
      </c>
      <c r="C149" s="569"/>
      <c r="D149" s="569"/>
      <c r="E149" s="569"/>
      <c r="F149" s="569"/>
      <c r="G149" s="569"/>
      <c r="H149" s="569"/>
      <c r="I149" s="569"/>
      <c r="J149" s="569"/>
      <c r="K149" s="569"/>
    </row>
    <row r="150" spans="1:11" ht="12" customHeight="1" thickBot="1">
      <c r="A150" s="20" t="s">
        <v>24</v>
      </c>
      <c r="B150" s="118" t="s">
        <v>465</v>
      </c>
      <c r="C150" s="299">
        <f t="shared" ref="C150:I150" si="34">SUM(C151:C155)</f>
        <v>0</v>
      </c>
      <c r="D150" s="299">
        <f t="shared" si="34"/>
        <v>0</v>
      </c>
      <c r="E150" s="299">
        <f t="shared" si="34"/>
        <v>0</v>
      </c>
      <c r="F150" s="299">
        <f t="shared" si="34"/>
        <v>0</v>
      </c>
      <c r="G150" s="299">
        <f t="shared" si="34"/>
        <v>0</v>
      </c>
      <c r="H150" s="299">
        <f t="shared" si="34"/>
        <v>0</v>
      </c>
      <c r="I150" s="299">
        <f t="shared" si="34"/>
        <v>0</v>
      </c>
      <c r="J150" s="299">
        <f>SUM(J151:J155)</f>
        <v>0</v>
      </c>
      <c r="K150" s="299">
        <f>SUM(K151:K155)</f>
        <v>0</v>
      </c>
    </row>
    <row r="151" spans="1:11" ht="12" customHeight="1">
      <c r="A151" s="15" t="s">
        <v>96</v>
      </c>
      <c r="B151" s="9" t="s">
        <v>460</v>
      </c>
      <c r="C151" s="257"/>
      <c r="D151" s="257"/>
      <c r="E151" s="257"/>
      <c r="F151" s="257"/>
      <c r="G151" s="257"/>
      <c r="H151" s="257"/>
      <c r="I151" s="257"/>
      <c r="J151" s="257"/>
      <c r="K151" s="257"/>
    </row>
    <row r="152" spans="1:11" ht="12" customHeight="1">
      <c r="A152" s="15" t="s">
        <v>97</v>
      </c>
      <c r="B152" s="9" t="s">
        <v>467</v>
      </c>
      <c r="C152" s="257"/>
      <c r="D152" s="257"/>
      <c r="E152" s="257"/>
      <c r="F152" s="257"/>
      <c r="G152" s="257"/>
      <c r="H152" s="257"/>
      <c r="I152" s="257"/>
      <c r="J152" s="257"/>
      <c r="K152" s="257"/>
    </row>
    <row r="153" spans="1:11" ht="12" customHeight="1">
      <c r="A153" s="15" t="s">
        <v>300</v>
      </c>
      <c r="B153" s="9" t="s">
        <v>462</v>
      </c>
      <c r="C153" s="257"/>
      <c r="D153" s="257"/>
      <c r="E153" s="257"/>
      <c r="F153" s="257"/>
      <c r="G153" s="257"/>
      <c r="H153" s="257"/>
      <c r="I153" s="257"/>
      <c r="J153" s="257"/>
      <c r="K153" s="257"/>
    </row>
    <row r="154" spans="1:11" ht="12" customHeight="1">
      <c r="A154" s="15" t="s">
        <v>301</v>
      </c>
      <c r="B154" s="9" t="s">
        <v>518</v>
      </c>
      <c r="C154" s="257"/>
      <c r="D154" s="257"/>
      <c r="E154" s="257"/>
      <c r="F154" s="257"/>
      <c r="G154" s="257"/>
      <c r="H154" s="257"/>
      <c r="I154" s="257"/>
      <c r="J154" s="257"/>
      <c r="K154" s="257"/>
    </row>
    <row r="155" spans="1:11" ht="12" customHeight="1" thickBot="1">
      <c r="A155" s="15" t="s">
        <v>466</v>
      </c>
      <c r="B155" s="9" t="s">
        <v>469</v>
      </c>
      <c r="C155" s="257"/>
      <c r="D155" s="257"/>
      <c r="E155" s="257"/>
      <c r="F155" s="257"/>
      <c r="G155" s="257"/>
      <c r="H155" s="257"/>
      <c r="I155" s="257"/>
      <c r="J155" s="257"/>
      <c r="K155" s="257"/>
    </row>
    <row r="156" spans="1:11" ht="12" customHeight="1" thickBot="1">
      <c r="A156" s="20" t="s">
        <v>25</v>
      </c>
      <c r="B156" s="118" t="s">
        <v>470</v>
      </c>
      <c r="C156" s="476"/>
      <c r="D156" s="476"/>
      <c r="E156" s="476"/>
      <c r="F156" s="476"/>
      <c r="G156" s="476"/>
      <c r="H156" s="476"/>
      <c r="I156" s="476"/>
      <c r="J156" s="476"/>
      <c r="K156" s="476"/>
    </row>
    <row r="157" spans="1:11" ht="12" customHeight="1" thickBot="1">
      <c r="A157" s="20" t="s">
        <v>26</v>
      </c>
      <c r="B157" s="118" t="s">
        <v>471</v>
      </c>
      <c r="C157" s="476"/>
      <c r="D157" s="476"/>
      <c r="E157" s="476"/>
      <c r="F157" s="476"/>
      <c r="G157" s="476"/>
      <c r="H157" s="476"/>
      <c r="I157" s="476"/>
      <c r="J157" s="476"/>
      <c r="K157" s="476"/>
    </row>
    <row r="158" spans="1:11" ht="15.2" customHeight="1" thickBot="1">
      <c r="A158" s="20" t="s">
        <v>27</v>
      </c>
      <c r="B158" s="118" t="s">
        <v>473</v>
      </c>
      <c r="C158" s="570">
        <f t="shared" ref="C158:I158" si="35">+C134+C138+C145+C150+C156+C157</f>
        <v>0</v>
      </c>
      <c r="D158" s="570">
        <f t="shared" si="35"/>
        <v>30294665</v>
      </c>
      <c r="E158" s="570">
        <f t="shared" si="35"/>
        <v>30294665</v>
      </c>
      <c r="F158" s="570">
        <f t="shared" si="35"/>
        <v>0</v>
      </c>
      <c r="G158" s="570">
        <f t="shared" si="35"/>
        <v>30294665</v>
      </c>
      <c r="H158" s="570">
        <f t="shared" si="35"/>
        <v>0</v>
      </c>
      <c r="I158" s="570">
        <f t="shared" si="35"/>
        <v>30294665</v>
      </c>
      <c r="J158" s="570">
        <f>+J134+J138+J145+J150+J156+J157</f>
        <v>0</v>
      </c>
      <c r="K158" s="570">
        <f>+K134+K138+K145+K150+K156+K157</f>
        <v>30294665</v>
      </c>
    </row>
    <row r="159" spans="1:11" s="408" customFormat="1" ht="17.25" customHeight="1" thickBot="1">
      <c r="A159" s="288" t="s">
        <v>28</v>
      </c>
      <c r="B159" s="571" t="s">
        <v>472</v>
      </c>
      <c r="C159" s="570">
        <f t="shared" ref="C159:I159" si="36">+C133+C158</f>
        <v>4213212748</v>
      </c>
      <c r="D159" s="570">
        <f t="shared" si="36"/>
        <v>37068681</v>
      </c>
      <c r="E159" s="570">
        <f t="shared" si="36"/>
        <v>4250281429</v>
      </c>
      <c r="F159" s="570">
        <f t="shared" si="36"/>
        <v>620215052</v>
      </c>
      <c r="G159" s="570">
        <f t="shared" si="36"/>
        <v>4870496481</v>
      </c>
      <c r="H159" s="570">
        <f t="shared" si="36"/>
        <v>-244997741</v>
      </c>
      <c r="I159" s="570">
        <f t="shared" si="36"/>
        <v>4625498740</v>
      </c>
      <c r="J159" s="570">
        <f>+J133+J158</f>
        <v>135440662</v>
      </c>
      <c r="K159" s="570">
        <f>+K133+K158</f>
        <v>4760939402</v>
      </c>
    </row>
    <row r="160" spans="1:11" ht="15.95" customHeight="1">
      <c r="A160" s="633"/>
      <c r="B160" s="633"/>
      <c r="C160" s="634">
        <f t="shared" ref="C160:I160" si="37">C92-C159</f>
        <v>0</v>
      </c>
      <c r="D160" s="634">
        <f t="shared" si="37"/>
        <v>0</v>
      </c>
      <c r="E160" s="634">
        <f t="shared" si="37"/>
        <v>0</v>
      </c>
      <c r="F160" s="634">
        <f t="shared" si="37"/>
        <v>0</v>
      </c>
      <c r="G160" s="634">
        <f t="shared" si="37"/>
        <v>0</v>
      </c>
      <c r="H160" s="634">
        <f t="shared" si="37"/>
        <v>0</v>
      </c>
      <c r="I160" s="634">
        <f t="shared" si="37"/>
        <v>0</v>
      </c>
      <c r="J160" s="634">
        <f>J92-J159</f>
        <v>0</v>
      </c>
      <c r="K160" s="634">
        <f>K92-K159</f>
        <v>0</v>
      </c>
    </row>
    <row r="161" spans="1:11">
      <c r="A161" s="822" t="s">
        <v>373</v>
      </c>
      <c r="B161" s="822"/>
      <c r="C161" s="822"/>
      <c r="D161" s="406"/>
      <c r="E161" s="406"/>
    </row>
    <row r="162" spans="1:11" ht="15.2" customHeight="1" thickBot="1">
      <c r="A162" s="823" t="s">
        <v>154</v>
      </c>
      <c r="B162" s="823"/>
      <c r="C162" s="576">
        <f>C95</f>
        <v>0</v>
      </c>
      <c r="D162" s="576"/>
      <c r="E162" s="576" t="str">
        <f>E95</f>
        <v>Forintban!</v>
      </c>
      <c r="F162" s="576"/>
      <c r="G162" s="576">
        <f>G95</f>
        <v>0</v>
      </c>
      <c r="H162" s="576"/>
      <c r="I162" s="576">
        <f>I95</f>
        <v>0</v>
      </c>
      <c r="J162" s="576"/>
      <c r="K162" s="576">
        <f>K95</f>
        <v>0</v>
      </c>
    </row>
    <row r="163" spans="1:11" ht="13.5" customHeight="1" thickBot="1">
      <c r="A163" s="20">
        <v>1</v>
      </c>
      <c r="B163" s="27" t="s">
        <v>474</v>
      </c>
      <c r="C163" s="290">
        <f t="shared" ref="C163:I163" si="38">+C67-C133</f>
        <v>-350000000</v>
      </c>
      <c r="D163" s="290">
        <f t="shared" si="38"/>
        <v>30294665</v>
      </c>
      <c r="E163" s="290">
        <f t="shared" si="38"/>
        <v>-319705335</v>
      </c>
      <c r="F163" s="290">
        <f t="shared" si="38"/>
        <v>-524898833</v>
      </c>
      <c r="G163" s="290">
        <f t="shared" si="38"/>
        <v>-844604168</v>
      </c>
      <c r="H163" s="290">
        <f t="shared" si="38"/>
        <v>0</v>
      </c>
      <c r="I163" s="290">
        <f t="shared" si="38"/>
        <v>-844604168</v>
      </c>
      <c r="J163" s="290">
        <f>+J67-J133</f>
        <v>0</v>
      </c>
      <c r="K163" s="290">
        <f>+K67-K133</f>
        <v>-844604168</v>
      </c>
    </row>
    <row r="164" spans="1:11" ht="27.75" customHeight="1" thickBot="1">
      <c r="A164" s="20" t="s">
        <v>19</v>
      </c>
      <c r="B164" s="27" t="s">
        <v>480</v>
      </c>
      <c r="C164" s="290">
        <f t="shared" ref="C164:I164" si="39">+C91-C158</f>
        <v>350000000</v>
      </c>
      <c r="D164" s="290">
        <f t="shared" si="39"/>
        <v>-30294665</v>
      </c>
      <c r="E164" s="290">
        <f t="shared" si="39"/>
        <v>319705335</v>
      </c>
      <c r="F164" s="290">
        <f t="shared" si="39"/>
        <v>524898833</v>
      </c>
      <c r="G164" s="290">
        <f t="shared" si="39"/>
        <v>844604168</v>
      </c>
      <c r="H164" s="290">
        <f t="shared" si="39"/>
        <v>0</v>
      </c>
      <c r="I164" s="290">
        <f t="shared" si="39"/>
        <v>844604168</v>
      </c>
      <c r="J164" s="290">
        <f>+J91-J158</f>
        <v>0</v>
      </c>
      <c r="K164" s="290">
        <f>+K91-K158</f>
        <v>844604168</v>
      </c>
    </row>
  </sheetData>
  <mergeCells count="7">
    <mergeCell ref="B1:C1"/>
    <mergeCell ref="A6:C6"/>
    <mergeCell ref="A7:B7"/>
    <mergeCell ref="A95:B95"/>
    <mergeCell ref="A161:C161"/>
    <mergeCell ref="A162:B162"/>
    <mergeCell ref="A94:C94"/>
  </mergeCells>
  <phoneticPr fontId="0" type="noConversion"/>
  <printOptions horizontalCentered="1"/>
  <pageMargins left="0.23622047244094491" right="0.23622047244094491" top="0.74803149606299213" bottom="0.74803149606299213" header="0.31496062992125984" footer="0.31496062992125984"/>
  <pageSetup paperSize="8" fitToHeight="0" orientation="landscape" r:id="rId1"/>
  <headerFooter alignWithMargins="0"/>
  <rowBreaks count="2" manualBreakCount="2">
    <brk id="67" max="2" man="1"/>
    <brk id="144" max="2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92D050"/>
  </sheetPr>
  <dimension ref="A1:I164"/>
  <sheetViews>
    <sheetView topLeftCell="A46" zoomScale="120" zoomScaleNormal="120" zoomScaleSheetLayoutView="100" workbookViewId="0">
      <selection activeCell="C11" sqref="C11"/>
    </sheetView>
  </sheetViews>
  <sheetFormatPr defaultRowHeight="15.75"/>
  <cols>
    <col min="1" max="1" width="9.5" style="374" customWidth="1"/>
    <col min="2" max="2" width="99.33203125" style="374" customWidth="1"/>
    <col min="3" max="3" width="21.6640625" style="375" customWidth="1"/>
    <col min="4" max="4" width="9" style="406" customWidth="1"/>
    <col min="5" max="16384" width="9.33203125" style="406"/>
  </cols>
  <sheetData>
    <row r="1" spans="1:3" ht="18.75" customHeight="1">
      <c r="A1" s="625"/>
      <c r="B1" s="817" t="str">
        <f ca="1">CONCATENATE("1.2. melléklet ",ALAPADATOK!A7," ",ALAPADATOK!B7," ",ALAPADATOK!C7," ",ALAPADATOK!D7," ",ALAPADATOK!E7," ",ALAPADATOK!F7," ",ALAPADATOK!G7," ",ALAPADATOK!H7)</f>
        <v>1.2. melléklet a … / 2019 ( … ) önkormányzati rendelethez</v>
      </c>
      <c r="C1" s="818"/>
    </row>
    <row r="2" spans="1:3" ht="21.95" customHeight="1">
      <c r="A2" s="626"/>
      <c r="B2" s="627" t="str">
        <f ca="1">CONCATENATE(ALAPADATOK!A3)</f>
        <v>DABAS ÖNKORMÁNYZATA</v>
      </c>
      <c r="C2" s="628"/>
    </row>
    <row r="3" spans="1:3" ht="21.95" customHeight="1">
      <c r="A3" s="628"/>
      <c r="B3" s="627" t="s">
        <v>580</v>
      </c>
      <c r="C3" s="628"/>
    </row>
    <row r="4" spans="1:3" ht="21.95" customHeight="1">
      <c r="A4" s="628"/>
      <c r="B4" s="627" t="s">
        <v>582</v>
      </c>
      <c r="C4" s="628"/>
    </row>
    <row r="5" spans="1:3" ht="21.95" customHeight="1">
      <c r="A5" s="625"/>
      <c r="B5" s="625"/>
      <c r="C5" s="629"/>
    </row>
    <row r="6" spans="1:3" ht="15.2" customHeight="1">
      <c r="A6" s="819" t="s">
        <v>15</v>
      </c>
      <c r="B6" s="819"/>
      <c r="C6" s="819"/>
    </row>
    <row r="7" spans="1:3" ht="15.2" customHeight="1" thickBot="1">
      <c r="A7" s="820" t="s">
        <v>152</v>
      </c>
      <c r="B7" s="820"/>
      <c r="C7" s="574" t="str">
        <f ca="1">CONCATENATE(KV_1.1.sz.mell.!C7)</f>
        <v/>
      </c>
    </row>
    <row r="8" spans="1:3" ht="24" customHeight="1" thickBot="1">
      <c r="A8" s="630" t="s">
        <v>69</v>
      </c>
      <c r="B8" s="631" t="s">
        <v>17</v>
      </c>
      <c r="C8" s="632" t="str">
        <f ca="1">+CONCATENATE(LEFT(KV_ÖSSZEFÜGGÉSEK!A5,4),". évi előirányzat")</f>
        <v>2019. évi előirányzat</v>
      </c>
    </row>
    <row r="9" spans="1:3" s="407" customFormat="1" ht="12" customHeight="1" thickBot="1">
      <c r="A9" s="558"/>
      <c r="B9" s="559" t="s">
        <v>493</v>
      </c>
      <c r="C9" s="560" t="s">
        <v>494</v>
      </c>
    </row>
    <row r="10" spans="1:3" s="408" customFormat="1" ht="12" customHeight="1" thickBot="1">
      <c r="A10" s="20" t="s">
        <v>18</v>
      </c>
      <c r="B10" s="21" t="s">
        <v>252</v>
      </c>
      <c r="C10" s="290">
        <f>+C11+C12+C13+C14+C15+C16</f>
        <v>0</v>
      </c>
    </row>
    <row r="11" spans="1:3" s="408" customFormat="1" ht="12" customHeight="1">
      <c r="A11" s="15" t="s">
        <v>98</v>
      </c>
      <c r="B11" s="409" t="s">
        <v>253</v>
      </c>
      <c r="C11" s="293"/>
    </row>
    <row r="12" spans="1:3" s="408" customFormat="1" ht="12" customHeight="1">
      <c r="A12" s="14" t="s">
        <v>99</v>
      </c>
      <c r="B12" s="410" t="s">
        <v>254</v>
      </c>
      <c r="C12" s="292"/>
    </row>
    <row r="13" spans="1:3" s="408" customFormat="1" ht="12" customHeight="1">
      <c r="A13" s="14" t="s">
        <v>100</v>
      </c>
      <c r="B13" s="410" t="s">
        <v>550</v>
      </c>
      <c r="C13" s="292"/>
    </row>
    <row r="14" spans="1:3" s="408" customFormat="1" ht="12" customHeight="1">
      <c r="A14" s="14" t="s">
        <v>101</v>
      </c>
      <c r="B14" s="410" t="s">
        <v>256</v>
      </c>
      <c r="C14" s="292"/>
    </row>
    <row r="15" spans="1:3" s="408" customFormat="1" ht="12" customHeight="1">
      <c r="A15" s="14" t="s">
        <v>148</v>
      </c>
      <c r="B15" s="286" t="s">
        <v>432</v>
      </c>
      <c r="C15" s="292"/>
    </row>
    <row r="16" spans="1:3" s="408" customFormat="1" ht="12" customHeight="1" thickBot="1">
      <c r="A16" s="16" t="s">
        <v>102</v>
      </c>
      <c r="B16" s="287" t="s">
        <v>433</v>
      </c>
      <c r="C16" s="292"/>
    </row>
    <row r="17" spans="1:3" s="408" customFormat="1" ht="12" customHeight="1" thickBot="1">
      <c r="A17" s="20" t="s">
        <v>19</v>
      </c>
      <c r="B17" s="285" t="s">
        <v>257</v>
      </c>
      <c r="C17" s="290">
        <f>+C18+C19+C20+C21+C22</f>
        <v>0</v>
      </c>
    </row>
    <row r="18" spans="1:3" s="408" customFormat="1" ht="12" customHeight="1">
      <c r="A18" s="15" t="s">
        <v>104</v>
      </c>
      <c r="B18" s="409" t="s">
        <v>258</v>
      </c>
      <c r="C18" s="293"/>
    </row>
    <row r="19" spans="1:3" s="408" customFormat="1" ht="12" customHeight="1">
      <c r="A19" s="14" t="s">
        <v>105</v>
      </c>
      <c r="B19" s="410" t="s">
        <v>259</v>
      </c>
      <c r="C19" s="292"/>
    </row>
    <row r="20" spans="1:3" s="408" customFormat="1" ht="12" customHeight="1">
      <c r="A20" s="14" t="s">
        <v>106</v>
      </c>
      <c r="B20" s="410" t="s">
        <v>422</v>
      </c>
      <c r="C20" s="292"/>
    </row>
    <row r="21" spans="1:3" s="408" customFormat="1" ht="12" customHeight="1">
      <c r="A21" s="14" t="s">
        <v>107</v>
      </c>
      <c r="B21" s="410" t="s">
        <v>423</v>
      </c>
      <c r="C21" s="292"/>
    </row>
    <row r="22" spans="1:3" s="408" customFormat="1" ht="12" customHeight="1">
      <c r="A22" s="14" t="s">
        <v>108</v>
      </c>
      <c r="B22" s="410" t="s">
        <v>574</v>
      </c>
      <c r="C22" s="292"/>
    </row>
    <row r="23" spans="1:3" s="408" customFormat="1" ht="12" customHeight="1" thickBot="1">
      <c r="A23" s="16" t="s">
        <v>117</v>
      </c>
      <c r="B23" s="287" t="s">
        <v>261</v>
      </c>
      <c r="C23" s="294"/>
    </row>
    <row r="24" spans="1:3" s="408" customFormat="1" ht="12" customHeight="1" thickBot="1">
      <c r="A24" s="20" t="s">
        <v>20</v>
      </c>
      <c r="B24" s="21" t="s">
        <v>262</v>
      </c>
      <c r="C24" s="290">
        <f>+C25+C26+C27+C28+C29</f>
        <v>0</v>
      </c>
    </row>
    <row r="25" spans="1:3" s="408" customFormat="1" ht="12" customHeight="1">
      <c r="A25" s="15" t="s">
        <v>87</v>
      </c>
      <c r="B25" s="409" t="s">
        <v>263</v>
      </c>
      <c r="C25" s="293"/>
    </row>
    <row r="26" spans="1:3" s="408" customFormat="1" ht="12" customHeight="1">
      <c r="A26" s="14" t="s">
        <v>88</v>
      </c>
      <c r="B26" s="410" t="s">
        <v>264</v>
      </c>
      <c r="C26" s="292"/>
    </row>
    <row r="27" spans="1:3" s="408" customFormat="1" ht="12" customHeight="1">
      <c r="A27" s="14" t="s">
        <v>89</v>
      </c>
      <c r="B27" s="410" t="s">
        <v>424</v>
      </c>
      <c r="C27" s="292"/>
    </row>
    <row r="28" spans="1:3" s="408" customFormat="1" ht="12" customHeight="1">
      <c r="A28" s="14" t="s">
        <v>90</v>
      </c>
      <c r="B28" s="410" t="s">
        <v>425</v>
      </c>
      <c r="C28" s="292"/>
    </row>
    <row r="29" spans="1:3" s="408" customFormat="1" ht="12" customHeight="1">
      <c r="A29" s="14" t="s">
        <v>171</v>
      </c>
      <c r="B29" s="410" t="s">
        <v>265</v>
      </c>
      <c r="C29" s="292"/>
    </row>
    <row r="30" spans="1:3" s="550" customFormat="1" ht="12" customHeight="1" thickBot="1">
      <c r="A30" s="561" t="s">
        <v>172</v>
      </c>
      <c r="B30" s="548" t="s">
        <v>569</v>
      </c>
      <c r="C30" s="549"/>
    </row>
    <row r="31" spans="1:3" s="408" customFormat="1" ht="12" customHeight="1" thickBot="1">
      <c r="A31" s="20" t="s">
        <v>173</v>
      </c>
      <c r="B31" s="21" t="s">
        <v>551</v>
      </c>
      <c r="C31" s="296">
        <f>SUM(C32:C38)</f>
        <v>0</v>
      </c>
    </row>
    <row r="32" spans="1:3" s="408" customFormat="1" ht="12" customHeight="1">
      <c r="A32" s="15" t="s">
        <v>268</v>
      </c>
      <c r="B32" s="409" t="s">
        <v>555</v>
      </c>
      <c r="C32" s="293"/>
    </row>
    <row r="33" spans="1:3" s="408" customFormat="1" ht="12" customHeight="1">
      <c r="A33" s="14" t="s">
        <v>269</v>
      </c>
      <c r="B33" s="410" t="s">
        <v>556</v>
      </c>
      <c r="C33" s="292"/>
    </row>
    <row r="34" spans="1:3" s="408" customFormat="1" ht="12" customHeight="1">
      <c r="A34" s="14" t="s">
        <v>270</v>
      </c>
      <c r="B34" s="410" t="s">
        <v>557</v>
      </c>
      <c r="C34" s="292"/>
    </row>
    <row r="35" spans="1:3" s="408" customFormat="1" ht="12" customHeight="1">
      <c r="A35" s="14" t="s">
        <v>271</v>
      </c>
      <c r="B35" s="410" t="s">
        <v>558</v>
      </c>
      <c r="C35" s="292"/>
    </row>
    <row r="36" spans="1:3" s="408" customFormat="1" ht="12" customHeight="1">
      <c r="A36" s="14" t="s">
        <v>552</v>
      </c>
      <c r="B36" s="410" t="s">
        <v>272</v>
      </c>
      <c r="C36" s="292"/>
    </row>
    <row r="37" spans="1:3" s="408" customFormat="1" ht="12" customHeight="1">
      <c r="A37" s="14" t="s">
        <v>553</v>
      </c>
      <c r="B37" s="410" t="s">
        <v>273</v>
      </c>
      <c r="C37" s="292"/>
    </row>
    <row r="38" spans="1:3" s="408" customFormat="1" ht="12" customHeight="1" thickBot="1">
      <c r="A38" s="16" t="s">
        <v>554</v>
      </c>
      <c r="B38" s="504" t="s">
        <v>274</v>
      </c>
      <c r="C38" s="294"/>
    </row>
    <row r="39" spans="1:3" s="408" customFormat="1" ht="12" customHeight="1" thickBot="1">
      <c r="A39" s="20" t="s">
        <v>22</v>
      </c>
      <c r="B39" s="21" t="s">
        <v>434</v>
      </c>
      <c r="C39" s="290">
        <f>SUM(C40:C50)</f>
        <v>0</v>
      </c>
    </row>
    <row r="40" spans="1:3" s="408" customFormat="1" ht="12" customHeight="1">
      <c r="A40" s="15" t="s">
        <v>91</v>
      </c>
      <c r="B40" s="409" t="s">
        <v>277</v>
      </c>
      <c r="C40" s="293"/>
    </row>
    <row r="41" spans="1:3" s="408" customFormat="1" ht="12" customHeight="1">
      <c r="A41" s="14" t="s">
        <v>92</v>
      </c>
      <c r="B41" s="410" t="s">
        <v>278</v>
      </c>
      <c r="C41" s="292"/>
    </row>
    <row r="42" spans="1:3" s="408" customFormat="1" ht="12" customHeight="1">
      <c r="A42" s="14" t="s">
        <v>93</v>
      </c>
      <c r="B42" s="410" t="s">
        <v>279</v>
      </c>
      <c r="C42" s="292"/>
    </row>
    <row r="43" spans="1:3" s="408" customFormat="1" ht="12" customHeight="1">
      <c r="A43" s="14" t="s">
        <v>175</v>
      </c>
      <c r="B43" s="410" t="s">
        <v>280</v>
      </c>
      <c r="C43" s="292"/>
    </row>
    <row r="44" spans="1:3" s="408" customFormat="1" ht="12" customHeight="1">
      <c r="A44" s="14" t="s">
        <v>176</v>
      </c>
      <c r="B44" s="410" t="s">
        <v>281</v>
      </c>
      <c r="C44" s="292"/>
    </row>
    <row r="45" spans="1:3" s="408" customFormat="1" ht="12" customHeight="1">
      <c r="A45" s="14" t="s">
        <v>177</v>
      </c>
      <c r="B45" s="410" t="s">
        <v>282</v>
      </c>
      <c r="C45" s="292"/>
    </row>
    <row r="46" spans="1:3" s="408" customFormat="1" ht="12" customHeight="1">
      <c r="A46" s="14" t="s">
        <v>178</v>
      </c>
      <c r="B46" s="410" t="s">
        <v>283</v>
      </c>
      <c r="C46" s="292"/>
    </row>
    <row r="47" spans="1:3" s="408" customFormat="1" ht="12" customHeight="1">
      <c r="A47" s="14" t="s">
        <v>179</v>
      </c>
      <c r="B47" s="410" t="s">
        <v>559</v>
      </c>
      <c r="C47" s="292"/>
    </row>
    <row r="48" spans="1:3" s="408" customFormat="1" ht="12" customHeight="1">
      <c r="A48" s="14" t="s">
        <v>275</v>
      </c>
      <c r="B48" s="410" t="s">
        <v>285</v>
      </c>
      <c r="C48" s="295"/>
    </row>
    <row r="49" spans="1:3" s="408" customFormat="1" ht="12" customHeight="1">
      <c r="A49" s="16" t="s">
        <v>276</v>
      </c>
      <c r="B49" s="411" t="s">
        <v>436</v>
      </c>
      <c r="C49" s="396"/>
    </row>
    <row r="50" spans="1:3" s="408" customFormat="1" ht="12" customHeight="1" thickBot="1">
      <c r="A50" s="16" t="s">
        <v>435</v>
      </c>
      <c r="B50" s="287" t="s">
        <v>286</v>
      </c>
      <c r="C50" s="396"/>
    </row>
    <row r="51" spans="1:3" s="408" customFormat="1" ht="12" customHeight="1" thickBot="1">
      <c r="A51" s="20" t="s">
        <v>23</v>
      </c>
      <c r="B51" s="21" t="s">
        <v>287</v>
      </c>
      <c r="C51" s="290">
        <f>SUM(C52:C56)</f>
        <v>0</v>
      </c>
    </row>
    <row r="52" spans="1:3" s="408" customFormat="1" ht="12" customHeight="1">
      <c r="A52" s="15" t="s">
        <v>94</v>
      </c>
      <c r="B52" s="409" t="s">
        <v>291</v>
      </c>
      <c r="C52" s="453"/>
    </row>
    <row r="53" spans="1:3" s="408" customFormat="1" ht="12" customHeight="1">
      <c r="A53" s="14" t="s">
        <v>95</v>
      </c>
      <c r="B53" s="410" t="s">
        <v>292</v>
      </c>
      <c r="C53" s="295"/>
    </row>
    <row r="54" spans="1:3" s="408" customFormat="1" ht="12" customHeight="1">
      <c r="A54" s="14" t="s">
        <v>288</v>
      </c>
      <c r="B54" s="410" t="s">
        <v>293</v>
      </c>
      <c r="C54" s="295"/>
    </row>
    <row r="55" spans="1:3" s="408" customFormat="1" ht="12" customHeight="1">
      <c r="A55" s="14" t="s">
        <v>289</v>
      </c>
      <c r="B55" s="410" t="s">
        <v>294</v>
      </c>
      <c r="C55" s="295"/>
    </row>
    <row r="56" spans="1:3" s="408" customFormat="1" ht="12" customHeight="1" thickBot="1">
      <c r="A56" s="16" t="s">
        <v>290</v>
      </c>
      <c r="B56" s="287" t="s">
        <v>295</v>
      </c>
      <c r="C56" s="396"/>
    </row>
    <row r="57" spans="1:3" s="408" customFormat="1" ht="12" customHeight="1" thickBot="1">
      <c r="A57" s="20" t="s">
        <v>180</v>
      </c>
      <c r="B57" s="21" t="s">
        <v>296</v>
      </c>
      <c r="C57" s="290">
        <f>SUM(C58:C60)</f>
        <v>0</v>
      </c>
    </row>
    <row r="58" spans="1:3" s="408" customFormat="1" ht="12" customHeight="1">
      <c r="A58" s="15" t="s">
        <v>96</v>
      </c>
      <c r="B58" s="409" t="s">
        <v>297</v>
      </c>
      <c r="C58" s="293"/>
    </row>
    <row r="59" spans="1:3" s="408" customFormat="1" ht="12" customHeight="1">
      <c r="A59" s="14" t="s">
        <v>97</v>
      </c>
      <c r="B59" s="410" t="s">
        <v>426</v>
      </c>
      <c r="C59" s="292"/>
    </row>
    <row r="60" spans="1:3" s="408" customFormat="1" ht="12" customHeight="1">
      <c r="A60" s="14" t="s">
        <v>300</v>
      </c>
      <c r="B60" s="410" t="s">
        <v>298</v>
      </c>
      <c r="C60" s="292"/>
    </row>
    <row r="61" spans="1:3" s="408" customFormat="1" ht="12" customHeight="1" thickBot="1">
      <c r="A61" s="16" t="s">
        <v>301</v>
      </c>
      <c r="B61" s="287" t="s">
        <v>299</v>
      </c>
      <c r="C61" s="294"/>
    </row>
    <row r="62" spans="1:3" s="408" customFormat="1" ht="12" customHeight="1" thickBot="1">
      <c r="A62" s="20" t="s">
        <v>25</v>
      </c>
      <c r="B62" s="285" t="s">
        <v>302</v>
      </c>
      <c r="C62" s="290">
        <f>SUM(C63:C65)</f>
        <v>0</v>
      </c>
    </row>
    <row r="63" spans="1:3" s="408" customFormat="1" ht="12" customHeight="1">
      <c r="A63" s="15" t="s">
        <v>181</v>
      </c>
      <c r="B63" s="409" t="s">
        <v>304</v>
      </c>
      <c r="C63" s="295"/>
    </row>
    <row r="64" spans="1:3" s="408" customFormat="1" ht="12" customHeight="1">
      <c r="A64" s="14" t="s">
        <v>182</v>
      </c>
      <c r="B64" s="410" t="s">
        <v>427</v>
      </c>
      <c r="C64" s="295"/>
    </row>
    <row r="65" spans="1:3" s="408" customFormat="1" ht="12" customHeight="1">
      <c r="A65" s="14" t="s">
        <v>231</v>
      </c>
      <c r="B65" s="410" t="s">
        <v>305</v>
      </c>
      <c r="C65" s="295"/>
    </row>
    <row r="66" spans="1:3" s="408" customFormat="1" ht="12" customHeight="1" thickBot="1">
      <c r="A66" s="16" t="s">
        <v>303</v>
      </c>
      <c r="B66" s="287" t="s">
        <v>306</v>
      </c>
      <c r="C66" s="295"/>
    </row>
    <row r="67" spans="1:3" s="408" customFormat="1" ht="12" customHeight="1" thickBot="1">
      <c r="A67" s="477" t="s">
        <v>476</v>
      </c>
      <c r="B67" s="21" t="s">
        <v>307</v>
      </c>
      <c r="C67" s="296">
        <f>+C10+C17+C24+C31+C39+C51+C57+C62</f>
        <v>0</v>
      </c>
    </row>
    <row r="68" spans="1:3" s="408" customFormat="1" ht="12" customHeight="1" thickBot="1">
      <c r="A68" s="456" t="s">
        <v>308</v>
      </c>
      <c r="B68" s="285" t="s">
        <v>309</v>
      </c>
      <c r="C68" s="290">
        <f>SUM(C69:C71)</f>
        <v>0</v>
      </c>
    </row>
    <row r="69" spans="1:3" s="408" customFormat="1" ht="12" customHeight="1">
      <c r="A69" s="15" t="s">
        <v>337</v>
      </c>
      <c r="B69" s="409" t="s">
        <v>310</v>
      </c>
      <c r="C69" s="295"/>
    </row>
    <row r="70" spans="1:3" s="408" customFormat="1" ht="12" customHeight="1">
      <c r="A70" s="14" t="s">
        <v>346</v>
      </c>
      <c r="B70" s="410" t="s">
        <v>311</v>
      </c>
      <c r="C70" s="295"/>
    </row>
    <row r="71" spans="1:3" s="408" customFormat="1" ht="12" customHeight="1" thickBot="1">
      <c r="A71" s="16" t="s">
        <v>347</v>
      </c>
      <c r="B71" s="471" t="s">
        <v>570</v>
      </c>
      <c r="C71" s="295"/>
    </row>
    <row r="72" spans="1:3" s="408" customFormat="1" ht="12" customHeight="1" thickBot="1">
      <c r="A72" s="456" t="s">
        <v>313</v>
      </c>
      <c r="B72" s="285" t="s">
        <v>314</v>
      </c>
      <c r="C72" s="290">
        <f>SUM(C73:C76)</f>
        <v>0</v>
      </c>
    </row>
    <row r="73" spans="1:3" s="408" customFormat="1" ht="12" customHeight="1">
      <c r="A73" s="15" t="s">
        <v>149</v>
      </c>
      <c r="B73" s="409" t="s">
        <v>315</v>
      </c>
      <c r="C73" s="295"/>
    </row>
    <row r="74" spans="1:3" s="408" customFormat="1" ht="12" customHeight="1">
      <c r="A74" s="14" t="s">
        <v>150</v>
      </c>
      <c r="B74" s="410" t="s">
        <v>571</v>
      </c>
      <c r="C74" s="295"/>
    </row>
    <row r="75" spans="1:3" s="408" customFormat="1" ht="12" customHeight="1" thickBot="1">
      <c r="A75" s="16" t="s">
        <v>338</v>
      </c>
      <c r="B75" s="411" t="s">
        <v>316</v>
      </c>
      <c r="C75" s="396"/>
    </row>
    <row r="76" spans="1:3" s="408" customFormat="1" ht="12" customHeight="1" thickBot="1">
      <c r="A76" s="563" t="s">
        <v>339</v>
      </c>
      <c r="B76" s="564" t="s">
        <v>572</v>
      </c>
      <c r="C76" s="565"/>
    </row>
    <row r="77" spans="1:3" s="408" customFormat="1" ht="12" customHeight="1" thickBot="1">
      <c r="A77" s="456" t="s">
        <v>317</v>
      </c>
      <c r="B77" s="285" t="s">
        <v>318</v>
      </c>
      <c r="C77" s="290">
        <f>SUM(C78:C79)</f>
        <v>0</v>
      </c>
    </row>
    <row r="78" spans="1:3" s="408" customFormat="1" ht="12" customHeight="1" thickBot="1">
      <c r="A78" s="13" t="s">
        <v>340</v>
      </c>
      <c r="B78" s="562" t="s">
        <v>319</v>
      </c>
      <c r="C78" s="396"/>
    </row>
    <row r="79" spans="1:3" s="408" customFormat="1" ht="12" customHeight="1" thickBot="1">
      <c r="A79" s="563" t="s">
        <v>341</v>
      </c>
      <c r="B79" s="564" t="s">
        <v>320</v>
      </c>
      <c r="C79" s="565"/>
    </row>
    <row r="80" spans="1:3" s="408" customFormat="1" ht="12" customHeight="1" thickBot="1">
      <c r="A80" s="456" t="s">
        <v>321</v>
      </c>
      <c r="B80" s="285" t="s">
        <v>322</v>
      </c>
      <c r="C80" s="290">
        <f>SUM(C81:C83)</f>
        <v>0</v>
      </c>
    </row>
    <row r="81" spans="1:3" s="408" customFormat="1" ht="12" customHeight="1">
      <c r="A81" s="15" t="s">
        <v>342</v>
      </c>
      <c r="B81" s="409" t="s">
        <v>323</v>
      </c>
      <c r="C81" s="295"/>
    </row>
    <row r="82" spans="1:3" s="408" customFormat="1" ht="12" customHeight="1">
      <c r="A82" s="14" t="s">
        <v>343</v>
      </c>
      <c r="B82" s="410" t="s">
        <v>324</v>
      </c>
      <c r="C82" s="295"/>
    </row>
    <row r="83" spans="1:3" s="408" customFormat="1" ht="12" customHeight="1" thickBot="1">
      <c r="A83" s="18" t="s">
        <v>344</v>
      </c>
      <c r="B83" s="566" t="s">
        <v>573</v>
      </c>
      <c r="C83" s="567"/>
    </row>
    <row r="84" spans="1:3" s="408" customFormat="1" ht="12" customHeight="1" thickBot="1">
      <c r="A84" s="456" t="s">
        <v>325</v>
      </c>
      <c r="B84" s="285" t="s">
        <v>345</v>
      </c>
      <c r="C84" s="290">
        <f>SUM(C85:C88)</f>
        <v>0</v>
      </c>
    </row>
    <row r="85" spans="1:3" s="408" customFormat="1" ht="12" customHeight="1">
      <c r="A85" s="413" t="s">
        <v>326</v>
      </c>
      <c r="B85" s="409" t="s">
        <v>327</v>
      </c>
      <c r="C85" s="295"/>
    </row>
    <row r="86" spans="1:3" s="408" customFormat="1" ht="12" customHeight="1">
      <c r="A86" s="414" t="s">
        <v>328</v>
      </c>
      <c r="B86" s="410" t="s">
        <v>329</v>
      </c>
      <c r="C86" s="295"/>
    </row>
    <row r="87" spans="1:3" s="408" customFormat="1" ht="12" customHeight="1">
      <c r="A87" s="414" t="s">
        <v>330</v>
      </c>
      <c r="B87" s="410" t="s">
        <v>331</v>
      </c>
      <c r="C87" s="295"/>
    </row>
    <row r="88" spans="1:3" s="408" customFormat="1" ht="12" customHeight="1" thickBot="1">
      <c r="A88" s="415" t="s">
        <v>332</v>
      </c>
      <c r="B88" s="287" t="s">
        <v>333</v>
      </c>
      <c r="C88" s="295"/>
    </row>
    <row r="89" spans="1:3" s="408" customFormat="1" ht="12" customHeight="1" thickBot="1">
      <c r="A89" s="456" t="s">
        <v>334</v>
      </c>
      <c r="B89" s="285" t="s">
        <v>475</v>
      </c>
      <c r="C89" s="454"/>
    </row>
    <row r="90" spans="1:3" s="408" customFormat="1" ht="13.5" customHeight="1" thickBot="1">
      <c r="A90" s="456" t="s">
        <v>336</v>
      </c>
      <c r="B90" s="285" t="s">
        <v>335</v>
      </c>
      <c r="C90" s="454"/>
    </row>
    <row r="91" spans="1:3" s="408" customFormat="1" ht="15.75" customHeight="1" thickBot="1">
      <c r="A91" s="456" t="s">
        <v>348</v>
      </c>
      <c r="B91" s="416" t="s">
        <v>478</v>
      </c>
      <c r="C91" s="296">
        <f>+C68+C72+C77+C80+C84+C90+C89</f>
        <v>0</v>
      </c>
    </row>
    <row r="92" spans="1:3" s="408" customFormat="1" ht="16.5" customHeight="1" thickBot="1">
      <c r="A92" s="457" t="s">
        <v>477</v>
      </c>
      <c r="B92" s="417" t="s">
        <v>479</v>
      </c>
      <c r="C92" s="296">
        <f>+C67+C91</f>
        <v>0</v>
      </c>
    </row>
    <row r="93" spans="1:3" s="408" customFormat="1" ht="11.1" customHeight="1">
      <c r="A93" s="5"/>
      <c r="B93" s="6"/>
      <c r="C93" s="297"/>
    </row>
    <row r="94" spans="1:3" ht="16.5" customHeight="1">
      <c r="A94" s="824" t="s">
        <v>47</v>
      </c>
      <c r="B94" s="824"/>
      <c r="C94" s="824"/>
    </row>
    <row r="95" spans="1:3" s="418" customFormat="1" ht="16.5" customHeight="1" thickBot="1">
      <c r="A95" s="821" t="s">
        <v>153</v>
      </c>
      <c r="B95" s="821"/>
      <c r="C95" s="575" t="str">
        <f ca="1">C7</f>
        <v/>
      </c>
    </row>
    <row r="96" spans="1:3" ht="38.1" customHeight="1" thickBot="1">
      <c r="A96" s="555" t="s">
        <v>69</v>
      </c>
      <c r="B96" s="556" t="s">
        <v>48</v>
      </c>
      <c r="C96" s="557" t="str">
        <f ca="1">+C8</f>
        <v>2019. évi előirányzat</v>
      </c>
    </row>
    <row r="97" spans="1:3" s="407" customFormat="1" ht="12" customHeight="1" thickBot="1">
      <c r="A97" s="555"/>
      <c r="B97" s="556" t="s">
        <v>493</v>
      </c>
      <c r="C97" s="557" t="s">
        <v>494</v>
      </c>
    </row>
    <row r="98" spans="1:3" ht="12" customHeight="1" thickBot="1">
      <c r="A98" s="22" t="s">
        <v>18</v>
      </c>
      <c r="B98" s="28" t="s">
        <v>437</v>
      </c>
      <c r="C98" s="289">
        <f>C99+C100+C101+C102+C103+C116</f>
        <v>0</v>
      </c>
    </row>
    <row r="99" spans="1:3" ht="12" customHeight="1">
      <c r="A99" s="17" t="s">
        <v>98</v>
      </c>
      <c r="B99" s="10" t="s">
        <v>49</v>
      </c>
      <c r="C99" s="291"/>
    </row>
    <row r="100" spans="1:3" ht="12" customHeight="1">
      <c r="A100" s="14" t="s">
        <v>99</v>
      </c>
      <c r="B100" s="8" t="s">
        <v>183</v>
      </c>
      <c r="C100" s="292"/>
    </row>
    <row r="101" spans="1:3" ht="12" customHeight="1">
      <c r="A101" s="14" t="s">
        <v>100</v>
      </c>
      <c r="B101" s="8" t="s">
        <v>140</v>
      </c>
      <c r="C101" s="294"/>
    </row>
    <row r="102" spans="1:3" ht="12" customHeight="1">
      <c r="A102" s="14" t="s">
        <v>101</v>
      </c>
      <c r="B102" s="11" t="s">
        <v>184</v>
      </c>
      <c r="C102" s="294"/>
    </row>
    <row r="103" spans="1:3" ht="12" customHeight="1">
      <c r="A103" s="14" t="s">
        <v>112</v>
      </c>
      <c r="B103" s="19" t="s">
        <v>185</v>
      </c>
      <c r="C103" s="294"/>
    </row>
    <row r="104" spans="1:3" ht="12" customHeight="1">
      <c r="A104" s="14" t="s">
        <v>102</v>
      </c>
      <c r="B104" s="8" t="s">
        <v>442</v>
      </c>
      <c r="C104" s="294"/>
    </row>
    <row r="105" spans="1:3" ht="12" customHeight="1">
      <c r="A105" s="14" t="s">
        <v>103</v>
      </c>
      <c r="B105" s="138" t="s">
        <v>441</v>
      </c>
      <c r="C105" s="294"/>
    </row>
    <row r="106" spans="1:3" ht="12" customHeight="1">
      <c r="A106" s="14" t="s">
        <v>113</v>
      </c>
      <c r="B106" s="138" t="s">
        <v>440</v>
      </c>
      <c r="C106" s="294"/>
    </row>
    <row r="107" spans="1:3" ht="12" customHeight="1">
      <c r="A107" s="14" t="s">
        <v>114</v>
      </c>
      <c r="B107" s="136" t="s">
        <v>351</v>
      </c>
      <c r="C107" s="294"/>
    </row>
    <row r="108" spans="1:3" ht="12" customHeight="1">
      <c r="A108" s="14" t="s">
        <v>115</v>
      </c>
      <c r="B108" s="137" t="s">
        <v>352</v>
      </c>
      <c r="C108" s="294"/>
    </row>
    <row r="109" spans="1:3" ht="12" customHeight="1">
      <c r="A109" s="14" t="s">
        <v>116</v>
      </c>
      <c r="B109" s="137" t="s">
        <v>353</v>
      </c>
      <c r="C109" s="294"/>
    </row>
    <row r="110" spans="1:3" ht="12" customHeight="1">
      <c r="A110" s="14" t="s">
        <v>118</v>
      </c>
      <c r="B110" s="136" t="s">
        <v>354</v>
      </c>
      <c r="C110" s="294"/>
    </row>
    <row r="111" spans="1:3" ht="12" customHeight="1">
      <c r="A111" s="14" t="s">
        <v>186</v>
      </c>
      <c r="B111" s="136" t="s">
        <v>355</v>
      </c>
      <c r="C111" s="294"/>
    </row>
    <row r="112" spans="1:3" ht="12" customHeight="1">
      <c r="A112" s="14" t="s">
        <v>349</v>
      </c>
      <c r="B112" s="137" t="s">
        <v>356</v>
      </c>
      <c r="C112" s="294"/>
    </row>
    <row r="113" spans="1:3" ht="12" customHeight="1">
      <c r="A113" s="13" t="s">
        <v>350</v>
      </c>
      <c r="B113" s="138" t="s">
        <v>357</v>
      </c>
      <c r="C113" s="294"/>
    </row>
    <row r="114" spans="1:3" ht="12" customHeight="1">
      <c r="A114" s="14" t="s">
        <v>438</v>
      </c>
      <c r="B114" s="138" t="s">
        <v>358</v>
      </c>
      <c r="C114" s="294"/>
    </row>
    <row r="115" spans="1:3" ht="12" customHeight="1">
      <c r="A115" s="16" t="s">
        <v>439</v>
      </c>
      <c r="B115" s="138" t="s">
        <v>359</v>
      </c>
      <c r="C115" s="294"/>
    </row>
    <row r="116" spans="1:3" ht="12" customHeight="1">
      <c r="A116" s="14" t="s">
        <v>443</v>
      </c>
      <c r="B116" s="11" t="s">
        <v>50</v>
      </c>
      <c r="C116" s="292"/>
    </row>
    <row r="117" spans="1:3" ht="12" customHeight="1">
      <c r="A117" s="14" t="s">
        <v>444</v>
      </c>
      <c r="B117" s="8" t="s">
        <v>446</v>
      </c>
      <c r="C117" s="292"/>
    </row>
    <row r="118" spans="1:3" ht="12" customHeight="1" thickBot="1">
      <c r="A118" s="18" t="s">
        <v>445</v>
      </c>
      <c r="B118" s="475" t="s">
        <v>447</v>
      </c>
      <c r="C118" s="298"/>
    </row>
    <row r="119" spans="1:3" ht="12" customHeight="1" thickBot="1">
      <c r="A119" s="472" t="s">
        <v>19</v>
      </c>
      <c r="B119" s="473" t="s">
        <v>360</v>
      </c>
      <c r="C119" s="474">
        <f>+C120+C122+C124</f>
        <v>0</v>
      </c>
    </row>
    <row r="120" spans="1:3" ht="12" customHeight="1">
      <c r="A120" s="15" t="s">
        <v>104</v>
      </c>
      <c r="B120" s="8" t="s">
        <v>230</v>
      </c>
      <c r="C120" s="293"/>
    </row>
    <row r="121" spans="1:3" ht="12" customHeight="1">
      <c r="A121" s="15" t="s">
        <v>105</v>
      </c>
      <c r="B121" s="12" t="s">
        <v>364</v>
      </c>
      <c r="C121" s="293"/>
    </row>
    <row r="122" spans="1:3" ht="12" customHeight="1">
      <c r="A122" s="15" t="s">
        <v>106</v>
      </c>
      <c r="B122" s="12" t="s">
        <v>187</v>
      </c>
      <c r="C122" s="292"/>
    </row>
    <row r="123" spans="1:3" ht="12" customHeight="1">
      <c r="A123" s="15" t="s">
        <v>107</v>
      </c>
      <c r="B123" s="12" t="s">
        <v>365</v>
      </c>
      <c r="C123" s="257"/>
    </row>
    <row r="124" spans="1:3" ht="12" customHeight="1">
      <c r="A124" s="15" t="s">
        <v>108</v>
      </c>
      <c r="B124" s="287" t="s">
        <v>575</v>
      </c>
      <c r="C124" s="257"/>
    </row>
    <row r="125" spans="1:3" ht="12" customHeight="1">
      <c r="A125" s="15" t="s">
        <v>117</v>
      </c>
      <c r="B125" s="286" t="s">
        <v>428</v>
      </c>
      <c r="C125" s="257"/>
    </row>
    <row r="126" spans="1:3" ht="12" customHeight="1">
      <c r="A126" s="15" t="s">
        <v>119</v>
      </c>
      <c r="B126" s="405" t="s">
        <v>370</v>
      </c>
      <c r="C126" s="257"/>
    </row>
    <row r="127" spans="1:3">
      <c r="A127" s="15" t="s">
        <v>188</v>
      </c>
      <c r="B127" s="137" t="s">
        <v>353</v>
      </c>
      <c r="C127" s="257"/>
    </row>
    <row r="128" spans="1:3" ht="12" customHeight="1">
      <c r="A128" s="15" t="s">
        <v>189</v>
      </c>
      <c r="B128" s="137" t="s">
        <v>369</v>
      </c>
      <c r="C128" s="257"/>
    </row>
    <row r="129" spans="1:3" ht="12" customHeight="1">
      <c r="A129" s="15" t="s">
        <v>190</v>
      </c>
      <c r="B129" s="137" t="s">
        <v>368</v>
      </c>
      <c r="C129" s="257"/>
    </row>
    <row r="130" spans="1:3" ht="12" customHeight="1">
      <c r="A130" s="15" t="s">
        <v>361</v>
      </c>
      <c r="B130" s="137" t="s">
        <v>356</v>
      </c>
      <c r="C130" s="257"/>
    </row>
    <row r="131" spans="1:3" ht="12" customHeight="1">
      <c r="A131" s="15" t="s">
        <v>362</v>
      </c>
      <c r="B131" s="137" t="s">
        <v>367</v>
      </c>
      <c r="C131" s="257"/>
    </row>
    <row r="132" spans="1:3" ht="16.5" thickBot="1">
      <c r="A132" s="13" t="s">
        <v>363</v>
      </c>
      <c r="B132" s="137" t="s">
        <v>366</v>
      </c>
      <c r="C132" s="259"/>
    </row>
    <row r="133" spans="1:3" ht="12" customHeight="1" thickBot="1">
      <c r="A133" s="20" t="s">
        <v>20</v>
      </c>
      <c r="B133" s="118" t="s">
        <v>448</v>
      </c>
      <c r="C133" s="290">
        <f>+C98+C119</f>
        <v>0</v>
      </c>
    </row>
    <row r="134" spans="1:3" ht="12" customHeight="1" thickBot="1">
      <c r="A134" s="20" t="s">
        <v>21</v>
      </c>
      <c r="B134" s="118" t="s">
        <v>449</v>
      </c>
      <c r="C134" s="290">
        <f>+C135+C136+C137</f>
        <v>0</v>
      </c>
    </row>
    <row r="135" spans="1:3" ht="12" customHeight="1">
      <c r="A135" s="15" t="s">
        <v>268</v>
      </c>
      <c r="B135" s="12" t="s">
        <v>456</v>
      </c>
      <c r="C135" s="257"/>
    </row>
    <row r="136" spans="1:3" ht="12" customHeight="1">
      <c r="A136" s="15" t="s">
        <v>269</v>
      </c>
      <c r="B136" s="12" t="s">
        <v>457</v>
      </c>
      <c r="C136" s="257"/>
    </row>
    <row r="137" spans="1:3" ht="12" customHeight="1" thickBot="1">
      <c r="A137" s="13" t="s">
        <v>270</v>
      </c>
      <c r="B137" s="12" t="s">
        <v>458</v>
      </c>
      <c r="C137" s="257"/>
    </row>
    <row r="138" spans="1:3" ht="12" customHeight="1" thickBot="1">
      <c r="A138" s="20" t="s">
        <v>22</v>
      </c>
      <c r="B138" s="118" t="s">
        <v>450</v>
      </c>
      <c r="C138" s="290">
        <f>SUM(C139:C144)</f>
        <v>0</v>
      </c>
    </row>
    <row r="139" spans="1:3" ht="12" customHeight="1">
      <c r="A139" s="15" t="s">
        <v>91</v>
      </c>
      <c r="B139" s="9" t="s">
        <v>459</v>
      </c>
      <c r="C139" s="257"/>
    </row>
    <row r="140" spans="1:3" ht="12" customHeight="1">
      <c r="A140" s="15" t="s">
        <v>92</v>
      </c>
      <c r="B140" s="9" t="s">
        <v>451</v>
      </c>
      <c r="C140" s="257"/>
    </row>
    <row r="141" spans="1:3" ht="12" customHeight="1">
      <c r="A141" s="15" t="s">
        <v>93</v>
      </c>
      <c r="B141" s="9" t="s">
        <v>452</v>
      </c>
      <c r="C141" s="257"/>
    </row>
    <row r="142" spans="1:3" ht="12" customHeight="1">
      <c r="A142" s="15" t="s">
        <v>175</v>
      </c>
      <c r="B142" s="9" t="s">
        <v>453</v>
      </c>
      <c r="C142" s="257"/>
    </row>
    <row r="143" spans="1:3" ht="12" customHeight="1" thickBot="1">
      <c r="A143" s="13" t="s">
        <v>176</v>
      </c>
      <c r="B143" s="7" t="s">
        <v>454</v>
      </c>
      <c r="C143" s="259"/>
    </row>
    <row r="144" spans="1:3" ht="12" customHeight="1" thickBot="1">
      <c r="A144" s="563" t="s">
        <v>177</v>
      </c>
      <c r="B144" s="568" t="s">
        <v>455</v>
      </c>
      <c r="C144" s="569"/>
    </row>
    <row r="145" spans="1:9" ht="12" customHeight="1" thickBot="1">
      <c r="A145" s="20" t="s">
        <v>23</v>
      </c>
      <c r="B145" s="118" t="s">
        <v>463</v>
      </c>
      <c r="C145" s="296">
        <f>+C146+C147+C148+C149</f>
        <v>0</v>
      </c>
    </row>
    <row r="146" spans="1:9" ht="12" customHeight="1">
      <c r="A146" s="15" t="s">
        <v>94</v>
      </c>
      <c r="B146" s="9" t="s">
        <v>371</v>
      </c>
      <c r="C146" s="257"/>
    </row>
    <row r="147" spans="1:9" ht="12" customHeight="1">
      <c r="A147" s="15" t="s">
        <v>95</v>
      </c>
      <c r="B147" s="9" t="s">
        <v>372</v>
      </c>
      <c r="C147" s="257"/>
    </row>
    <row r="148" spans="1:9" ht="12" customHeight="1" thickBot="1">
      <c r="A148" s="13" t="s">
        <v>288</v>
      </c>
      <c r="B148" s="7" t="s">
        <v>464</v>
      </c>
      <c r="C148" s="259"/>
    </row>
    <row r="149" spans="1:9" ht="12" customHeight="1" thickBot="1">
      <c r="A149" s="563" t="s">
        <v>289</v>
      </c>
      <c r="B149" s="568" t="s">
        <v>390</v>
      </c>
      <c r="C149" s="569"/>
    </row>
    <row r="150" spans="1:9" ht="12" customHeight="1" thickBot="1">
      <c r="A150" s="20" t="s">
        <v>24</v>
      </c>
      <c r="B150" s="118" t="s">
        <v>465</v>
      </c>
      <c r="C150" s="299">
        <f>SUM(C151:C155)</f>
        <v>0</v>
      </c>
    </row>
    <row r="151" spans="1:9" ht="12" customHeight="1">
      <c r="A151" s="15" t="s">
        <v>96</v>
      </c>
      <c r="B151" s="9" t="s">
        <v>460</v>
      </c>
      <c r="C151" s="257"/>
    </row>
    <row r="152" spans="1:9" ht="12" customHeight="1">
      <c r="A152" s="15" t="s">
        <v>97</v>
      </c>
      <c r="B152" s="9" t="s">
        <v>467</v>
      </c>
      <c r="C152" s="257"/>
    </row>
    <row r="153" spans="1:9" ht="12" customHeight="1">
      <c r="A153" s="15" t="s">
        <v>300</v>
      </c>
      <c r="B153" s="9" t="s">
        <v>462</v>
      </c>
      <c r="C153" s="257"/>
    </row>
    <row r="154" spans="1:9" ht="12" customHeight="1">
      <c r="A154" s="15" t="s">
        <v>301</v>
      </c>
      <c r="B154" s="9" t="s">
        <v>518</v>
      </c>
      <c r="C154" s="257"/>
    </row>
    <row r="155" spans="1:9" ht="12" customHeight="1" thickBot="1">
      <c r="A155" s="15" t="s">
        <v>466</v>
      </c>
      <c r="B155" s="9" t="s">
        <v>469</v>
      </c>
      <c r="C155" s="257"/>
    </row>
    <row r="156" spans="1:9" ht="12" customHeight="1" thickBot="1">
      <c r="A156" s="20" t="s">
        <v>25</v>
      </c>
      <c r="B156" s="118" t="s">
        <v>470</v>
      </c>
      <c r="C156" s="476"/>
    </row>
    <row r="157" spans="1:9" ht="12" customHeight="1" thickBot="1">
      <c r="A157" s="20" t="s">
        <v>26</v>
      </c>
      <c r="B157" s="118" t="s">
        <v>471</v>
      </c>
      <c r="C157" s="476"/>
    </row>
    <row r="158" spans="1:9" ht="15.2" customHeight="1" thickBot="1">
      <c r="A158" s="20" t="s">
        <v>27</v>
      </c>
      <c r="B158" s="118" t="s">
        <v>473</v>
      </c>
      <c r="C158" s="570">
        <f>+C134+C138+C145+C150+C156+C157</f>
        <v>0</v>
      </c>
      <c r="F158" s="420"/>
      <c r="G158" s="421"/>
      <c r="H158" s="421"/>
      <c r="I158" s="421"/>
    </row>
    <row r="159" spans="1:9" s="408" customFormat="1" ht="17.25" customHeight="1" thickBot="1">
      <c r="A159" s="288" t="s">
        <v>28</v>
      </c>
      <c r="B159" s="571" t="s">
        <v>472</v>
      </c>
      <c r="C159" s="570">
        <f>+C133+C158</f>
        <v>0</v>
      </c>
    </row>
    <row r="160" spans="1:9" ht="15.95" customHeight="1">
      <c r="A160" s="572"/>
      <c r="B160" s="572"/>
      <c r="C160" s="634">
        <f>C92-C159</f>
        <v>0</v>
      </c>
    </row>
    <row r="161" spans="1:4">
      <c r="A161" s="822" t="s">
        <v>373</v>
      </c>
      <c r="B161" s="822"/>
      <c r="C161" s="822"/>
    </row>
    <row r="162" spans="1:4" ht="15.2" customHeight="1" thickBot="1">
      <c r="A162" s="823" t="s">
        <v>154</v>
      </c>
      <c r="B162" s="823"/>
      <c r="C162" s="576" t="str">
        <f ca="1">C95</f>
        <v/>
      </c>
    </row>
    <row r="163" spans="1:4" ht="13.5" customHeight="1" thickBot="1">
      <c r="A163" s="20">
        <v>1</v>
      </c>
      <c r="B163" s="27" t="s">
        <v>474</v>
      </c>
      <c r="C163" s="290">
        <f>+C67-C133</f>
        <v>0</v>
      </c>
      <c r="D163" s="422"/>
    </row>
    <row r="164" spans="1:4" ht="27.75" customHeight="1" thickBot="1">
      <c r="A164" s="20" t="s">
        <v>19</v>
      </c>
      <c r="B164" s="27" t="s">
        <v>480</v>
      </c>
      <c r="C164" s="290">
        <f>+C91-C158</f>
        <v>0</v>
      </c>
    </row>
  </sheetData>
  <sheetProtection sheet="1"/>
  <mergeCells count="7">
    <mergeCell ref="A162:B162"/>
    <mergeCell ref="B1:C1"/>
    <mergeCell ref="A6:C6"/>
    <mergeCell ref="A7:B7"/>
    <mergeCell ref="A94:C94"/>
    <mergeCell ref="A95:B95"/>
    <mergeCell ref="A161:C161"/>
  </mergeCells>
  <printOptions horizontalCentered="1"/>
  <pageMargins left="0.6692913385826772" right="0.6692913385826772" top="0.86614173228346458" bottom="0.86614173228346458" header="0" footer="0"/>
  <pageSetup paperSize="9" scale="74" fitToHeight="2" orientation="portrait" r:id="rId1"/>
  <headerFooter alignWithMargins="0"/>
  <rowBreaks count="2" manualBreakCount="2">
    <brk id="67" max="2" man="1"/>
    <brk id="144" max="2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92D050"/>
  </sheetPr>
  <dimension ref="A1:I164"/>
  <sheetViews>
    <sheetView topLeftCell="A4" zoomScale="120" zoomScaleNormal="120" zoomScaleSheetLayoutView="100" workbookViewId="0">
      <selection activeCell="E8" sqref="E8"/>
    </sheetView>
  </sheetViews>
  <sheetFormatPr defaultRowHeight="15.75"/>
  <cols>
    <col min="1" max="1" width="9.5" style="374" customWidth="1"/>
    <col min="2" max="2" width="99.33203125" style="374" customWidth="1"/>
    <col min="3" max="3" width="21.6640625" style="375" customWidth="1"/>
    <col min="4" max="4" width="9" style="406" customWidth="1"/>
    <col min="5" max="16384" width="9.33203125" style="406"/>
  </cols>
  <sheetData>
    <row r="1" spans="1:3" ht="18.75" customHeight="1">
      <c r="A1" s="625"/>
      <c r="B1" s="817" t="str">
        <f ca="1">CONCATENATE("1.3. melléklet ",ALAPADATOK!A7," ",ALAPADATOK!B7," ",ALAPADATOK!C7," ",ALAPADATOK!D7," ",ALAPADATOK!E7," ",ALAPADATOK!F7," ",ALAPADATOK!G7," ",ALAPADATOK!H7)</f>
        <v>1.3. melléklet a … / 2019 ( … ) önkormányzati rendelethez</v>
      </c>
      <c r="C1" s="818"/>
    </row>
    <row r="2" spans="1:3" ht="21.95" customHeight="1">
      <c r="A2" s="626"/>
      <c r="B2" s="627" t="str">
        <f ca="1">CONCATENATE(ALAPADATOK!A3)</f>
        <v>DABAS ÖNKORMÁNYZATA</v>
      </c>
      <c r="C2" s="628"/>
    </row>
    <row r="3" spans="1:3" ht="21.95" customHeight="1">
      <c r="A3" s="628"/>
      <c r="B3" s="627" t="s">
        <v>580</v>
      </c>
      <c r="C3" s="628"/>
    </row>
    <row r="4" spans="1:3" ht="21.95" customHeight="1">
      <c r="A4" s="628"/>
      <c r="B4" s="627" t="s">
        <v>583</v>
      </c>
      <c r="C4" s="628"/>
    </row>
    <row r="5" spans="1:3" ht="21.95" customHeight="1">
      <c r="A5" s="625"/>
      <c r="B5" s="625"/>
      <c r="C5" s="629"/>
    </row>
    <row r="6" spans="1:3" ht="15.2" customHeight="1">
      <c r="A6" s="819" t="s">
        <v>15</v>
      </c>
      <c r="B6" s="819"/>
      <c r="C6" s="819"/>
    </row>
    <row r="7" spans="1:3" ht="15.2" customHeight="1" thickBot="1">
      <c r="A7" s="820" t="s">
        <v>152</v>
      </c>
      <c r="B7" s="820"/>
      <c r="C7" s="574" t="str">
        <f ca="1">CONCATENATE(KV_1.1.sz.mell.!C7)</f>
        <v/>
      </c>
    </row>
    <row r="8" spans="1:3" ht="24" customHeight="1" thickBot="1">
      <c r="A8" s="630" t="s">
        <v>69</v>
      </c>
      <c r="B8" s="631" t="s">
        <v>17</v>
      </c>
      <c r="C8" s="632" t="str">
        <f ca="1">+CONCATENATE(LEFT(KV_ÖSSZEFÜGGÉSEK!A5,4),". évi előirányzat")</f>
        <v>2019. évi előirányzat</v>
      </c>
    </row>
    <row r="9" spans="1:3" s="407" customFormat="1" ht="12" customHeight="1" thickBot="1">
      <c r="A9" s="558"/>
      <c r="B9" s="559" t="s">
        <v>493</v>
      </c>
      <c r="C9" s="560" t="s">
        <v>494</v>
      </c>
    </row>
    <row r="10" spans="1:3" s="408" customFormat="1" ht="12" customHeight="1" thickBot="1">
      <c r="A10" s="20" t="s">
        <v>18</v>
      </c>
      <c r="B10" s="21" t="s">
        <v>252</v>
      </c>
      <c r="C10" s="290">
        <f>+C11+C12+C13+C14+C15+C16</f>
        <v>0</v>
      </c>
    </row>
    <row r="11" spans="1:3" s="408" customFormat="1" ht="12" customHeight="1">
      <c r="A11" s="15" t="s">
        <v>98</v>
      </c>
      <c r="B11" s="409" t="s">
        <v>253</v>
      </c>
      <c r="C11" s="293"/>
    </row>
    <row r="12" spans="1:3" s="408" customFormat="1" ht="12" customHeight="1">
      <c r="A12" s="14" t="s">
        <v>99</v>
      </c>
      <c r="B12" s="410" t="s">
        <v>254</v>
      </c>
      <c r="C12" s="292"/>
    </row>
    <row r="13" spans="1:3" s="408" customFormat="1" ht="12" customHeight="1">
      <c r="A13" s="14" t="s">
        <v>100</v>
      </c>
      <c r="B13" s="410" t="s">
        <v>550</v>
      </c>
      <c r="C13" s="292"/>
    </row>
    <row r="14" spans="1:3" s="408" customFormat="1" ht="12" customHeight="1">
      <c r="A14" s="14" t="s">
        <v>101</v>
      </c>
      <c r="B14" s="410" t="s">
        <v>256</v>
      </c>
      <c r="C14" s="292"/>
    </row>
    <row r="15" spans="1:3" s="408" customFormat="1" ht="12" customHeight="1">
      <c r="A15" s="14" t="s">
        <v>148</v>
      </c>
      <c r="B15" s="286" t="s">
        <v>432</v>
      </c>
      <c r="C15" s="292"/>
    </row>
    <row r="16" spans="1:3" s="408" customFormat="1" ht="12" customHeight="1" thickBot="1">
      <c r="A16" s="16" t="s">
        <v>102</v>
      </c>
      <c r="B16" s="287" t="s">
        <v>433</v>
      </c>
      <c r="C16" s="292"/>
    </row>
    <row r="17" spans="1:3" s="408" customFormat="1" ht="12" customHeight="1" thickBot="1">
      <c r="A17" s="20" t="s">
        <v>19</v>
      </c>
      <c r="B17" s="285" t="s">
        <v>257</v>
      </c>
      <c r="C17" s="290">
        <f>+C18+C19+C20+C21+C22</f>
        <v>0</v>
      </c>
    </row>
    <row r="18" spans="1:3" s="408" customFormat="1" ht="12" customHeight="1">
      <c r="A18" s="15" t="s">
        <v>104</v>
      </c>
      <c r="B18" s="409" t="s">
        <v>258</v>
      </c>
      <c r="C18" s="293"/>
    </row>
    <row r="19" spans="1:3" s="408" customFormat="1" ht="12" customHeight="1">
      <c r="A19" s="14" t="s">
        <v>105</v>
      </c>
      <c r="B19" s="410" t="s">
        <v>259</v>
      </c>
      <c r="C19" s="292"/>
    </row>
    <row r="20" spans="1:3" s="408" customFormat="1" ht="12" customHeight="1">
      <c r="A20" s="14" t="s">
        <v>106</v>
      </c>
      <c r="B20" s="410" t="s">
        <v>422</v>
      </c>
      <c r="C20" s="292"/>
    </row>
    <row r="21" spans="1:3" s="408" customFormat="1" ht="12" customHeight="1">
      <c r="A21" s="14" t="s">
        <v>107</v>
      </c>
      <c r="B21" s="410" t="s">
        <v>423</v>
      </c>
      <c r="C21" s="292"/>
    </row>
    <row r="22" spans="1:3" s="408" customFormat="1" ht="12" customHeight="1">
      <c r="A22" s="14" t="s">
        <v>108</v>
      </c>
      <c r="B22" s="410" t="s">
        <v>574</v>
      </c>
      <c r="C22" s="292"/>
    </row>
    <row r="23" spans="1:3" s="408" customFormat="1" ht="12" customHeight="1" thickBot="1">
      <c r="A23" s="16" t="s">
        <v>117</v>
      </c>
      <c r="B23" s="287" t="s">
        <v>261</v>
      </c>
      <c r="C23" s="294"/>
    </row>
    <row r="24" spans="1:3" s="408" customFormat="1" ht="12" customHeight="1" thickBot="1">
      <c r="A24" s="20" t="s">
        <v>20</v>
      </c>
      <c r="B24" s="21" t="s">
        <v>262</v>
      </c>
      <c r="C24" s="290">
        <f>+C25+C26+C27+C28+C29</f>
        <v>0</v>
      </c>
    </row>
    <row r="25" spans="1:3" s="408" customFormat="1" ht="12" customHeight="1">
      <c r="A25" s="15" t="s">
        <v>87</v>
      </c>
      <c r="B25" s="409" t="s">
        <v>263</v>
      </c>
      <c r="C25" s="293"/>
    </row>
    <row r="26" spans="1:3" s="408" customFormat="1" ht="12" customHeight="1">
      <c r="A26" s="14" t="s">
        <v>88</v>
      </c>
      <c r="B26" s="410" t="s">
        <v>264</v>
      </c>
      <c r="C26" s="292"/>
    </row>
    <row r="27" spans="1:3" s="408" customFormat="1" ht="12" customHeight="1">
      <c r="A27" s="14" t="s">
        <v>89</v>
      </c>
      <c r="B27" s="410" t="s">
        <v>424</v>
      </c>
      <c r="C27" s="292"/>
    </row>
    <row r="28" spans="1:3" s="408" customFormat="1" ht="12" customHeight="1">
      <c r="A28" s="14" t="s">
        <v>90</v>
      </c>
      <c r="B28" s="410" t="s">
        <v>425</v>
      </c>
      <c r="C28" s="292"/>
    </row>
    <row r="29" spans="1:3" s="408" customFormat="1" ht="12" customHeight="1">
      <c r="A29" s="14" t="s">
        <v>171</v>
      </c>
      <c r="B29" s="410" t="s">
        <v>265</v>
      </c>
      <c r="C29" s="292"/>
    </row>
    <row r="30" spans="1:3" s="550" customFormat="1" ht="12" customHeight="1" thickBot="1">
      <c r="A30" s="561" t="s">
        <v>172</v>
      </c>
      <c r="B30" s="548" t="s">
        <v>569</v>
      </c>
      <c r="C30" s="549"/>
    </row>
    <row r="31" spans="1:3" s="408" customFormat="1" ht="12" customHeight="1" thickBot="1">
      <c r="A31" s="20" t="s">
        <v>173</v>
      </c>
      <c r="B31" s="21" t="s">
        <v>551</v>
      </c>
      <c r="C31" s="296">
        <f>SUM(C32:C38)</f>
        <v>0</v>
      </c>
    </row>
    <row r="32" spans="1:3" s="408" customFormat="1" ht="12" customHeight="1">
      <c r="A32" s="15" t="s">
        <v>268</v>
      </c>
      <c r="B32" s="409" t="s">
        <v>555</v>
      </c>
      <c r="C32" s="293"/>
    </row>
    <row r="33" spans="1:3" s="408" customFormat="1" ht="12" customHeight="1">
      <c r="A33" s="14" t="s">
        <v>269</v>
      </c>
      <c r="B33" s="410" t="s">
        <v>556</v>
      </c>
      <c r="C33" s="292"/>
    </row>
    <row r="34" spans="1:3" s="408" customFormat="1" ht="12" customHeight="1">
      <c r="A34" s="14" t="s">
        <v>270</v>
      </c>
      <c r="B34" s="410" t="s">
        <v>557</v>
      </c>
      <c r="C34" s="292"/>
    </row>
    <row r="35" spans="1:3" s="408" customFormat="1" ht="12" customHeight="1">
      <c r="A35" s="14" t="s">
        <v>271</v>
      </c>
      <c r="B35" s="410" t="s">
        <v>558</v>
      </c>
      <c r="C35" s="292"/>
    </row>
    <row r="36" spans="1:3" s="408" customFormat="1" ht="12" customHeight="1">
      <c r="A36" s="14" t="s">
        <v>552</v>
      </c>
      <c r="B36" s="410" t="s">
        <v>272</v>
      </c>
      <c r="C36" s="292"/>
    </row>
    <row r="37" spans="1:3" s="408" customFormat="1" ht="12" customHeight="1">
      <c r="A37" s="14" t="s">
        <v>553</v>
      </c>
      <c r="B37" s="410" t="s">
        <v>273</v>
      </c>
      <c r="C37" s="292"/>
    </row>
    <row r="38" spans="1:3" s="408" customFormat="1" ht="12" customHeight="1" thickBot="1">
      <c r="A38" s="16" t="s">
        <v>554</v>
      </c>
      <c r="B38" s="504" t="s">
        <v>274</v>
      </c>
      <c r="C38" s="294"/>
    </row>
    <row r="39" spans="1:3" s="408" customFormat="1" ht="12" customHeight="1" thickBot="1">
      <c r="A39" s="20" t="s">
        <v>22</v>
      </c>
      <c r="B39" s="21" t="s">
        <v>434</v>
      </c>
      <c r="C39" s="290">
        <f>SUM(C40:C50)</f>
        <v>0</v>
      </c>
    </row>
    <row r="40" spans="1:3" s="408" customFormat="1" ht="12" customHeight="1">
      <c r="A40" s="15" t="s">
        <v>91</v>
      </c>
      <c r="B40" s="409" t="s">
        <v>277</v>
      </c>
      <c r="C40" s="293"/>
    </row>
    <row r="41" spans="1:3" s="408" customFormat="1" ht="12" customHeight="1">
      <c r="A41" s="14" t="s">
        <v>92</v>
      </c>
      <c r="B41" s="410" t="s">
        <v>278</v>
      </c>
      <c r="C41" s="292"/>
    </row>
    <row r="42" spans="1:3" s="408" customFormat="1" ht="12" customHeight="1">
      <c r="A42" s="14" t="s">
        <v>93</v>
      </c>
      <c r="B42" s="410" t="s">
        <v>279</v>
      </c>
      <c r="C42" s="292"/>
    </row>
    <row r="43" spans="1:3" s="408" customFormat="1" ht="12" customHeight="1">
      <c r="A43" s="14" t="s">
        <v>175</v>
      </c>
      <c r="B43" s="410" t="s">
        <v>280</v>
      </c>
      <c r="C43" s="292"/>
    </row>
    <row r="44" spans="1:3" s="408" customFormat="1" ht="12" customHeight="1">
      <c r="A44" s="14" t="s">
        <v>176</v>
      </c>
      <c r="B44" s="410" t="s">
        <v>281</v>
      </c>
      <c r="C44" s="292"/>
    </row>
    <row r="45" spans="1:3" s="408" customFormat="1" ht="12" customHeight="1">
      <c r="A45" s="14" t="s">
        <v>177</v>
      </c>
      <c r="B45" s="410" t="s">
        <v>282</v>
      </c>
      <c r="C45" s="292"/>
    </row>
    <row r="46" spans="1:3" s="408" customFormat="1" ht="12" customHeight="1">
      <c r="A46" s="14" t="s">
        <v>178</v>
      </c>
      <c r="B46" s="410" t="s">
        <v>283</v>
      </c>
      <c r="C46" s="292"/>
    </row>
    <row r="47" spans="1:3" s="408" customFormat="1" ht="12" customHeight="1">
      <c r="A47" s="14" t="s">
        <v>179</v>
      </c>
      <c r="B47" s="410" t="s">
        <v>559</v>
      </c>
      <c r="C47" s="292"/>
    </row>
    <row r="48" spans="1:3" s="408" customFormat="1" ht="12" customHeight="1">
      <c r="A48" s="14" t="s">
        <v>275</v>
      </c>
      <c r="B48" s="410" t="s">
        <v>285</v>
      </c>
      <c r="C48" s="295"/>
    </row>
    <row r="49" spans="1:3" s="408" customFormat="1" ht="12" customHeight="1">
      <c r="A49" s="16" t="s">
        <v>276</v>
      </c>
      <c r="B49" s="411" t="s">
        <v>436</v>
      </c>
      <c r="C49" s="396"/>
    </row>
    <row r="50" spans="1:3" s="408" customFormat="1" ht="12" customHeight="1" thickBot="1">
      <c r="A50" s="16" t="s">
        <v>435</v>
      </c>
      <c r="B50" s="287" t="s">
        <v>286</v>
      </c>
      <c r="C50" s="396"/>
    </row>
    <row r="51" spans="1:3" s="408" customFormat="1" ht="12" customHeight="1" thickBot="1">
      <c r="A51" s="20" t="s">
        <v>23</v>
      </c>
      <c r="B51" s="21" t="s">
        <v>287</v>
      </c>
      <c r="C51" s="290">
        <f>SUM(C52:C56)</f>
        <v>0</v>
      </c>
    </row>
    <row r="52" spans="1:3" s="408" customFormat="1" ht="12" customHeight="1">
      <c r="A52" s="15" t="s">
        <v>94</v>
      </c>
      <c r="B52" s="409" t="s">
        <v>291</v>
      </c>
      <c r="C52" s="453"/>
    </row>
    <row r="53" spans="1:3" s="408" customFormat="1" ht="12" customHeight="1">
      <c r="A53" s="14" t="s">
        <v>95</v>
      </c>
      <c r="B53" s="410" t="s">
        <v>292</v>
      </c>
      <c r="C53" s="295"/>
    </row>
    <row r="54" spans="1:3" s="408" customFormat="1" ht="12" customHeight="1">
      <c r="A54" s="14" t="s">
        <v>288</v>
      </c>
      <c r="B54" s="410" t="s">
        <v>293</v>
      </c>
      <c r="C54" s="295"/>
    </row>
    <row r="55" spans="1:3" s="408" customFormat="1" ht="12" customHeight="1">
      <c r="A55" s="14" t="s">
        <v>289</v>
      </c>
      <c r="B55" s="410" t="s">
        <v>294</v>
      </c>
      <c r="C55" s="295"/>
    </row>
    <row r="56" spans="1:3" s="408" customFormat="1" ht="12" customHeight="1" thickBot="1">
      <c r="A56" s="16" t="s">
        <v>290</v>
      </c>
      <c r="B56" s="287" t="s">
        <v>295</v>
      </c>
      <c r="C56" s="396"/>
    </row>
    <row r="57" spans="1:3" s="408" customFormat="1" ht="12" customHeight="1" thickBot="1">
      <c r="A57" s="20" t="s">
        <v>180</v>
      </c>
      <c r="B57" s="21" t="s">
        <v>296</v>
      </c>
      <c r="C57" s="290">
        <f>SUM(C58:C60)</f>
        <v>0</v>
      </c>
    </row>
    <row r="58" spans="1:3" s="408" customFormat="1" ht="12" customHeight="1">
      <c r="A58" s="15" t="s">
        <v>96</v>
      </c>
      <c r="B58" s="409" t="s">
        <v>297</v>
      </c>
      <c r="C58" s="293"/>
    </row>
    <row r="59" spans="1:3" s="408" customFormat="1" ht="12" customHeight="1">
      <c r="A59" s="14" t="s">
        <v>97</v>
      </c>
      <c r="B59" s="410" t="s">
        <v>426</v>
      </c>
      <c r="C59" s="292"/>
    </row>
    <row r="60" spans="1:3" s="408" customFormat="1" ht="12" customHeight="1">
      <c r="A60" s="14" t="s">
        <v>300</v>
      </c>
      <c r="B60" s="410" t="s">
        <v>298</v>
      </c>
      <c r="C60" s="292"/>
    </row>
    <row r="61" spans="1:3" s="408" customFormat="1" ht="12" customHeight="1" thickBot="1">
      <c r="A61" s="16" t="s">
        <v>301</v>
      </c>
      <c r="B61" s="287" t="s">
        <v>299</v>
      </c>
      <c r="C61" s="294"/>
    </row>
    <row r="62" spans="1:3" s="408" customFormat="1" ht="12" customHeight="1" thickBot="1">
      <c r="A62" s="20" t="s">
        <v>25</v>
      </c>
      <c r="B62" s="285" t="s">
        <v>302</v>
      </c>
      <c r="C62" s="290">
        <f>SUM(C63:C65)</f>
        <v>0</v>
      </c>
    </row>
    <row r="63" spans="1:3" s="408" customFormat="1" ht="12" customHeight="1">
      <c r="A63" s="15" t="s">
        <v>181</v>
      </c>
      <c r="B63" s="409" t="s">
        <v>304</v>
      </c>
      <c r="C63" s="295"/>
    </row>
    <row r="64" spans="1:3" s="408" customFormat="1" ht="12" customHeight="1">
      <c r="A64" s="14" t="s">
        <v>182</v>
      </c>
      <c r="B64" s="410" t="s">
        <v>427</v>
      </c>
      <c r="C64" s="295"/>
    </row>
    <row r="65" spans="1:3" s="408" customFormat="1" ht="12" customHeight="1">
      <c r="A65" s="14" t="s">
        <v>231</v>
      </c>
      <c r="B65" s="410" t="s">
        <v>305</v>
      </c>
      <c r="C65" s="295"/>
    </row>
    <row r="66" spans="1:3" s="408" customFormat="1" ht="12" customHeight="1" thickBot="1">
      <c r="A66" s="16" t="s">
        <v>303</v>
      </c>
      <c r="B66" s="287" t="s">
        <v>306</v>
      </c>
      <c r="C66" s="295"/>
    </row>
    <row r="67" spans="1:3" s="408" customFormat="1" ht="12" customHeight="1" thickBot="1">
      <c r="A67" s="477" t="s">
        <v>476</v>
      </c>
      <c r="B67" s="21" t="s">
        <v>307</v>
      </c>
      <c r="C67" s="296">
        <f>+C10+C17+C24+C31+C39+C51+C57+C62</f>
        <v>0</v>
      </c>
    </row>
    <row r="68" spans="1:3" s="408" customFormat="1" ht="12" customHeight="1" thickBot="1">
      <c r="A68" s="456" t="s">
        <v>308</v>
      </c>
      <c r="B68" s="285" t="s">
        <v>309</v>
      </c>
      <c r="C68" s="290">
        <f>SUM(C69:C71)</f>
        <v>0</v>
      </c>
    </row>
    <row r="69" spans="1:3" s="408" customFormat="1" ht="12" customHeight="1">
      <c r="A69" s="15" t="s">
        <v>337</v>
      </c>
      <c r="B69" s="409" t="s">
        <v>310</v>
      </c>
      <c r="C69" s="295"/>
    </row>
    <row r="70" spans="1:3" s="408" customFormat="1" ht="12" customHeight="1">
      <c r="A70" s="14" t="s">
        <v>346</v>
      </c>
      <c r="B70" s="410" t="s">
        <v>311</v>
      </c>
      <c r="C70" s="295"/>
    </row>
    <row r="71" spans="1:3" s="408" customFormat="1" ht="12" customHeight="1" thickBot="1">
      <c r="A71" s="16" t="s">
        <v>347</v>
      </c>
      <c r="B71" s="471" t="s">
        <v>570</v>
      </c>
      <c r="C71" s="295"/>
    </row>
    <row r="72" spans="1:3" s="408" customFormat="1" ht="12" customHeight="1" thickBot="1">
      <c r="A72" s="456" t="s">
        <v>313</v>
      </c>
      <c r="B72" s="285" t="s">
        <v>314</v>
      </c>
      <c r="C72" s="290">
        <f>SUM(C73:C76)</f>
        <v>0</v>
      </c>
    </row>
    <row r="73" spans="1:3" s="408" customFormat="1" ht="12" customHeight="1">
      <c r="A73" s="15" t="s">
        <v>149</v>
      </c>
      <c r="B73" s="409" t="s">
        <v>315</v>
      </c>
      <c r="C73" s="295"/>
    </row>
    <row r="74" spans="1:3" s="408" customFormat="1" ht="12" customHeight="1">
      <c r="A74" s="14" t="s">
        <v>150</v>
      </c>
      <c r="B74" s="410" t="s">
        <v>571</v>
      </c>
      <c r="C74" s="295"/>
    </row>
    <row r="75" spans="1:3" s="408" customFormat="1" ht="12" customHeight="1" thickBot="1">
      <c r="A75" s="16" t="s">
        <v>338</v>
      </c>
      <c r="B75" s="411" t="s">
        <v>316</v>
      </c>
      <c r="C75" s="396"/>
    </row>
    <row r="76" spans="1:3" s="408" customFormat="1" ht="12" customHeight="1" thickBot="1">
      <c r="A76" s="563" t="s">
        <v>339</v>
      </c>
      <c r="B76" s="564" t="s">
        <v>572</v>
      </c>
      <c r="C76" s="565"/>
    </row>
    <row r="77" spans="1:3" s="408" customFormat="1" ht="12" customHeight="1" thickBot="1">
      <c r="A77" s="456" t="s">
        <v>317</v>
      </c>
      <c r="B77" s="285" t="s">
        <v>318</v>
      </c>
      <c r="C77" s="290">
        <f>SUM(C78:C79)</f>
        <v>0</v>
      </c>
    </row>
    <row r="78" spans="1:3" s="408" customFormat="1" ht="12" customHeight="1" thickBot="1">
      <c r="A78" s="13" t="s">
        <v>340</v>
      </c>
      <c r="B78" s="562" t="s">
        <v>319</v>
      </c>
      <c r="C78" s="396"/>
    </row>
    <row r="79" spans="1:3" s="408" customFormat="1" ht="12" customHeight="1" thickBot="1">
      <c r="A79" s="563" t="s">
        <v>341</v>
      </c>
      <c r="B79" s="564" t="s">
        <v>320</v>
      </c>
      <c r="C79" s="565"/>
    </row>
    <row r="80" spans="1:3" s="408" customFormat="1" ht="12" customHeight="1" thickBot="1">
      <c r="A80" s="456" t="s">
        <v>321</v>
      </c>
      <c r="B80" s="285" t="s">
        <v>322</v>
      </c>
      <c r="C80" s="290">
        <f>SUM(C81:C83)</f>
        <v>0</v>
      </c>
    </row>
    <row r="81" spans="1:3" s="408" customFormat="1" ht="12" customHeight="1">
      <c r="A81" s="15" t="s">
        <v>342</v>
      </c>
      <c r="B81" s="409" t="s">
        <v>323</v>
      </c>
      <c r="C81" s="295"/>
    </row>
    <row r="82" spans="1:3" s="408" customFormat="1" ht="12" customHeight="1">
      <c r="A82" s="14" t="s">
        <v>343</v>
      </c>
      <c r="B82" s="410" t="s">
        <v>324</v>
      </c>
      <c r="C82" s="295"/>
    </row>
    <row r="83" spans="1:3" s="408" customFormat="1" ht="12" customHeight="1" thickBot="1">
      <c r="A83" s="18" t="s">
        <v>344</v>
      </c>
      <c r="B83" s="566" t="s">
        <v>573</v>
      </c>
      <c r="C83" s="567"/>
    </row>
    <row r="84" spans="1:3" s="408" customFormat="1" ht="12" customHeight="1" thickBot="1">
      <c r="A84" s="456" t="s">
        <v>325</v>
      </c>
      <c r="B84" s="285" t="s">
        <v>345</v>
      </c>
      <c r="C84" s="290">
        <f>SUM(C85:C88)</f>
        <v>0</v>
      </c>
    </row>
    <row r="85" spans="1:3" s="408" customFormat="1" ht="12" customHeight="1">
      <c r="A85" s="413" t="s">
        <v>326</v>
      </c>
      <c r="B85" s="409" t="s">
        <v>327</v>
      </c>
      <c r="C85" s="295"/>
    </row>
    <row r="86" spans="1:3" s="408" customFormat="1" ht="12" customHeight="1">
      <c r="A86" s="414" t="s">
        <v>328</v>
      </c>
      <c r="B86" s="410" t="s">
        <v>329</v>
      </c>
      <c r="C86" s="295"/>
    </row>
    <row r="87" spans="1:3" s="408" customFormat="1" ht="12" customHeight="1">
      <c r="A87" s="414" t="s">
        <v>330</v>
      </c>
      <c r="B87" s="410" t="s">
        <v>331</v>
      </c>
      <c r="C87" s="295"/>
    </row>
    <row r="88" spans="1:3" s="408" customFormat="1" ht="12" customHeight="1" thickBot="1">
      <c r="A88" s="415" t="s">
        <v>332</v>
      </c>
      <c r="B88" s="287" t="s">
        <v>333</v>
      </c>
      <c r="C88" s="295"/>
    </row>
    <row r="89" spans="1:3" s="408" customFormat="1" ht="12" customHeight="1" thickBot="1">
      <c r="A89" s="456" t="s">
        <v>334</v>
      </c>
      <c r="B89" s="285" t="s">
        <v>475</v>
      </c>
      <c r="C89" s="454"/>
    </row>
    <row r="90" spans="1:3" s="408" customFormat="1" ht="13.5" customHeight="1" thickBot="1">
      <c r="A90" s="456" t="s">
        <v>336</v>
      </c>
      <c r="B90" s="285" t="s">
        <v>335</v>
      </c>
      <c r="C90" s="454"/>
    </row>
    <row r="91" spans="1:3" s="408" customFormat="1" ht="15.75" customHeight="1" thickBot="1">
      <c r="A91" s="456" t="s">
        <v>348</v>
      </c>
      <c r="B91" s="416" t="s">
        <v>478</v>
      </c>
      <c r="C91" s="296">
        <f>+C68+C72+C77+C80+C84+C90+C89</f>
        <v>0</v>
      </c>
    </row>
    <row r="92" spans="1:3" s="408" customFormat="1" ht="16.5" customHeight="1" thickBot="1">
      <c r="A92" s="457" t="s">
        <v>477</v>
      </c>
      <c r="B92" s="417" t="s">
        <v>479</v>
      </c>
      <c r="C92" s="296">
        <f>+C67+C91</f>
        <v>0</v>
      </c>
    </row>
    <row r="93" spans="1:3" s="408" customFormat="1" ht="11.1" customHeight="1">
      <c r="A93" s="5"/>
      <c r="B93" s="6"/>
      <c r="C93" s="297"/>
    </row>
    <row r="94" spans="1:3" ht="16.5" customHeight="1">
      <c r="A94" s="824" t="s">
        <v>47</v>
      </c>
      <c r="B94" s="824"/>
      <c r="C94" s="824"/>
    </row>
    <row r="95" spans="1:3" s="418" customFormat="1" ht="16.5" customHeight="1" thickBot="1">
      <c r="A95" s="821" t="s">
        <v>153</v>
      </c>
      <c r="B95" s="821"/>
      <c r="C95" s="575" t="str">
        <f ca="1">C7</f>
        <v/>
      </c>
    </row>
    <row r="96" spans="1:3" ht="38.1" customHeight="1" thickBot="1">
      <c r="A96" s="555" t="s">
        <v>69</v>
      </c>
      <c r="B96" s="556" t="s">
        <v>48</v>
      </c>
      <c r="C96" s="557" t="str">
        <f ca="1">+C8</f>
        <v>2019. évi előirányzat</v>
      </c>
    </row>
    <row r="97" spans="1:3" s="407" customFormat="1" ht="12" customHeight="1" thickBot="1">
      <c r="A97" s="555"/>
      <c r="B97" s="556" t="s">
        <v>493</v>
      </c>
      <c r="C97" s="557" t="s">
        <v>494</v>
      </c>
    </row>
    <row r="98" spans="1:3" ht="12" customHeight="1" thickBot="1">
      <c r="A98" s="22" t="s">
        <v>18</v>
      </c>
      <c r="B98" s="28" t="s">
        <v>437</v>
      </c>
      <c r="C98" s="289">
        <f>C99+C100+C101+C102+C103+C116</f>
        <v>0</v>
      </c>
    </row>
    <row r="99" spans="1:3" ht="12" customHeight="1">
      <c r="A99" s="17" t="s">
        <v>98</v>
      </c>
      <c r="B99" s="10" t="s">
        <v>49</v>
      </c>
      <c r="C99" s="291"/>
    </row>
    <row r="100" spans="1:3" ht="12" customHeight="1">
      <c r="A100" s="14" t="s">
        <v>99</v>
      </c>
      <c r="B100" s="8" t="s">
        <v>183</v>
      </c>
      <c r="C100" s="292"/>
    </row>
    <row r="101" spans="1:3" ht="12" customHeight="1">
      <c r="A101" s="14" t="s">
        <v>100</v>
      </c>
      <c r="B101" s="8" t="s">
        <v>140</v>
      </c>
      <c r="C101" s="294"/>
    </row>
    <row r="102" spans="1:3" ht="12" customHeight="1">
      <c r="A102" s="14" t="s">
        <v>101</v>
      </c>
      <c r="B102" s="11" t="s">
        <v>184</v>
      </c>
      <c r="C102" s="294"/>
    </row>
    <row r="103" spans="1:3" ht="12" customHeight="1">
      <c r="A103" s="14" t="s">
        <v>112</v>
      </c>
      <c r="B103" s="19" t="s">
        <v>185</v>
      </c>
      <c r="C103" s="294"/>
    </row>
    <row r="104" spans="1:3" ht="12" customHeight="1">
      <c r="A104" s="14" t="s">
        <v>102</v>
      </c>
      <c r="B104" s="8" t="s">
        <v>442</v>
      </c>
      <c r="C104" s="294"/>
    </row>
    <row r="105" spans="1:3" ht="12" customHeight="1">
      <c r="A105" s="14" t="s">
        <v>103</v>
      </c>
      <c r="B105" s="138" t="s">
        <v>441</v>
      </c>
      <c r="C105" s="294"/>
    </row>
    <row r="106" spans="1:3" ht="12" customHeight="1">
      <c r="A106" s="14" t="s">
        <v>113</v>
      </c>
      <c r="B106" s="138" t="s">
        <v>440</v>
      </c>
      <c r="C106" s="294"/>
    </row>
    <row r="107" spans="1:3" ht="12" customHeight="1">
      <c r="A107" s="14" t="s">
        <v>114</v>
      </c>
      <c r="B107" s="136" t="s">
        <v>351</v>
      </c>
      <c r="C107" s="294"/>
    </row>
    <row r="108" spans="1:3" ht="12" customHeight="1">
      <c r="A108" s="14" t="s">
        <v>115</v>
      </c>
      <c r="B108" s="137" t="s">
        <v>352</v>
      </c>
      <c r="C108" s="294"/>
    </row>
    <row r="109" spans="1:3" ht="12" customHeight="1">
      <c r="A109" s="14" t="s">
        <v>116</v>
      </c>
      <c r="B109" s="137" t="s">
        <v>353</v>
      </c>
      <c r="C109" s="294"/>
    </row>
    <row r="110" spans="1:3" ht="12" customHeight="1">
      <c r="A110" s="14" t="s">
        <v>118</v>
      </c>
      <c r="B110" s="136" t="s">
        <v>354</v>
      </c>
      <c r="C110" s="294"/>
    </row>
    <row r="111" spans="1:3" ht="12" customHeight="1">
      <c r="A111" s="14" t="s">
        <v>186</v>
      </c>
      <c r="B111" s="136" t="s">
        <v>355</v>
      </c>
      <c r="C111" s="294"/>
    </row>
    <row r="112" spans="1:3" ht="12" customHeight="1">
      <c r="A112" s="14" t="s">
        <v>349</v>
      </c>
      <c r="B112" s="137" t="s">
        <v>356</v>
      </c>
      <c r="C112" s="294"/>
    </row>
    <row r="113" spans="1:3" ht="12" customHeight="1">
      <c r="A113" s="13" t="s">
        <v>350</v>
      </c>
      <c r="B113" s="138" t="s">
        <v>357</v>
      </c>
      <c r="C113" s="294"/>
    </row>
    <row r="114" spans="1:3" ht="12" customHeight="1">
      <c r="A114" s="14" t="s">
        <v>438</v>
      </c>
      <c r="B114" s="138" t="s">
        <v>358</v>
      </c>
      <c r="C114" s="294"/>
    </row>
    <row r="115" spans="1:3" ht="12" customHeight="1">
      <c r="A115" s="16" t="s">
        <v>439</v>
      </c>
      <c r="B115" s="138" t="s">
        <v>359</v>
      </c>
      <c r="C115" s="294"/>
    </row>
    <row r="116" spans="1:3" ht="12" customHeight="1">
      <c r="A116" s="14" t="s">
        <v>443</v>
      </c>
      <c r="B116" s="11" t="s">
        <v>50</v>
      </c>
      <c r="C116" s="292"/>
    </row>
    <row r="117" spans="1:3" ht="12" customHeight="1">
      <c r="A117" s="14" t="s">
        <v>444</v>
      </c>
      <c r="B117" s="8" t="s">
        <v>446</v>
      </c>
      <c r="C117" s="292"/>
    </row>
    <row r="118" spans="1:3" ht="12" customHeight="1" thickBot="1">
      <c r="A118" s="18" t="s">
        <v>445</v>
      </c>
      <c r="B118" s="475" t="s">
        <v>447</v>
      </c>
      <c r="C118" s="298"/>
    </row>
    <row r="119" spans="1:3" ht="12" customHeight="1" thickBot="1">
      <c r="A119" s="472" t="s">
        <v>19</v>
      </c>
      <c r="B119" s="473" t="s">
        <v>360</v>
      </c>
      <c r="C119" s="474">
        <f>+C120+C122+C124</f>
        <v>0</v>
      </c>
    </row>
    <row r="120" spans="1:3" ht="12" customHeight="1">
      <c r="A120" s="15" t="s">
        <v>104</v>
      </c>
      <c r="B120" s="8" t="s">
        <v>230</v>
      </c>
      <c r="C120" s="293"/>
    </row>
    <row r="121" spans="1:3" ht="12" customHeight="1">
      <c r="A121" s="15" t="s">
        <v>105</v>
      </c>
      <c r="B121" s="12" t="s">
        <v>364</v>
      </c>
      <c r="C121" s="293"/>
    </row>
    <row r="122" spans="1:3" ht="12" customHeight="1">
      <c r="A122" s="15" t="s">
        <v>106</v>
      </c>
      <c r="B122" s="12" t="s">
        <v>187</v>
      </c>
      <c r="C122" s="292"/>
    </row>
    <row r="123" spans="1:3" ht="12" customHeight="1">
      <c r="A123" s="15" t="s">
        <v>107</v>
      </c>
      <c r="B123" s="12" t="s">
        <v>365</v>
      </c>
      <c r="C123" s="257"/>
    </row>
    <row r="124" spans="1:3" ht="12" customHeight="1">
      <c r="A124" s="15" t="s">
        <v>108</v>
      </c>
      <c r="B124" s="287" t="s">
        <v>575</v>
      </c>
      <c r="C124" s="257"/>
    </row>
    <row r="125" spans="1:3" ht="12" customHeight="1">
      <c r="A125" s="15" t="s">
        <v>117</v>
      </c>
      <c r="B125" s="286" t="s">
        <v>428</v>
      </c>
      <c r="C125" s="257"/>
    </row>
    <row r="126" spans="1:3" ht="12" customHeight="1">
      <c r="A126" s="15" t="s">
        <v>119</v>
      </c>
      <c r="B126" s="405" t="s">
        <v>370</v>
      </c>
      <c r="C126" s="257"/>
    </row>
    <row r="127" spans="1:3">
      <c r="A127" s="15" t="s">
        <v>188</v>
      </c>
      <c r="B127" s="137" t="s">
        <v>353</v>
      </c>
      <c r="C127" s="257"/>
    </row>
    <row r="128" spans="1:3" ht="12" customHeight="1">
      <c r="A128" s="15" t="s">
        <v>189</v>
      </c>
      <c r="B128" s="137" t="s">
        <v>369</v>
      </c>
      <c r="C128" s="257"/>
    </row>
    <row r="129" spans="1:3" ht="12" customHeight="1">
      <c r="A129" s="15" t="s">
        <v>190</v>
      </c>
      <c r="B129" s="137" t="s">
        <v>368</v>
      </c>
      <c r="C129" s="257"/>
    </row>
    <row r="130" spans="1:3" ht="12" customHeight="1">
      <c r="A130" s="15" t="s">
        <v>361</v>
      </c>
      <c r="B130" s="137" t="s">
        <v>356</v>
      </c>
      <c r="C130" s="257"/>
    </row>
    <row r="131" spans="1:3" ht="12" customHeight="1">
      <c r="A131" s="15" t="s">
        <v>362</v>
      </c>
      <c r="B131" s="137" t="s">
        <v>367</v>
      </c>
      <c r="C131" s="257"/>
    </row>
    <row r="132" spans="1:3" ht="16.5" thickBot="1">
      <c r="A132" s="13" t="s">
        <v>363</v>
      </c>
      <c r="B132" s="137" t="s">
        <v>366</v>
      </c>
      <c r="C132" s="259"/>
    </row>
    <row r="133" spans="1:3" ht="12" customHeight="1" thickBot="1">
      <c r="A133" s="20" t="s">
        <v>20</v>
      </c>
      <c r="B133" s="118" t="s">
        <v>448</v>
      </c>
      <c r="C133" s="290">
        <f>+C98+C119</f>
        <v>0</v>
      </c>
    </row>
    <row r="134" spans="1:3" ht="12" customHeight="1" thickBot="1">
      <c r="A134" s="20" t="s">
        <v>21</v>
      </c>
      <c r="B134" s="118" t="s">
        <v>449</v>
      </c>
      <c r="C134" s="290">
        <f>+C135+C136+C137</f>
        <v>0</v>
      </c>
    </row>
    <row r="135" spans="1:3" ht="12" customHeight="1">
      <c r="A135" s="15" t="s">
        <v>268</v>
      </c>
      <c r="B135" s="12" t="s">
        <v>456</v>
      </c>
      <c r="C135" s="257"/>
    </row>
    <row r="136" spans="1:3" ht="12" customHeight="1">
      <c r="A136" s="15" t="s">
        <v>269</v>
      </c>
      <c r="B136" s="12" t="s">
        <v>457</v>
      </c>
      <c r="C136" s="257"/>
    </row>
    <row r="137" spans="1:3" ht="12" customHeight="1" thickBot="1">
      <c r="A137" s="13" t="s">
        <v>270</v>
      </c>
      <c r="B137" s="12" t="s">
        <v>458</v>
      </c>
      <c r="C137" s="257"/>
    </row>
    <row r="138" spans="1:3" ht="12" customHeight="1" thickBot="1">
      <c r="A138" s="20" t="s">
        <v>22</v>
      </c>
      <c r="B138" s="118" t="s">
        <v>450</v>
      </c>
      <c r="C138" s="290">
        <f>SUM(C139:C144)</f>
        <v>0</v>
      </c>
    </row>
    <row r="139" spans="1:3" ht="12" customHeight="1">
      <c r="A139" s="15" t="s">
        <v>91</v>
      </c>
      <c r="B139" s="9" t="s">
        <v>459</v>
      </c>
      <c r="C139" s="257"/>
    </row>
    <row r="140" spans="1:3" ht="12" customHeight="1">
      <c r="A140" s="15" t="s">
        <v>92</v>
      </c>
      <c r="B140" s="9" t="s">
        <v>451</v>
      </c>
      <c r="C140" s="257"/>
    </row>
    <row r="141" spans="1:3" ht="12" customHeight="1">
      <c r="A141" s="15" t="s">
        <v>93</v>
      </c>
      <c r="B141" s="9" t="s">
        <v>452</v>
      </c>
      <c r="C141" s="257"/>
    </row>
    <row r="142" spans="1:3" ht="12" customHeight="1">
      <c r="A142" s="15" t="s">
        <v>175</v>
      </c>
      <c r="B142" s="9" t="s">
        <v>453</v>
      </c>
      <c r="C142" s="257"/>
    </row>
    <row r="143" spans="1:3" ht="12" customHeight="1" thickBot="1">
      <c r="A143" s="13" t="s">
        <v>176</v>
      </c>
      <c r="B143" s="7" t="s">
        <v>454</v>
      </c>
      <c r="C143" s="259"/>
    </row>
    <row r="144" spans="1:3" ht="12" customHeight="1" thickBot="1">
      <c r="A144" s="563" t="s">
        <v>177</v>
      </c>
      <c r="B144" s="568" t="s">
        <v>455</v>
      </c>
      <c r="C144" s="569"/>
    </row>
    <row r="145" spans="1:9" ht="12" customHeight="1" thickBot="1">
      <c r="A145" s="20" t="s">
        <v>23</v>
      </c>
      <c r="B145" s="118" t="s">
        <v>463</v>
      </c>
      <c r="C145" s="296">
        <f>+C146+C147+C148+C149</f>
        <v>0</v>
      </c>
    </row>
    <row r="146" spans="1:9" ht="12" customHeight="1">
      <c r="A146" s="15" t="s">
        <v>94</v>
      </c>
      <c r="B146" s="9" t="s">
        <v>371</v>
      </c>
      <c r="C146" s="257"/>
    </row>
    <row r="147" spans="1:9" ht="12" customHeight="1">
      <c r="A147" s="15" t="s">
        <v>95</v>
      </c>
      <c r="B147" s="9" t="s">
        <v>372</v>
      </c>
      <c r="C147" s="257"/>
    </row>
    <row r="148" spans="1:9" ht="12" customHeight="1" thickBot="1">
      <c r="A148" s="13" t="s">
        <v>288</v>
      </c>
      <c r="B148" s="7" t="s">
        <v>464</v>
      </c>
      <c r="C148" s="259"/>
    </row>
    <row r="149" spans="1:9" ht="12" customHeight="1" thickBot="1">
      <c r="A149" s="563" t="s">
        <v>289</v>
      </c>
      <c r="B149" s="568" t="s">
        <v>390</v>
      </c>
      <c r="C149" s="569"/>
    </row>
    <row r="150" spans="1:9" ht="12" customHeight="1" thickBot="1">
      <c r="A150" s="20" t="s">
        <v>24</v>
      </c>
      <c r="B150" s="118" t="s">
        <v>465</v>
      </c>
      <c r="C150" s="299">
        <f>SUM(C151:C155)</f>
        <v>0</v>
      </c>
    </row>
    <row r="151" spans="1:9" ht="12" customHeight="1">
      <c r="A151" s="15" t="s">
        <v>96</v>
      </c>
      <c r="B151" s="9" t="s">
        <v>460</v>
      </c>
      <c r="C151" s="257"/>
    </row>
    <row r="152" spans="1:9" ht="12" customHeight="1">
      <c r="A152" s="15" t="s">
        <v>97</v>
      </c>
      <c r="B152" s="9" t="s">
        <v>467</v>
      </c>
      <c r="C152" s="257"/>
    </row>
    <row r="153" spans="1:9" ht="12" customHeight="1">
      <c r="A153" s="15" t="s">
        <v>300</v>
      </c>
      <c r="B153" s="9" t="s">
        <v>462</v>
      </c>
      <c r="C153" s="257"/>
    </row>
    <row r="154" spans="1:9" ht="12" customHeight="1">
      <c r="A154" s="15" t="s">
        <v>301</v>
      </c>
      <c r="B154" s="9" t="s">
        <v>518</v>
      </c>
      <c r="C154" s="257"/>
    </row>
    <row r="155" spans="1:9" ht="12" customHeight="1" thickBot="1">
      <c r="A155" s="15" t="s">
        <v>466</v>
      </c>
      <c r="B155" s="9" t="s">
        <v>469</v>
      </c>
      <c r="C155" s="257"/>
    </row>
    <row r="156" spans="1:9" ht="12" customHeight="1" thickBot="1">
      <c r="A156" s="20" t="s">
        <v>25</v>
      </c>
      <c r="B156" s="118" t="s">
        <v>470</v>
      </c>
      <c r="C156" s="476"/>
    </row>
    <row r="157" spans="1:9" ht="12" customHeight="1" thickBot="1">
      <c r="A157" s="20" t="s">
        <v>26</v>
      </c>
      <c r="B157" s="118" t="s">
        <v>471</v>
      </c>
      <c r="C157" s="476"/>
    </row>
    <row r="158" spans="1:9" ht="15.2" customHeight="1" thickBot="1">
      <c r="A158" s="20" t="s">
        <v>27</v>
      </c>
      <c r="B158" s="118" t="s">
        <v>473</v>
      </c>
      <c r="C158" s="570">
        <f>+C134+C138+C145+C150+C156+C157</f>
        <v>0</v>
      </c>
      <c r="F158" s="420"/>
      <c r="G158" s="421"/>
      <c r="H158" s="421"/>
      <c r="I158" s="421"/>
    </row>
    <row r="159" spans="1:9" s="408" customFormat="1" ht="17.25" customHeight="1" thickBot="1">
      <c r="A159" s="288" t="s">
        <v>28</v>
      </c>
      <c r="B159" s="571" t="s">
        <v>472</v>
      </c>
      <c r="C159" s="570">
        <f>+C133+C158</f>
        <v>0</v>
      </c>
    </row>
    <row r="160" spans="1:9" ht="15.95" customHeight="1">
      <c r="A160" s="572"/>
      <c r="B160" s="572"/>
      <c r="C160" s="634">
        <f>C92-C159</f>
        <v>0</v>
      </c>
    </row>
    <row r="161" spans="1:4">
      <c r="A161" s="822" t="s">
        <v>373</v>
      </c>
      <c r="B161" s="822"/>
      <c r="C161" s="822"/>
    </row>
    <row r="162" spans="1:4" ht="15.2" customHeight="1" thickBot="1">
      <c r="A162" s="823" t="s">
        <v>154</v>
      </c>
      <c r="B162" s="823"/>
      <c r="C162" s="576" t="str">
        <f ca="1">C95</f>
        <v/>
      </c>
    </row>
    <row r="163" spans="1:4" ht="13.5" customHeight="1" thickBot="1">
      <c r="A163" s="20">
        <v>1</v>
      </c>
      <c r="B163" s="27" t="s">
        <v>474</v>
      </c>
      <c r="C163" s="290">
        <f>+C67-C133</f>
        <v>0</v>
      </c>
      <c r="D163" s="422"/>
    </row>
    <row r="164" spans="1:4" ht="27.75" customHeight="1" thickBot="1">
      <c r="A164" s="20" t="s">
        <v>19</v>
      </c>
      <c r="B164" s="27" t="s">
        <v>480</v>
      </c>
      <c r="C164" s="290">
        <f>+C91-C158</f>
        <v>0</v>
      </c>
    </row>
  </sheetData>
  <sheetProtection sheet="1"/>
  <mergeCells count="7">
    <mergeCell ref="A162:B162"/>
    <mergeCell ref="B1:C1"/>
    <mergeCell ref="A6:C6"/>
    <mergeCell ref="A7:B7"/>
    <mergeCell ref="A94:C94"/>
    <mergeCell ref="A95:B95"/>
    <mergeCell ref="A161:C161"/>
  </mergeCells>
  <printOptions horizontalCentered="1"/>
  <pageMargins left="0.6692913385826772" right="0.6692913385826772" top="0.86614173228346458" bottom="0.86614173228346458" header="0" footer="0"/>
  <pageSetup paperSize="9" scale="74" fitToHeight="2" orientation="portrait" r:id="rId1"/>
  <headerFooter alignWithMargins="0"/>
  <rowBreaks count="2" manualBreakCount="2">
    <brk id="67" max="2" man="1"/>
    <brk id="144" max="2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92D050"/>
  </sheetPr>
  <dimension ref="A1:I164"/>
  <sheetViews>
    <sheetView zoomScale="120" zoomScaleNormal="120" zoomScaleSheetLayoutView="100" workbookViewId="0">
      <selection activeCell="E8" sqref="E8"/>
    </sheetView>
  </sheetViews>
  <sheetFormatPr defaultRowHeight="15.75"/>
  <cols>
    <col min="1" max="1" width="9.5" style="374" customWidth="1"/>
    <col min="2" max="2" width="99.33203125" style="374" customWidth="1"/>
    <col min="3" max="3" width="21.6640625" style="375" customWidth="1"/>
    <col min="4" max="4" width="9" style="406" customWidth="1"/>
    <col min="5" max="16384" width="9.33203125" style="406"/>
  </cols>
  <sheetData>
    <row r="1" spans="1:3" ht="18.75" customHeight="1">
      <c r="A1" s="625"/>
      <c r="B1" s="817" t="str">
        <f ca="1">CONCATENATE("1.4. melléklet ",ALAPADATOK!A7," ",ALAPADATOK!B7," ",ALAPADATOK!C7," ",ALAPADATOK!D7," ",ALAPADATOK!E7," ",ALAPADATOK!F7," ",ALAPADATOK!G7," ",ALAPADATOK!H7)</f>
        <v>1.4. melléklet a … / 2019 ( … ) önkormányzati rendelethez</v>
      </c>
      <c r="C1" s="818"/>
    </row>
    <row r="2" spans="1:3" ht="21.95" customHeight="1">
      <c r="A2" s="626"/>
      <c r="B2" s="627" t="str">
        <f ca="1">CONCATENATE(ALAPADATOK!A3)</f>
        <v>DABAS ÖNKORMÁNYZATA</v>
      </c>
      <c r="C2" s="628"/>
    </row>
    <row r="3" spans="1:3" ht="21.95" customHeight="1">
      <c r="A3" s="628"/>
      <c r="B3" s="627" t="s">
        <v>580</v>
      </c>
      <c r="C3" s="628"/>
    </row>
    <row r="4" spans="1:3" ht="21.95" customHeight="1">
      <c r="A4" s="628"/>
      <c r="B4" s="627" t="s">
        <v>584</v>
      </c>
      <c r="C4" s="628"/>
    </row>
    <row r="5" spans="1:3" ht="21.95" customHeight="1">
      <c r="A5" s="625"/>
      <c r="B5" s="625"/>
      <c r="C5" s="629"/>
    </row>
    <row r="6" spans="1:3" ht="15.2" customHeight="1">
      <c r="A6" s="819" t="s">
        <v>15</v>
      </c>
      <c r="B6" s="819"/>
      <c r="C6" s="819"/>
    </row>
    <row r="7" spans="1:3" ht="15.2" customHeight="1" thickBot="1">
      <c r="A7" s="820" t="s">
        <v>152</v>
      </c>
      <c r="B7" s="820"/>
      <c r="C7" s="574" t="str">
        <f ca="1">CONCATENATE(KV_1.1.sz.mell.!C7)</f>
        <v/>
      </c>
    </row>
    <row r="8" spans="1:3" ht="24" customHeight="1" thickBot="1">
      <c r="A8" s="630" t="s">
        <v>69</v>
      </c>
      <c r="B8" s="631" t="s">
        <v>17</v>
      </c>
      <c r="C8" s="632" t="str">
        <f ca="1">+CONCATENATE(LEFT(KV_ÖSSZEFÜGGÉSEK!A5,4),". évi előirányzat")</f>
        <v>2019. évi előirányzat</v>
      </c>
    </row>
    <row r="9" spans="1:3" s="407" customFormat="1" ht="12" customHeight="1" thickBot="1">
      <c r="A9" s="558"/>
      <c r="B9" s="559" t="s">
        <v>493</v>
      </c>
      <c r="C9" s="560" t="s">
        <v>494</v>
      </c>
    </row>
    <row r="10" spans="1:3" s="408" customFormat="1" ht="12" customHeight="1" thickBot="1">
      <c r="A10" s="20" t="s">
        <v>18</v>
      </c>
      <c r="B10" s="21" t="s">
        <v>252</v>
      </c>
      <c r="C10" s="290">
        <f>+C11+C12+C13+C14+C15+C16</f>
        <v>0</v>
      </c>
    </row>
    <row r="11" spans="1:3" s="408" customFormat="1" ht="12" customHeight="1">
      <c r="A11" s="15" t="s">
        <v>98</v>
      </c>
      <c r="B11" s="409" t="s">
        <v>253</v>
      </c>
      <c r="C11" s="293"/>
    </row>
    <row r="12" spans="1:3" s="408" customFormat="1" ht="12" customHeight="1">
      <c r="A12" s="14" t="s">
        <v>99</v>
      </c>
      <c r="B12" s="410" t="s">
        <v>254</v>
      </c>
      <c r="C12" s="292"/>
    </row>
    <row r="13" spans="1:3" s="408" customFormat="1" ht="12" customHeight="1">
      <c r="A13" s="14" t="s">
        <v>100</v>
      </c>
      <c r="B13" s="410" t="s">
        <v>550</v>
      </c>
      <c r="C13" s="292"/>
    </row>
    <row r="14" spans="1:3" s="408" customFormat="1" ht="12" customHeight="1">
      <c r="A14" s="14" t="s">
        <v>101</v>
      </c>
      <c r="B14" s="410" t="s">
        <v>256</v>
      </c>
      <c r="C14" s="292"/>
    </row>
    <row r="15" spans="1:3" s="408" customFormat="1" ht="12" customHeight="1">
      <c r="A15" s="14" t="s">
        <v>148</v>
      </c>
      <c r="B15" s="286" t="s">
        <v>432</v>
      </c>
      <c r="C15" s="292"/>
    </row>
    <row r="16" spans="1:3" s="408" customFormat="1" ht="12" customHeight="1" thickBot="1">
      <c r="A16" s="16" t="s">
        <v>102</v>
      </c>
      <c r="B16" s="287" t="s">
        <v>433</v>
      </c>
      <c r="C16" s="292"/>
    </row>
    <row r="17" spans="1:3" s="408" customFormat="1" ht="12" customHeight="1" thickBot="1">
      <c r="A17" s="20" t="s">
        <v>19</v>
      </c>
      <c r="B17" s="285" t="s">
        <v>257</v>
      </c>
      <c r="C17" s="290">
        <f>+C18+C19+C20+C21+C22</f>
        <v>0</v>
      </c>
    </row>
    <row r="18" spans="1:3" s="408" customFormat="1" ht="12" customHeight="1">
      <c r="A18" s="15" t="s">
        <v>104</v>
      </c>
      <c r="B18" s="409" t="s">
        <v>258</v>
      </c>
      <c r="C18" s="293"/>
    </row>
    <row r="19" spans="1:3" s="408" customFormat="1" ht="12" customHeight="1">
      <c r="A19" s="14" t="s">
        <v>105</v>
      </c>
      <c r="B19" s="410" t="s">
        <v>259</v>
      </c>
      <c r="C19" s="292"/>
    </row>
    <row r="20" spans="1:3" s="408" customFormat="1" ht="12" customHeight="1">
      <c r="A20" s="14" t="s">
        <v>106</v>
      </c>
      <c r="B20" s="410" t="s">
        <v>422</v>
      </c>
      <c r="C20" s="292"/>
    </row>
    <row r="21" spans="1:3" s="408" customFormat="1" ht="12" customHeight="1">
      <c r="A21" s="14" t="s">
        <v>107</v>
      </c>
      <c r="B21" s="410" t="s">
        <v>423</v>
      </c>
      <c r="C21" s="292"/>
    </row>
    <row r="22" spans="1:3" s="408" customFormat="1" ht="12" customHeight="1">
      <c r="A22" s="14" t="s">
        <v>108</v>
      </c>
      <c r="B22" s="410" t="s">
        <v>574</v>
      </c>
      <c r="C22" s="292"/>
    </row>
    <row r="23" spans="1:3" s="408" customFormat="1" ht="12" customHeight="1" thickBot="1">
      <c r="A23" s="16" t="s">
        <v>117</v>
      </c>
      <c r="B23" s="287" t="s">
        <v>261</v>
      </c>
      <c r="C23" s="294"/>
    </row>
    <row r="24" spans="1:3" s="408" customFormat="1" ht="12" customHeight="1" thickBot="1">
      <c r="A24" s="20" t="s">
        <v>20</v>
      </c>
      <c r="B24" s="21" t="s">
        <v>262</v>
      </c>
      <c r="C24" s="290">
        <f>+C25+C26+C27+C28+C29</f>
        <v>0</v>
      </c>
    </row>
    <row r="25" spans="1:3" s="408" customFormat="1" ht="12" customHeight="1">
      <c r="A25" s="15" t="s">
        <v>87</v>
      </c>
      <c r="B25" s="409" t="s">
        <v>263</v>
      </c>
      <c r="C25" s="293"/>
    </row>
    <row r="26" spans="1:3" s="408" customFormat="1" ht="12" customHeight="1">
      <c r="A26" s="14" t="s">
        <v>88</v>
      </c>
      <c r="B26" s="410" t="s">
        <v>264</v>
      </c>
      <c r="C26" s="292"/>
    </row>
    <row r="27" spans="1:3" s="408" customFormat="1" ht="12" customHeight="1">
      <c r="A27" s="14" t="s">
        <v>89</v>
      </c>
      <c r="B27" s="410" t="s">
        <v>424</v>
      </c>
      <c r="C27" s="292"/>
    </row>
    <row r="28" spans="1:3" s="408" customFormat="1" ht="12" customHeight="1">
      <c r="A28" s="14" t="s">
        <v>90</v>
      </c>
      <c r="B28" s="410" t="s">
        <v>425</v>
      </c>
      <c r="C28" s="292"/>
    </row>
    <row r="29" spans="1:3" s="408" customFormat="1" ht="12" customHeight="1">
      <c r="A29" s="14" t="s">
        <v>171</v>
      </c>
      <c r="B29" s="410" t="s">
        <v>265</v>
      </c>
      <c r="C29" s="292"/>
    </row>
    <row r="30" spans="1:3" s="550" customFormat="1" ht="12" customHeight="1" thickBot="1">
      <c r="A30" s="561" t="s">
        <v>172</v>
      </c>
      <c r="B30" s="548" t="s">
        <v>569</v>
      </c>
      <c r="C30" s="549"/>
    </row>
    <row r="31" spans="1:3" s="408" customFormat="1" ht="12" customHeight="1" thickBot="1">
      <c r="A31" s="20" t="s">
        <v>173</v>
      </c>
      <c r="B31" s="21" t="s">
        <v>551</v>
      </c>
      <c r="C31" s="296">
        <f>SUM(C32:C38)</f>
        <v>0</v>
      </c>
    </row>
    <row r="32" spans="1:3" s="408" customFormat="1" ht="12" customHeight="1">
      <c r="A32" s="15" t="s">
        <v>268</v>
      </c>
      <c r="B32" s="409" t="s">
        <v>555</v>
      </c>
      <c r="C32" s="293"/>
    </row>
    <row r="33" spans="1:3" s="408" customFormat="1" ht="12" customHeight="1">
      <c r="A33" s="14" t="s">
        <v>269</v>
      </c>
      <c r="B33" s="410" t="s">
        <v>556</v>
      </c>
      <c r="C33" s="292"/>
    </row>
    <row r="34" spans="1:3" s="408" customFormat="1" ht="12" customHeight="1">
      <c r="A34" s="14" t="s">
        <v>270</v>
      </c>
      <c r="B34" s="410" t="s">
        <v>557</v>
      </c>
      <c r="C34" s="292"/>
    </row>
    <row r="35" spans="1:3" s="408" customFormat="1" ht="12" customHeight="1">
      <c r="A35" s="14" t="s">
        <v>271</v>
      </c>
      <c r="B35" s="410" t="s">
        <v>558</v>
      </c>
      <c r="C35" s="292"/>
    </row>
    <row r="36" spans="1:3" s="408" customFormat="1" ht="12" customHeight="1">
      <c r="A36" s="14" t="s">
        <v>552</v>
      </c>
      <c r="B36" s="410" t="s">
        <v>272</v>
      </c>
      <c r="C36" s="292"/>
    </row>
    <row r="37" spans="1:3" s="408" customFormat="1" ht="12" customHeight="1">
      <c r="A37" s="14" t="s">
        <v>553</v>
      </c>
      <c r="B37" s="410" t="s">
        <v>273</v>
      </c>
      <c r="C37" s="292"/>
    </row>
    <row r="38" spans="1:3" s="408" customFormat="1" ht="12" customHeight="1" thickBot="1">
      <c r="A38" s="16" t="s">
        <v>554</v>
      </c>
      <c r="B38" s="504" t="s">
        <v>274</v>
      </c>
      <c r="C38" s="294"/>
    </row>
    <row r="39" spans="1:3" s="408" customFormat="1" ht="12" customHeight="1" thickBot="1">
      <c r="A39" s="20" t="s">
        <v>22</v>
      </c>
      <c r="B39" s="21" t="s">
        <v>434</v>
      </c>
      <c r="C39" s="290">
        <f>SUM(C40:C50)</f>
        <v>0</v>
      </c>
    </row>
    <row r="40" spans="1:3" s="408" customFormat="1" ht="12" customHeight="1">
      <c r="A40" s="15" t="s">
        <v>91</v>
      </c>
      <c r="B40" s="409" t="s">
        <v>277</v>
      </c>
      <c r="C40" s="293"/>
    </row>
    <row r="41" spans="1:3" s="408" customFormat="1" ht="12" customHeight="1">
      <c r="A41" s="14" t="s">
        <v>92</v>
      </c>
      <c r="B41" s="410" t="s">
        <v>278</v>
      </c>
      <c r="C41" s="292"/>
    </row>
    <row r="42" spans="1:3" s="408" customFormat="1" ht="12" customHeight="1">
      <c r="A42" s="14" t="s">
        <v>93</v>
      </c>
      <c r="B42" s="410" t="s">
        <v>279</v>
      </c>
      <c r="C42" s="292"/>
    </row>
    <row r="43" spans="1:3" s="408" customFormat="1" ht="12" customHeight="1">
      <c r="A43" s="14" t="s">
        <v>175</v>
      </c>
      <c r="B43" s="410" t="s">
        <v>280</v>
      </c>
      <c r="C43" s="292"/>
    </row>
    <row r="44" spans="1:3" s="408" customFormat="1" ht="12" customHeight="1">
      <c r="A44" s="14" t="s">
        <v>176</v>
      </c>
      <c r="B44" s="410" t="s">
        <v>281</v>
      </c>
      <c r="C44" s="292"/>
    </row>
    <row r="45" spans="1:3" s="408" customFormat="1" ht="12" customHeight="1">
      <c r="A45" s="14" t="s">
        <v>177</v>
      </c>
      <c r="B45" s="410" t="s">
        <v>282</v>
      </c>
      <c r="C45" s="292"/>
    </row>
    <row r="46" spans="1:3" s="408" customFormat="1" ht="12" customHeight="1">
      <c r="A46" s="14" t="s">
        <v>178</v>
      </c>
      <c r="B46" s="410" t="s">
        <v>283</v>
      </c>
      <c r="C46" s="292"/>
    </row>
    <row r="47" spans="1:3" s="408" customFormat="1" ht="12" customHeight="1">
      <c r="A47" s="14" t="s">
        <v>179</v>
      </c>
      <c r="B47" s="410" t="s">
        <v>559</v>
      </c>
      <c r="C47" s="292"/>
    </row>
    <row r="48" spans="1:3" s="408" customFormat="1" ht="12" customHeight="1">
      <c r="A48" s="14" t="s">
        <v>275</v>
      </c>
      <c r="B48" s="410" t="s">
        <v>285</v>
      </c>
      <c r="C48" s="295"/>
    </row>
    <row r="49" spans="1:3" s="408" customFormat="1" ht="12" customHeight="1">
      <c r="A49" s="16" t="s">
        <v>276</v>
      </c>
      <c r="B49" s="411" t="s">
        <v>436</v>
      </c>
      <c r="C49" s="396"/>
    </row>
    <row r="50" spans="1:3" s="408" customFormat="1" ht="12" customHeight="1" thickBot="1">
      <c r="A50" s="16" t="s">
        <v>435</v>
      </c>
      <c r="B50" s="287" t="s">
        <v>286</v>
      </c>
      <c r="C50" s="396"/>
    </row>
    <row r="51" spans="1:3" s="408" customFormat="1" ht="12" customHeight="1" thickBot="1">
      <c r="A51" s="20" t="s">
        <v>23</v>
      </c>
      <c r="B51" s="21" t="s">
        <v>287</v>
      </c>
      <c r="C51" s="290">
        <f>SUM(C52:C56)</f>
        <v>0</v>
      </c>
    </row>
    <row r="52" spans="1:3" s="408" customFormat="1" ht="12" customHeight="1">
      <c r="A52" s="15" t="s">
        <v>94</v>
      </c>
      <c r="B52" s="409" t="s">
        <v>291</v>
      </c>
      <c r="C52" s="453"/>
    </row>
    <row r="53" spans="1:3" s="408" customFormat="1" ht="12" customHeight="1">
      <c r="A53" s="14" t="s">
        <v>95</v>
      </c>
      <c r="B53" s="410" t="s">
        <v>292</v>
      </c>
      <c r="C53" s="295"/>
    </row>
    <row r="54" spans="1:3" s="408" customFormat="1" ht="12" customHeight="1">
      <c r="A54" s="14" t="s">
        <v>288</v>
      </c>
      <c r="B54" s="410" t="s">
        <v>293</v>
      </c>
      <c r="C54" s="295"/>
    </row>
    <row r="55" spans="1:3" s="408" customFormat="1" ht="12" customHeight="1">
      <c r="A55" s="14" t="s">
        <v>289</v>
      </c>
      <c r="B55" s="410" t="s">
        <v>294</v>
      </c>
      <c r="C55" s="295"/>
    </row>
    <row r="56" spans="1:3" s="408" customFormat="1" ht="12" customHeight="1" thickBot="1">
      <c r="A56" s="16" t="s">
        <v>290</v>
      </c>
      <c r="B56" s="287" t="s">
        <v>295</v>
      </c>
      <c r="C56" s="396"/>
    </row>
    <row r="57" spans="1:3" s="408" customFormat="1" ht="12" customHeight="1" thickBot="1">
      <c r="A57" s="20" t="s">
        <v>180</v>
      </c>
      <c r="B57" s="21" t="s">
        <v>296</v>
      </c>
      <c r="C57" s="290">
        <f>SUM(C58:C60)</f>
        <v>0</v>
      </c>
    </row>
    <row r="58" spans="1:3" s="408" customFormat="1" ht="12" customHeight="1">
      <c r="A58" s="15" t="s">
        <v>96</v>
      </c>
      <c r="B58" s="409" t="s">
        <v>297</v>
      </c>
      <c r="C58" s="293"/>
    </row>
    <row r="59" spans="1:3" s="408" customFormat="1" ht="12" customHeight="1">
      <c r="A59" s="14" t="s">
        <v>97</v>
      </c>
      <c r="B59" s="410" t="s">
        <v>426</v>
      </c>
      <c r="C59" s="292"/>
    </row>
    <row r="60" spans="1:3" s="408" customFormat="1" ht="12" customHeight="1">
      <c r="A60" s="14" t="s">
        <v>300</v>
      </c>
      <c r="B60" s="410" t="s">
        <v>298</v>
      </c>
      <c r="C60" s="292"/>
    </row>
    <row r="61" spans="1:3" s="408" customFormat="1" ht="12" customHeight="1" thickBot="1">
      <c r="A61" s="16" t="s">
        <v>301</v>
      </c>
      <c r="B61" s="287" t="s">
        <v>299</v>
      </c>
      <c r="C61" s="294"/>
    </row>
    <row r="62" spans="1:3" s="408" customFormat="1" ht="12" customHeight="1" thickBot="1">
      <c r="A62" s="20" t="s">
        <v>25</v>
      </c>
      <c r="B62" s="285" t="s">
        <v>302</v>
      </c>
      <c r="C62" s="290">
        <f>SUM(C63:C65)</f>
        <v>0</v>
      </c>
    </row>
    <row r="63" spans="1:3" s="408" customFormat="1" ht="12" customHeight="1">
      <c r="A63" s="15" t="s">
        <v>181</v>
      </c>
      <c r="B63" s="409" t="s">
        <v>304</v>
      </c>
      <c r="C63" s="295"/>
    </row>
    <row r="64" spans="1:3" s="408" customFormat="1" ht="12" customHeight="1">
      <c r="A64" s="14" t="s">
        <v>182</v>
      </c>
      <c r="B64" s="410" t="s">
        <v>427</v>
      </c>
      <c r="C64" s="295"/>
    </row>
    <row r="65" spans="1:3" s="408" customFormat="1" ht="12" customHeight="1">
      <c r="A65" s="14" t="s">
        <v>231</v>
      </c>
      <c r="B65" s="410" t="s">
        <v>305</v>
      </c>
      <c r="C65" s="295"/>
    </row>
    <row r="66" spans="1:3" s="408" customFormat="1" ht="12" customHeight="1" thickBot="1">
      <c r="A66" s="16" t="s">
        <v>303</v>
      </c>
      <c r="B66" s="287" t="s">
        <v>306</v>
      </c>
      <c r="C66" s="295"/>
    </row>
    <row r="67" spans="1:3" s="408" customFormat="1" ht="12" customHeight="1" thickBot="1">
      <c r="A67" s="477" t="s">
        <v>476</v>
      </c>
      <c r="B67" s="21" t="s">
        <v>307</v>
      </c>
      <c r="C67" s="296">
        <f>+C10+C17+C24+C31+C39+C51+C57+C62</f>
        <v>0</v>
      </c>
    </row>
    <row r="68" spans="1:3" s="408" customFormat="1" ht="12" customHeight="1" thickBot="1">
      <c r="A68" s="456" t="s">
        <v>308</v>
      </c>
      <c r="B68" s="285" t="s">
        <v>309</v>
      </c>
      <c r="C68" s="290">
        <f>SUM(C69:C71)</f>
        <v>0</v>
      </c>
    </row>
    <row r="69" spans="1:3" s="408" customFormat="1" ht="12" customHeight="1">
      <c r="A69" s="15" t="s">
        <v>337</v>
      </c>
      <c r="B69" s="409" t="s">
        <v>310</v>
      </c>
      <c r="C69" s="295"/>
    </row>
    <row r="70" spans="1:3" s="408" customFormat="1" ht="12" customHeight="1">
      <c r="A70" s="14" t="s">
        <v>346</v>
      </c>
      <c r="B70" s="410" t="s">
        <v>311</v>
      </c>
      <c r="C70" s="295"/>
    </row>
    <row r="71" spans="1:3" s="408" customFormat="1" ht="12" customHeight="1" thickBot="1">
      <c r="A71" s="16" t="s">
        <v>347</v>
      </c>
      <c r="B71" s="471" t="s">
        <v>570</v>
      </c>
      <c r="C71" s="295"/>
    </row>
    <row r="72" spans="1:3" s="408" customFormat="1" ht="12" customHeight="1" thickBot="1">
      <c r="A72" s="456" t="s">
        <v>313</v>
      </c>
      <c r="B72" s="285" t="s">
        <v>314</v>
      </c>
      <c r="C72" s="290">
        <f>SUM(C73:C76)</f>
        <v>0</v>
      </c>
    </row>
    <row r="73" spans="1:3" s="408" customFormat="1" ht="12" customHeight="1">
      <c r="A73" s="15" t="s">
        <v>149</v>
      </c>
      <c r="B73" s="409" t="s">
        <v>315</v>
      </c>
      <c r="C73" s="295"/>
    </row>
    <row r="74" spans="1:3" s="408" customFormat="1" ht="12" customHeight="1">
      <c r="A74" s="14" t="s">
        <v>150</v>
      </c>
      <c r="B74" s="410" t="s">
        <v>571</v>
      </c>
      <c r="C74" s="295"/>
    </row>
    <row r="75" spans="1:3" s="408" customFormat="1" ht="12" customHeight="1" thickBot="1">
      <c r="A75" s="16" t="s">
        <v>338</v>
      </c>
      <c r="B75" s="411" t="s">
        <v>316</v>
      </c>
      <c r="C75" s="396"/>
    </row>
    <row r="76" spans="1:3" s="408" customFormat="1" ht="12" customHeight="1" thickBot="1">
      <c r="A76" s="563" t="s">
        <v>339</v>
      </c>
      <c r="B76" s="564" t="s">
        <v>572</v>
      </c>
      <c r="C76" s="565"/>
    </row>
    <row r="77" spans="1:3" s="408" customFormat="1" ht="12" customHeight="1" thickBot="1">
      <c r="A77" s="456" t="s">
        <v>317</v>
      </c>
      <c r="B77" s="285" t="s">
        <v>318</v>
      </c>
      <c r="C77" s="290">
        <f>SUM(C78:C79)</f>
        <v>0</v>
      </c>
    </row>
    <row r="78" spans="1:3" s="408" customFormat="1" ht="12" customHeight="1" thickBot="1">
      <c r="A78" s="13" t="s">
        <v>340</v>
      </c>
      <c r="B78" s="562" t="s">
        <v>319</v>
      </c>
      <c r="C78" s="396"/>
    </row>
    <row r="79" spans="1:3" s="408" customFormat="1" ht="12" customHeight="1" thickBot="1">
      <c r="A79" s="563" t="s">
        <v>341</v>
      </c>
      <c r="B79" s="564" t="s">
        <v>320</v>
      </c>
      <c r="C79" s="565"/>
    </row>
    <row r="80" spans="1:3" s="408" customFormat="1" ht="12" customHeight="1" thickBot="1">
      <c r="A80" s="456" t="s">
        <v>321</v>
      </c>
      <c r="B80" s="285" t="s">
        <v>322</v>
      </c>
      <c r="C80" s="290">
        <f>SUM(C81:C83)</f>
        <v>0</v>
      </c>
    </row>
    <row r="81" spans="1:3" s="408" customFormat="1" ht="12" customHeight="1">
      <c r="A81" s="15" t="s">
        <v>342</v>
      </c>
      <c r="B81" s="409" t="s">
        <v>323</v>
      </c>
      <c r="C81" s="295"/>
    </row>
    <row r="82" spans="1:3" s="408" customFormat="1" ht="12" customHeight="1">
      <c r="A82" s="14" t="s">
        <v>343</v>
      </c>
      <c r="B82" s="410" t="s">
        <v>324</v>
      </c>
      <c r="C82" s="295"/>
    </row>
    <row r="83" spans="1:3" s="408" customFormat="1" ht="12" customHeight="1" thickBot="1">
      <c r="A83" s="18" t="s">
        <v>344</v>
      </c>
      <c r="B83" s="566" t="s">
        <v>573</v>
      </c>
      <c r="C83" s="567"/>
    </row>
    <row r="84" spans="1:3" s="408" customFormat="1" ht="12" customHeight="1" thickBot="1">
      <c r="A84" s="456" t="s">
        <v>325</v>
      </c>
      <c r="B84" s="285" t="s">
        <v>345</v>
      </c>
      <c r="C84" s="290">
        <f>SUM(C85:C88)</f>
        <v>0</v>
      </c>
    </row>
    <row r="85" spans="1:3" s="408" customFormat="1" ht="12" customHeight="1">
      <c r="A85" s="413" t="s">
        <v>326</v>
      </c>
      <c r="B85" s="409" t="s">
        <v>327</v>
      </c>
      <c r="C85" s="295"/>
    </row>
    <row r="86" spans="1:3" s="408" customFormat="1" ht="12" customHeight="1">
      <c r="A86" s="414" t="s">
        <v>328</v>
      </c>
      <c r="B86" s="410" t="s">
        <v>329</v>
      </c>
      <c r="C86" s="295"/>
    </row>
    <row r="87" spans="1:3" s="408" customFormat="1" ht="12" customHeight="1">
      <c r="A87" s="414" t="s">
        <v>330</v>
      </c>
      <c r="B87" s="410" t="s">
        <v>331</v>
      </c>
      <c r="C87" s="295"/>
    </row>
    <row r="88" spans="1:3" s="408" customFormat="1" ht="12" customHeight="1" thickBot="1">
      <c r="A88" s="415" t="s">
        <v>332</v>
      </c>
      <c r="B88" s="287" t="s">
        <v>333</v>
      </c>
      <c r="C88" s="295"/>
    </row>
    <row r="89" spans="1:3" s="408" customFormat="1" ht="12" customHeight="1" thickBot="1">
      <c r="A89" s="456" t="s">
        <v>334</v>
      </c>
      <c r="B89" s="285" t="s">
        <v>475</v>
      </c>
      <c r="C89" s="454"/>
    </row>
    <row r="90" spans="1:3" s="408" customFormat="1" ht="13.5" customHeight="1" thickBot="1">
      <c r="A90" s="456" t="s">
        <v>336</v>
      </c>
      <c r="B90" s="285" t="s">
        <v>335</v>
      </c>
      <c r="C90" s="454"/>
    </row>
    <row r="91" spans="1:3" s="408" customFormat="1" ht="15.75" customHeight="1" thickBot="1">
      <c r="A91" s="456" t="s">
        <v>348</v>
      </c>
      <c r="B91" s="416" t="s">
        <v>478</v>
      </c>
      <c r="C91" s="296">
        <f>+C68+C72+C77+C80+C84+C90+C89</f>
        <v>0</v>
      </c>
    </row>
    <row r="92" spans="1:3" s="408" customFormat="1" ht="16.5" customHeight="1" thickBot="1">
      <c r="A92" s="457" t="s">
        <v>477</v>
      </c>
      <c r="B92" s="417" t="s">
        <v>479</v>
      </c>
      <c r="C92" s="296">
        <f>+C67+C91</f>
        <v>0</v>
      </c>
    </row>
    <row r="93" spans="1:3" s="408" customFormat="1" ht="11.1" customHeight="1">
      <c r="A93" s="5"/>
      <c r="B93" s="6"/>
      <c r="C93" s="297"/>
    </row>
    <row r="94" spans="1:3" ht="16.5" customHeight="1">
      <c r="A94" s="824" t="s">
        <v>47</v>
      </c>
      <c r="B94" s="824"/>
      <c r="C94" s="824"/>
    </row>
    <row r="95" spans="1:3" s="418" customFormat="1" ht="16.5" customHeight="1" thickBot="1">
      <c r="A95" s="821" t="s">
        <v>153</v>
      </c>
      <c r="B95" s="821"/>
      <c r="C95" s="575" t="str">
        <f ca="1">C7</f>
        <v/>
      </c>
    </row>
    <row r="96" spans="1:3" ht="38.1" customHeight="1" thickBot="1">
      <c r="A96" s="555" t="s">
        <v>69</v>
      </c>
      <c r="B96" s="556" t="s">
        <v>48</v>
      </c>
      <c r="C96" s="557" t="str">
        <f ca="1">+C8</f>
        <v>2019. évi előirányzat</v>
      </c>
    </row>
    <row r="97" spans="1:3" s="407" customFormat="1" ht="12" customHeight="1" thickBot="1">
      <c r="A97" s="555"/>
      <c r="B97" s="556" t="s">
        <v>493</v>
      </c>
      <c r="C97" s="557" t="s">
        <v>494</v>
      </c>
    </row>
    <row r="98" spans="1:3" ht="12" customHeight="1" thickBot="1">
      <c r="A98" s="22" t="s">
        <v>18</v>
      </c>
      <c r="B98" s="28" t="s">
        <v>437</v>
      </c>
      <c r="C98" s="289">
        <f>C99+C100+C101+C102+C103+C116</f>
        <v>0</v>
      </c>
    </row>
    <row r="99" spans="1:3" ht="12" customHeight="1">
      <c r="A99" s="17" t="s">
        <v>98</v>
      </c>
      <c r="B99" s="10" t="s">
        <v>49</v>
      </c>
      <c r="C99" s="291"/>
    </row>
    <row r="100" spans="1:3" ht="12" customHeight="1">
      <c r="A100" s="14" t="s">
        <v>99</v>
      </c>
      <c r="B100" s="8" t="s">
        <v>183</v>
      </c>
      <c r="C100" s="292"/>
    </row>
    <row r="101" spans="1:3" ht="12" customHeight="1">
      <c r="A101" s="14" t="s">
        <v>100</v>
      </c>
      <c r="B101" s="8" t="s">
        <v>140</v>
      </c>
      <c r="C101" s="294"/>
    </row>
    <row r="102" spans="1:3" ht="12" customHeight="1">
      <c r="A102" s="14" t="s">
        <v>101</v>
      </c>
      <c r="B102" s="11" t="s">
        <v>184</v>
      </c>
      <c r="C102" s="294"/>
    </row>
    <row r="103" spans="1:3" ht="12" customHeight="1">
      <c r="A103" s="14" t="s">
        <v>112</v>
      </c>
      <c r="B103" s="19" t="s">
        <v>185</v>
      </c>
      <c r="C103" s="294"/>
    </row>
    <row r="104" spans="1:3" ht="12" customHeight="1">
      <c r="A104" s="14" t="s">
        <v>102</v>
      </c>
      <c r="B104" s="8" t="s">
        <v>442</v>
      </c>
      <c r="C104" s="294"/>
    </row>
    <row r="105" spans="1:3" ht="12" customHeight="1">
      <c r="A105" s="14" t="s">
        <v>103</v>
      </c>
      <c r="B105" s="138" t="s">
        <v>441</v>
      </c>
      <c r="C105" s="294"/>
    </row>
    <row r="106" spans="1:3" ht="12" customHeight="1">
      <c r="A106" s="14" t="s">
        <v>113</v>
      </c>
      <c r="B106" s="138" t="s">
        <v>440</v>
      </c>
      <c r="C106" s="294"/>
    </row>
    <row r="107" spans="1:3" ht="12" customHeight="1">
      <c r="A107" s="14" t="s">
        <v>114</v>
      </c>
      <c r="B107" s="136" t="s">
        <v>351</v>
      </c>
      <c r="C107" s="294"/>
    </row>
    <row r="108" spans="1:3" ht="12" customHeight="1">
      <c r="A108" s="14" t="s">
        <v>115</v>
      </c>
      <c r="B108" s="137" t="s">
        <v>352</v>
      </c>
      <c r="C108" s="294"/>
    </row>
    <row r="109" spans="1:3" ht="12" customHeight="1">
      <c r="A109" s="14" t="s">
        <v>116</v>
      </c>
      <c r="B109" s="137" t="s">
        <v>353</v>
      </c>
      <c r="C109" s="294"/>
    </row>
    <row r="110" spans="1:3" ht="12" customHeight="1">
      <c r="A110" s="14" t="s">
        <v>118</v>
      </c>
      <c r="B110" s="136" t="s">
        <v>354</v>
      </c>
      <c r="C110" s="294"/>
    </row>
    <row r="111" spans="1:3" ht="12" customHeight="1">
      <c r="A111" s="14" t="s">
        <v>186</v>
      </c>
      <c r="B111" s="136" t="s">
        <v>355</v>
      </c>
      <c r="C111" s="294"/>
    </row>
    <row r="112" spans="1:3" ht="12" customHeight="1">
      <c r="A112" s="14" t="s">
        <v>349</v>
      </c>
      <c r="B112" s="137" t="s">
        <v>356</v>
      </c>
      <c r="C112" s="294"/>
    </row>
    <row r="113" spans="1:3" ht="12" customHeight="1">
      <c r="A113" s="13" t="s">
        <v>350</v>
      </c>
      <c r="B113" s="138" t="s">
        <v>357</v>
      </c>
      <c r="C113" s="294"/>
    </row>
    <row r="114" spans="1:3" ht="12" customHeight="1">
      <c r="A114" s="14" t="s">
        <v>438</v>
      </c>
      <c r="B114" s="138" t="s">
        <v>358</v>
      </c>
      <c r="C114" s="294"/>
    </row>
    <row r="115" spans="1:3" ht="12" customHeight="1">
      <c r="A115" s="16" t="s">
        <v>439</v>
      </c>
      <c r="B115" s="138" t="s">
        <v>359</v>
      </c>
      <c r="C115" s="294"/>
    </row>
    <row r="116" spans="1:3" ht="12" customHeight="1">
      <c r="A116" s="14" t="s">
        <v>443</v>
      </c>
      <c r="B116" s="11" t="s">
        <v>50</v>
      </c>
      <c r="C116" s="292"/>
    </row>
    <row r="117" spans="1:3" ht="12" customHeight="1">
      <c r="A117" s="14" t="s">
        <v>444</v>
      </c>
      <c r="B117" s="8" t="s">
        <v>446</v>
      </c>
      <c r="C117" s="292"/>
    </row>
    <row r="118" spans="1:3" ht="12" customHeight="1" thickBot="1">
      <c r="A118" s="18" t="s">
        <v>445</v>
      </c>
      <c r="B118" s="475" t="s">
        <v>447</v>
      </c>
      <c r="C118" s="298"/>
    </row>
    <row r="119" spans="1:3" ht="12" customHeight="1" thickBot="1">
      <c r="A119" s="472" t="s">
        <v>19</v>
      </c>
      <c r="B119" s="473" t="s">
        <v>360</v>
      </c>
      <c r="C119" s="474">
        <f>+C120+C122+C124</f>
        <v>0</v>
      </c>
    </row>
    <row r="120" spans="1:3" ht="12" customHeight="1">
      <c r="A120" s="15" t="s">
        <v>104</v>
      </c>
      <c r="B120" s="8" t="s">
        <v>230</v>
      </c>
      <c r="C120" s="293"/>
    </row>
    <row r="121" spans="1:3" ht="12" customHeight="1">
      <c r="A121" s="15" t="s">
        <v>105</v>
      </c>
      <c r="B121" s="12" t="s">
        <v>364</v>
      </c>
      <c r="C121" s="293"/>
    </row>
    <row r="122" spans="1:3" ht="12" customHeight="1">
      <c r="A122" s="15" t="s">
        <v>106</v>
      </c>
      <c r="B122" s="12" t="s">
        <v>187</v>
      </c>
      <c r="C122" s="292"/>
    </row>
    <row r="123" spans="1:3" ht="12" customHeight="1">
      <c r="A123" s="15" t="s">
        <v>107</v>
      </c>
      <c r="B123" s="12" t="s">
        <v>365</v>
      </c>
      <c r="C123" s="257"/>
    </row>
    <row r="124" spans="1:3" ht="12" customHeight="1">
      <c r="A124" s="15" t="s">
        <v>108</v>
      </c>
      <c r="B124" s="287" t="s">
        <v>575</v>
      </c>
      <c r="C124" s="257"/>
    </row>
    <row r="125" spans="1:3" ht="12" customHeight="1">
      <c r="A125" s="15" t="s">
        <v>117</v>
      </c>
      <c r="B125" s="286" t="s">
        <v>428</v>
      </c>
      <c r="C125" s="257"/>
    </row>
    <row r="126" spans="1:3" ht="12" customHeight="1">
      <c r="A126" s="15" t="s">
        <v>119</v>
      </c>
      <c r="B126" s="405" t="s">
        <v>370</v>
      </c>
      <c r="C126" s="257"/>
    </row>
    <row r="127" spans="1:3">
      <c r="A127" s="15" t="s">
        <v>188</v>
      </c>
      <c r="B127" s="137" t="s">
        <v>353</v>
      </c>
      <c r="C127" s="257"/>
    </row>
    <row r="128" spans="1:3" ht="12" customHeight="1">
      <c r="A128" s="15" t="s">
        <v>189</v>
      </c>
      <c r="B128" s="137" t="s">
        <v>369</v>
      </c>
      <c r="C128" s="257"/>
    </row>
    <row r="129" spans="1:3" ht="12" customHeight="1">
      <c r="A129" s="15" t="s">
        <v>190</v>
      </c>
      <c r="B129" s="137" t="s">
        <v>368</v>
      </c>
      <c r="C129" s="257"/>
    </row>
    <row r="130" spans="1:3" ht="12" customHeight="1">
      <c r="A130" s="15" t="s">
        <v>361</v>
      </c>
      <c r="B130" s="137" t="s">
        <v>356</v>
      </c>
      <c r="C130" s="257"/>
    </row>
    <row r="131" spans="1:3" ht="12" customHeight="1">
      <c r="A131" s="15" t="s">
        <v>362</v>
      </c>
      <c r="B131" s="137" t="s">
        <v>367</v>
      </c>
      <c r="C131" s="257"/>
    </row>
    <row r="132" spans="1:3" ht="16.5" thickBot="1">
      <c r="A132" s="13" t="s">
        <v>363</v>
      </c>
      <c r="B132" s="137" t="s">
        <v>366</v>
      </c>
      <c r="C132" s="259"/>
    </row>
    <row r="133" spans="1:3" ht="12" customHeight="1" thickBot="1">
      <c r="A133" s="20" t="s">
        <v>20</v>
      </c>
      <c r="B133" s="118" t="s">
        <v>448</v>
      </c>
      <c r="C133" s="290">
        <f>+C98+C119</f>
        <v>0</v>
      </c>
    </row>
    <row r="134" spans="1:3" ht="12" customHeight="1" thickBot="1">
      <c r="A134" s="20" t="s">
        <v>21</v>
      </c>
      <c r="B134" s="118" t="s">
        <v>449</v>
      </c>
      <c r="C134" s="290">
        <f>+C135+C136+C137</f>
        <v>0</v>
      </c>
    </row>
    <row r="135" spans="1:3" ht="12" customHeight="1">
      <c r="A135" s="15" t="s">
        <v>268</v>
      </c>
      <c r="B135" s="12" t="s">
        <v>456</v>
      </c>
      <c r="C135" s="257"/>
    </row>
    <row r="136" spans="1:3" ht="12" customHeight="1">
      <c r="A136" s="15" t="s">
        <v>269</v>
      </c>
      <c r="B136" s="12" t="s">
        <v>457</v>
      </c>
      <c r="C136" s="257"/>
    </row>
    <row r="137" spans="1:3" ht="12" customHeight="1" thickBot="1">
      <c r="A137" s="13" t="s">
        <v>270</v>
      </c>
      <c r="B137" s="12" t="s">
        <v>458</v>
      </c>
      <c r="C137" s="257"/>
    </row>
    <row r="138" spans="1:3" ht="12" customHeight="1" thickBot="1">
      <c r="A138" s="20" t="s">
        <v>22</v>
      </c>
      <c r="B138" s="118" t="s">
        <v>450</v>
      </c>
      <c r="C138" s="290">
        <f>SUM(C139:C144)</f>
        <v>0</v>
      </c>
    </row>
    <row r="139" spans="1:3" ht="12" customHeight="1">
      <c r="A139" s="15" t="s">
        <v>91</v>
      </c>
      <c r="B139" s="9" t="s">
        <v>459</v>
      </c>
      <c r="C139" s="257"/>
    </row>
    <row r="140" spans="1:3" ht="12" customHeight="1">
      <c r="A140" s="15" t="s">
        <v>92</v>
      </c>
      <c r="B140" s="9" t="s">
        <v>451</v>
      </c>
      <c r="C140" s="257"/>
    </row>
    <row r="141" spans="1:3" ht="12" customHeight="1">
      <c r="A141" s="15" t="s">
        <v>93</v>
      </c>
      <c r="B141" s="9" t="s">
        <v>452</v>
      </c>
      <c r="C141" s="257"/>
    </row>
    <row r="142" spans="1:3" ht="12" customHeight="1">
      <c r="A142" s="15" t="s">
        <v>175</v>
      </c>
      <c r="B142" s="9" t="s">
        <v>453</v>
      </c>
      <c r="C142" s="257"/>
    </row>
    <row r="143" spans="1:3" ht="12" customHeight="1" thickBot="1">
      <c r="A143" s="13" t="s">
        <v>176</v>
      </c>
      <c r="B143" s="7" t="s">
        <v>454</v>
      </c>
      <c r="C143" s="259"/>
    </row>
    <row r="144" spans="1:3" ht="12" customHeight="1" thickBot="1">
      <c r="A144" s="563" t="s">
        <v>177</v>
      </c>
      <c r="B144" s="568" t="s">
        <v>455</v>
      </c>
      <c r="C144" s="569"/>
    </row>
    <row r="145" spans="1:9" ht="12" customHeight="1" thickBot="1">
      <c r="A145" s="20" t="s">
        <v>23</v>
      </c>
      <c r="B145" s="118" t="s">
        <v>463</v>
      </c>
      <c r="C145" s="296">
        <f>+C146+C147+C148+C149</f>
        <v>0</v>
      </c>
    </row>
    <row r="146" spans="1:9" ht="12" customHeight="1">
      <c r="A146" s="15" t="s">
        <v>94</v>
      </c>
      <c r="B146" s="9" t="s">
        <v>371</v>
      </c>
      <c r="C146" s="257"/>
    </row>
    <row r="147" spans="1:9" ht="12" customHeight="1">
      <c r="A147" s="15" t="s">
        <v>95</v>
      </c>
      <c r="B147" s="9" t="s">
        <v>372</v>
      </c>
      <c r="C147" s="257"/>
    </row>
    <row r="148" spans="1:9" ht="12" customHeight="1" thickBot="1">
      <c r="A148" s="13" t="s">
        <v>288</v>
      </c>
      <c r="B148" s="7" t="s">
        <v>464</v>
      </c>
      <c r="C148" s="259"/>
    </row>
    <row r="149" spans="1:9" ht="12" customHeight="1" thickBot="1">
      <c r="A149" s="563" t="s">
        <v>289</v>
      </c>
      <c r="B149" s="568" t="s">
        <v>390</v>
      </c>
      <c r="C149" s="569"/>
    </row>
    <row r="150" spans="1:9" ht="12" customHeight="1" thickBot="1">
      <c r="A150" s="20" t="s">
        <v>24</v>
      </c>
      <c r="B150" s="118" t="s">
        <v>465</v>
      </c>
      <c r="C150" s="299">
        <f>SUM(C151:C155)</f>
        <v>0</v>
      </c>
    </row>
    <row r="151" spans="1:9" ht="12" customHeight="1">
      <c r="A151" s="15" t="s">
        <v>96</v>
      </c>
      <c r="B151" s="9" t="s">
        <v>460</v>
      </c>
      <c r="C151" s="257"/>
    </row>
    <row r="152" spans="1:9" ht="12" customHeight="1">
      <c r="A152" s="15" t="s">
        <v>97</v>
      </c>
      <c r="B152" s="9" t="s">
        <v>467</v>
      </c>
      <c r="C152" s="257"/>
    </row>
    <row r="153" spans="1:9" ht="12" customHeight="1">
      <c r="A153" s="15" t="s">
        <v>300</v>
      </c>
      <c r="B153" s="9" t="s">
        <v>462</v>
      </c>
      <c r="C153" s="257"/>
    </row>
    <row r="154" spans="1:9" ht="12" customHeight="1">
      <c r="A154" s="15" t="s">
        <v>301</v>
      </c>
      <c r="B154" s="9" t="s">
        <v>518</v>
      </c>
      <c r="C154" s="257"/>
    </row>
    <row r="155" spans="1:9" ht="12" customHeight="1" thickBot="1">
      <c r="A155" s="15" t="s">
        <v>466</v>
      </c>
      <c r="B155" s="9" t="s">
        <v>469</v>
      </c>
      <c r="C155" s="257"/>
    </row>
    <row r="156" spans="1:9" ht="12" customHeight="1" thickBot="1">
      <c r="A156" s="20" t="s">
        <v>25</v>
      </c>
      <c r="B156" s="118" t="s">
        <v>470</v>
      </c>
      <c r="C156" s="476"/>
    </row>
    <row r="157" spans="1:9" ht="12" customHeight="1" thickBot="1">
      <c r="A157" s="20" t="s">
        <v>26</v>
      </c>
      <c r="B157" s="118" t="s">
        <v>471</v>
      </c>
      <c r="C157" s="476"/>
    </row>
    <row r="158" spans="1:9" ht="15.2" customHeight="1" thickBot="1">
      <c r="A158" s="20" t="s">
        <v>27</v>
      </c>
      <c r="B158" s="118" t="s">
        <v>473</v>
      </c>
      <c r="C158" s="570">
        <f>+C134+C138+C145+C150+C156+C157</f>
        <v>0</v>
      </c>
      <c r="F158" s="420"/>
      <c r="G158" s="421"/>
      <c r="H158" s="421"/>
      <c r="I158" s="421"/>
    </row>
    <row r="159" spans="1:9" s="408" customFormat="1" ht="17.25" customHeight="1" thickBot="1">
      <c r="A159" s="288" t="s">
        <v>28</v>
      </c>
      <c r="B159" s="571" t="s">
        <v>472</v>
      </c>
      <c r="C159" s="570">
        <f>+C133+C158</f>
        <v>0</v>
      </c>
    </row>
    <row r="160" spans="1:9" ht="15.95" customHeight="1">
      <c r="A160" s="572"/>
      <c r="B160" s="572"/>
      <c r="C160" s="634">
        <f>C92-C159</f>
        <v>0</v>
      </c>
    </row>
    <row r="161" spans="1:4">
      <c r="A161" s="822" t="s">
        <v>373</v>
      </c>
      <c r="B161" s="822"/>
      <c r="C161" s="822"/>
    </row>
    <row r="162" spans="1:4" ht="15.2" customHeight="1" thickBot="1">
      <c r="A162" s="823" t="s">
        <v>154</v>
      </c>
      <c r="B162" s="823"/>
      <c r="C162" s="576" t="str">
        <f ca="1">C95</f>
        <v/>
      </c>
    </row>
    <row r="163" spans="1:4" ht="13.5" customHeight="1" thickBot="1">
      <c r="A163" s="20">
        <v>1</v>
      </c>
      <c r="B163" s="27" t="s">
        <v>474</v>
      </c>
      <c r="C163" s="290">
        <f>+C67-C133</f>
        <v>0</v>
      </c>
      <c r="D163" s="422"/>
    </row>
    <row r="164" spans="1:4" ht="27.75" customHeight="1" thickBot="1">
      <c r="A164" s="20" t="s">
        <v>19</v>
      </c>
      <c r="B164" s="27" t="s">
        <v>480</v>
      </c>
      <c r="C164" s="290">
        <f>+C91-C158</f>
        <v>0</v>
      </c>
    </row>
  </sheetData>
  <sheetProtection sheet="1"/>
  <mergeCells count="7">
    <mergeCell ref="A162:B162"/>
    <mergeCell ref="B1:C1"/>
    <mergeCell ref="A6:C6"/>
    <mergeCell ref="A7:B7"/>
    <mergeCell ref="A94:C94"/>
    <mergeCell ref="A95:B95"/>
    <mergeCell ref="A161:C161"/>
  </mergeCells>
  <printOptions horizontalCentered="1"/>
  <pageMargins left="0.6692913385826772" right="0.6692913385826772" top="0.86614173228346458" bottom="0.86614173228346458" header="0" footer="0"/>
  <pageSetup paperSize="9" scale="74" fitToHeight="2" orientation="portrait" r:id="rId1"/>
  <headerFooter alignWithMargins="0"/>
  <rowBreaks count="2" manualBreakCount="2">
    <brk id="67" max="2" man="1"/>
    <brk id="144" max="2" man="1"/>
  </rowBreaks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92D050"/>
  </sheetPr>
  <dimension ref="A1:F33"/>
  <sheetViews>
    <sheetView zoomScaleNormal="100" zoomScaleSheetLayoutView="100" workbookViewId="0">
      <selection activeCell="E11" sqref="E11"/>
    </sheetView>
  </sheetViews>
  <sheetFormatPr defaultRowHeight="12.75"/>
  <cols>
    <col min="1" max="1" width="6.83203125" style="54" customWidth="1"/>
    <col min="2" max="2" width="55.1640625" style="178" customWidth="1"/>
    <col min="3" max="3" width="16.33203125" style="54" customWidth="1"/>
    <col min="4" max="4" width="55.1640625" style="54" customWidth="1"/>
    <col min="5" max="5" width="16.33203125" style="54" customWidth="1"/>
    <col min="6" max="6" width="4.83203125" style="54" customWidth="1"/>
    <col min="7" max="16384" width="9.33203125" style="54"/>
  </cols>
  <sheetData>
    <row r="1" spans="1:6" ht="39.75" customHeight="1">
      <c r="B1" s="312" t="s">
        <v>158</v>
      </c>
      <c r="C1" s="313"/>
      <c r="D1" s="313"/>
      <c r="E1" s="313"/>
      <c r="F1" s="827" t="str">
        <f ca="1">CONCATENATE("2.1. melléklet ",ALAPADATOK!A7," ",ALAPADATOK!B7," ",ALAPADATOK!C7," ",ALAPADATOK!D7," ",ALAPADATOK!E7," ",ALAPADATOK!F7," ",ALAPADATOK!G7," ",ALAPADATOK!H7)</f>
        <v>2.1. melléklet a … / 2019 ( … ) önkormányzati rendelethez</v>
      </c>
    </row>
    <row r="2" spans="1:6" ht="13.5" thickBot="1">
      <c r="E2" s="578" t="str">
        <f ca="1">CONCATENATE(KV_1.1.sz.mell.!C7)</f>
        <v/>
      </c>
      <c r="F2" s="827"/>
    </row>
    <row r="3" spans="1:6" ht="18" customHeight="1" thickBot="1">
      <c r="A3" s="825" t="s">
        <v>69</v>
      </c>
      <c r="B3" s="314" t="s">
        <v>56</v>
      </c>
      <c r="C3" s="315"/>
      <c r="D3" s="314" t="s">
        <v>57</v>
      </c>
      <c r="E3" s="316"/>
      <c r="F3" s="827"/>
    </row>
    <row r="4" spans="1:6" s="317" customFormat="1" ht="35.25" customHeight="1" thickBot="1">
      <c r="A4" s="826"/>
      <c r="B4" s="179" t="s">
        <v>61</v>
      </c>
      <c r="C4" s="180" t="str">
        <f ca="1">+KV_1.1.sz.mell.!C8</f>
        <v>2019. évi előirányzat</v>
      </c>
      <c r="D4" s="179" t="s">
        <v>61</v>
      </c>
      <c r="E4" s="51" t="str">
        <f ca="1">+C4</f>
        <v>2019. évi előirányzat</v>
      </c>
      <c r="F4" s="827"/>
    </row>
    <row r="5" spans="1:6" s="322" customFormat="1" ht="12" customHeight="1" thickBot="1">
      <c r="A5" s="318"/>
      <c r="B5" s="319" t="s">
        <v>493</v>
      </c>
      <c r="C5" s="320" t="s">
        <v>494</v>
      </c>
      <c r="D5" s="319" t="s">
        <v>495</v>
      </c>
      <c r="E5" s="321" t="s">
        <v>497</v>
      </c>
      <c r="F5" s="827"/>
    </row>
    <row r="6" spans="1:6" ht="12.95" customHeight="1">
      <c r="A6" s="323" t="s">
        <v>18</v>
      </c>
      <c r="B6" s="324" t="s">
        <v>374</v>
      </c>
      <c r="C6" s="301">
        <v>905656407</v>
      </c>
      <c r="D6" s="324" t="s">
        <v>62</v>
      </c>
      <c r="E6" s="307">
        <v>1261020988</v>
      </c>
      <c r="F6" s="827"/>
    </row>
    <row r="7" spans="1:6" ht="12.95" customHeight="1">
      <c r="A7" s="325" t="s">
        <v>19</v>
      </c>
      <c r="B7" s="326" t="s">
        <v>375</v>
      </c>
      <c r="C7" s="302">
        <v>997850000</v>
      </c>
      <c r="D7" s="326" t="s">
        <v>183</v>
      </c>
      <c r="E7" s="308">
        <v>230506879</v>
      </c>
      <c r="F7" s="827"/>
    </row>
    <row r="8" spans="1:6" ht="12.95" customHeight="1">
      <c r="A8" s="325" t="s">
        <v>20</v>
      </c>
      <c r="B8" s="326" t="s">
        <v>395</v>
      </c>
      <c r="C8" s="302"/>
      <c r="D8" s="326" t="s">
        <v>234</v>
      </c>
      <c r="E8" s="308">
        <v>1114463890</v>
      </c>
      <c r="F8" s="827"/>
    </row>
    <row r="9" spans="1:6" ht="12.95" customHeight="1">
      <c r="A9" s="325" t="s">
        <v>21</v>
      </c>
      <c r="B9" s="326" t="s">
        <v>174</v>
      </c>
      <c r="C9" s="302">
        <v>1190000000</v>
      </c>
      <c r="D9" s="326" t="s">
        <v>184</v>
      </c>
      <c r="E9" s="308">
        <v>61500000</v>
      </c>
      <c r="F9" s="827"/>
    </row>
    <row r="10" spans="1:6" ht="12.95" customHeight="1">
      <c r="A10" s="325" t="s">
        <v>22</v>
      </c>
      <c r="B10" s="327" t="s">
        <v>421</v>
      </c>
      <c r="C10" s="302">
        <v>294904364</v>
      </c>
      <c r="D10" s="326" t="s">
        <v>185</v>
      </c>
      <c r="E10" s="308">
        <v>285477006</v>
      </c>
      <c r="F10" s="827"/>
    </row>
    <row r="11" spans="1:6" ht="12.95" customHeight="1">
      <c r="A11" s="325" t="s">
        <v>23</v>
      </c>
      <c r="B11" s="326" t="s">
        <v>376</v>
      </c>
      <c r="C11" s="303"/>
      <c r="D11" s="326" t="s">
        <v>50</v>
      </c>
      <c r="E11" s="308">
        <v>82166704</v>
      </c>
      <c r="F11" s="827"/>
    </row>
    <row r="12" spans="1:6" ht="12.95" customHeight="1">
      <c r="A12" s="325" t="s">
        <v>24</v>
      </c>
      <c r="B12" s="326" t="s">
        <v>481</v>
      </c>
      <c r="C12" s="302"/>
      <c r="D12" s="45"/>
      <c r="E12" s="308"/>
      <c r="F12" s="827"/>
    </row>
    <row r="13" spans="1:6" ht="12.95" customHeight="1">
      <c r="A13" s="325" t="s">
        <v>25</v>
      </c>
      <c r="B13" s="45"/>
      <c r="C13" s="302"/>
      <c r="D13" s="45"/>
      <c r="E13" s="308"/>
      <c r="F13" s="827"/>
    </row>
    <row r="14" spans="1:6" ht="12.95" customHeight="1">
      <c r="A14" s="325" t="s">
        <v>26</v>
      </c>
      <c r="B14" s="423"/>
      <c r="C14" s="303"/>
      <c r="D14" s="45"/>
      <c r="E14" s="308"/>
      <c r="F14" s="827"/>
    </row>
    <row r="15" spans="1:6" ht="12.95" customHeight="1">
      <c r="A15" s="325" t="s">
        <v>27</v>
      </c>
      <c r="B15" s="45"/>
      <c r="C15" s="302"/>
      <c r="D15" s="45"/>
      <c r="E15" s="308"/>
      <c r="F15" s="827"/>
    </row>
    <row r="16" spans="1:6" ht="12.95" customHeight="1">
      <c r="A16" s="325" t="s">
        <v>28</v>
      </c>
      <c r="B16" s="45"/>
      <c r="C16" s="302"/>
      <c r="D16" s="45"/>
      <c r="E16" s="308"/>
      <c r="F16" s="827"/>
    </row>
    <row r="17" spans="1:6" ht="12.95" customHeight="1" thickBot="1">
      <c r="A17" s="325" t="s">
        <v>29</v>
      </c>
      <c r="B17" s="55"/>
      <c r="C17" s="304"/>
      <c r="D17" s="45"/>
      <c r="E17" s="309"/>
      <c r="F17" s="827"/>
    </row>
    <row r="18" spans="1:6" ht="15.95" customHeight="1" thickBot="1">
      <c r="A18" s="328" t="s">
        <v>30</v>
      </c>
      <c r="B18" s="120" t="s">
        <v>482</v>
      </c>
      <c r="C18" s="305">
        <f>C6+C7+C9+C10+C11+C13+C14+C15+C16+C17</f>
        <v>3388410771</v>
      </c>
      <c r="D18" s="120" t="s">
        <v>381</v>
      </c>
      <c r="E18" s="310">
        <f>SUM(E6:E17)</f>
        <v>3035135467</v>
      </c>
      <c r="F18" s="827"/>
    </row>
    <row r="19" spans="1:6" ht="12.95" customHeight="1">
      <c r="A19" s="329" t="s">
        <v>31</v>
      </c>
      <c r="B19" s="330" t="s">
        <v>378</v>
      </c>
      <c r="C19" s="478">
        <f>+C20+C21+C22+C23</f>
        <v>0</v>
      </c>
      <c r="D19" s="331" t="s">
        <v>191</v>
      </c>
      <c r="E19" s="311"/>
      <c r="F19" s="827"/>
    </row>
    <row r="20" spans="1:6" ht="12.95" customHeight="1">
      <c r="A20" s="332" t="s">
        <v>32</v>
      </c>
      <c r="B20" s="331" t="s">
        <v>228</v>
      </c>
      <c r="C20" s="71"/>
      <c r="D20" s="331" t="s">
        <v>380</v>
      </c>
      <c r="E20" s="72"/>
      <c r="F20" s="827"/>
    </row>
    <row r="21" spans="1:6" ht="12.95" customHeight="1">
      <c r="A21" s="332" t="s">
        <v>33</v>
      </c>
      <c r="B21" s="331" t="s">
        <v>229</v>
      </c>
      <c r="C21" s="71"/>
      <c r="D21" s="331" t="s">
        <v>156</v>
      </c>
      <c r="E21" s="72"/>
      <c r="F21" s="827"/>
    </row>
    <row r="22" spans="1:6" ht="12.95" customHeight="1">
      <c r="A22" s="332" t="s">
        <v>34</v>
      </c>
      <c r="B22" s="331" t="s">
        <v>233</v>
      </c>
      <c r="C22" s="71"/>
      <c r="D22" s="331" t="s">
        <v>157</v>
      </c>
      <c r="E22" s="72"/>
      <c r="F22" s="827"/>
    </row>
    <row r="23" spans="1:6" ht="12.95" customHeight="1">
      <c r="A23" s="332" t="s">
        <v>35</v>
      </c>
      <c r="B23" s="339" t="s">
        <v>239</v>
      </c>
      <c r="C23" s="71"/>
      <c r="D23" s="330" t="s">
        <v>235</v>
      </c>
      <c r="E23" s="72"/>
      <c r="F23" s="827"/>
    </row>
    <row r="24" spans="1:6" ht="12.95" customHeight="1">
      <c r="A24" s="332" t="s">
        <v>36</v>
      </c>
      <c r="B24" s="331" t="s">
        <v>379</v>
      </c>
      <c r="C24" s="333">
        <f>+C25+C26</f>
        <v>0</v>
      </c>
      <c r="D24" s="331" t="s">
        <v>192</v>
      </c>
      <c r="E24" s="72"/>
      <c r="F24" s="827"/>
    </row>
    <row r="25" spans="1:6" ht="12.95" customHeight="1">
      <c r="A25" s="329" t="s">
        <v>37</v>
      </c>
      <c r="B25" s="330" t="s">
        <v>377</v>
      </c>
      <c r="C25" s="306"/>
      <c r="D25" s="324" t="s">
        <v>464</v>
      </c>
      <c r="E25" s="311"/>
      <c r="F25" s="827"/>
    </row>
    <row r="26" spans="1:6" ht="12.95" customHeight="1">
      <c r="A26" s="332" t="s">
        <v>38</v>
      </c>
      <c r="B26" s="339" t="s">
        <v>687</v>
      </c>
      <c r="C26" s="71"/>
      <c r="D26" s="326" t="s">
        <v>470</v>
      </c>
      <c r="E26" s="72"/>
      <c r="F26" s="827"/>
    </row>
    <row r="27" spans="1:6" ht="12.95" customHeight="1">
      <c r="A27" s="325" t="s">
        <v>39</v>
      </c>
      <c r="B27" s="331" t="s">
        <v>475</v>
      </c>
      <c r="C27" s="71"/>
      <c r="D27" s="326" t="s">
        <v>471</v>
      </c>
      <c r="E27" s="72"/>
      <c r="F27" s="827"/>
    </row>
    <row r="28" spans="1:6" ht="12.95" customHeight="1" thickBot="1">
      <c r="A28" s="386" t="s">
        <v>40</v>
      </c>
      <c r="B28" s="330" t="s">
        <v>335</v>
      </c>
      <c r="C28" s="306"/>
      <c r="D28" s="425"/>
      <c r="E28" s="311"/>
      <c r="F28" s="827"/>
    </row>
    <row r="29" spans="1:6" ht="15.95" customHeight="1" thickBot="1">
      <c r="A29" s="328" t="s">
        <v>41</v>
      </c>
      <c r="B29" s="120" t="s">
        <v>483</v>
      </c>
      <c r="C29" s="305">
        <f>+C19+C24+C27+C28</f>
        <v>0</v>
      </c>
      <c r="D29" s="120" t="s">
        <v>485</v>
      </c>
      <c r="E29" s="310">
        <f>SUM(E19:E28)</f>
        <v>0</v>
      </c>
      <c r="F29" s="827"/>
    </row>
    <row r="30" spans="1:6" ht="13.5" thickBot="1">
      <c r="A30" s="328" t="s">
        <v>42</v>
      </c>
      <c r="B30" s="334" t="s">
        <v>484</v>
      </c>
      <c r="C30" s="335">
        <f>+C18+C29</f>
        <v>3388410771</v>
      </c>
      <c r="D30" s="334" t="s">
        <v>486</v>
      </c>
      <c r="E30" s="335">
        <f>+E18+E29</f>
        <v>3035135467</v>
      </c>
      <c r="F30" s="827"/>
    </row>
    <row r="31" spans="1:6" ht="13.5" thickBot="1">
      <c r="A31" s="328" t="s">
        <v>43</v>
      </c>
      <c r="B31" s="334" t="s">
        <v>169</v>
      </c>
      <c r="C31" s="335" t="str">
        <f>IF(C18-E18&lt;0,E18-C18,"-")</f>
        <v>-</v>
      </c>
      <c r="D31" s="334" t="s">
        <v>170</v>
      </c>
      <c r="E31" s="335">
        <f>IF(C18-E18&gt;0,C18-E18,"-")</f>
        <v>353275304</v>
      </c>
      <c r="F31" s="827"/>
    </row>
    <row r="32" spans="1:6" ht="13.5" thickBot="1">
      <c r="A32" s="328" t="s">
        <v>44</v>
      </c>
      <c r="B32" s="334" t="s">
        <v>567</v>
      </c>
      <c r="C32" s="335" t="str">
        <f>IF(C30-E30&lt;0,E30-C30,"-")</f>
        <v>-</v>
      </c>
      <c r="D32" s="334" t="s">
        <v>568</v>
      </c>
      <c r="E32" s="335">
        <f>IF(C30-E30&gt;0,C30-E30,"-")</f>
        <v>353275304</v>
      </c>
      <c r="F32" s="827"/>
    </row>
    <row r="33" spans="2:4" ht="18.75">
      <c r="B33" s="828"/>
      <c r="C33" s="828"/>
      <c r="D33" s="828"/>
    </row>
  </sheetData>
  <sheetProtection sheet="1"/>
  <mergeCells count="3">
    <mergeCell ref="A3:A4"/>
    <mergeCell ref="F1:F32"/>
    <mergeCell ref="B33:D33"/>
  </mergeCells>
  <phoneticPr fontId="0" type="noConversion"/>
  <printOptions horizontalCentered="1"/>
  <pageMargins left="0.33" right="0.48" top="0.9055118110236221" bottom="0.5" header="0.6692913385826772" footer="0.28000000000000003"/>
  <pageSetup paperSize="9" orientation="landscape" verticalDpi="300" r:id="rId1"/>
  <headerFooter alignWithMargins="0">
    <oddHeader xml:space="preserve">&amp;R&amp;"Times New Roman CE,Félkövér dőlt"&amp;11 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92D050"/>
  </sheetPr>
  <dimension ref="A1:F33"/>
  <sheetViews>
    <sheetView zoomScaleNormal="100" zoomScaleSheetLayoutView="115" workbookViewId="0">
      <selection activeCell="C29" sqref="C29"/>
    </sheetView>
  </sheetViews>
  <sheetFormatPr defaultRowHeight="12.75"/>
  <cols>
    <col min="1" max="1" width="6.83203125" style="54" customWidth="1"/>
    <col min="2" max="2" width="55.1640625" style="178" customWidth="1"/>
    <col min="3" max="3" width="16.33203125" style="54" customWidth="1"/>
    <col min="4" max="4" width="55.1640625" style="54" customWidth="1"/>
    <col min="5" max="5" width="16.33203125" style="54" customWidth="1"/>
    <col min="6" max="6" width="4.83203125" style="54" customWidth="1"/>
    <col min="7" max="16384" width="9.33203125" style="54"/>
  </cols>
  <sheetData>
    <row r="1" spans="1:6" ht="31.5">
      <c r="B1" s="312" t="s">
        <v>159</v>
      </c>
      <c r="C1" s="313"/>
      <c r="D1" s="313"/>
      <c r="E1" s="313"/>
      <c r="F1" s="827" t="str">
        <f ca="1">CONCATENATE("2.2. melléklet ",ALAPADATOK!A7," ",ALAPADATOK!B7," ",ALAPADATOK!C7," ",ALAPADATOK!D7," ",ALAPADATOK!E7," ",ALAPADATOK!F7," ",ALAPADATOK!G7," ",ALAPADATOK!H7)</f>
        <v>2.2. melléklet a … / 2019 ( … ) önkormányzati rendelethez</v>
      </c>
    </row>
    <row r="2" spans="1:6" ht="13.5" thickBot="1">
      <c r="E2" s="577" t="str">
        <f ca="1">CONCATENATE(KV_1.1.sz.mell.!C7)</f>
        <v/>
      </c>
      <c r="F2" s="827"/>
    </row>
    <row r="3" spans="1:6" ht="13.5" thickBot="1">
      <c r="A3" s="829" t="s">
        <v>69</v>
      </c>
      <c r="B3" s="314" t="s">
        <v>56</v>
      </c>
      <c r="C3" s="315"/>
      <c r="D3" s="314" t="s">
        <v>57</v>
      </c>
      <c r="E3" s="316"/>
      <c r="F3" s="827"/>
    </row>
    <row r="4" spans="1:6" s="317" customFormat="1" ht="24.75" thickBot="1">
      <c r="A4" s="830"/>
      <c r="B4" s="179" t="s">
        <v>61</v>
      </c>
      <c r="C4" s="180" t="str">
        <f ca="1">+KV_2.1.sz.mell.!C4</f>
        <v>2019. évi előirányzat</v>
      </c>
      <c r="D4" s="179" t="s">
        <v>61</v>
      </c>
      <c r="E4" s="51" t="str">
        <f ca="1">+KV_2.1.sz.mell.!C4</f>
        <v>2019. évi előirányzat</v>
      </c>
      <c r="F4" s="827"/>
    </row>
    <row r="5" spans="1:6" s="317" customFormat="1" ht="13.5" thickBot="1">
      <c r="A5" s="318"/>
      <c r="B5" s="319" t="s">
        <v>493</v>
      </c>
      <c r="C5" s="320" t="s">
        <v>494</v>
      </c>
      <c r="D5" s="319" t="s">
        <v>495</v>
      </c>
      <c r="E5" s="321" t="s">
        <v>497</v>
      </c>
      <c r="F5" s="827"/>
    </row>
    <row r="6" spans="1:6" ht="12.95" customHeight="1">
      <c r="A6" s="323" t="s">
        <v>18</v>
      </c>
      <c r="B6" s="324" t="s">
        <v>382</v>
      </c>
      <c r="C6" s="301">
        <v>40000000</v>
      </c>
      <c r="D6" s="324" t="s">
        <v>230</v>
      </c>
      <c r="E6" s="307">
        <v>944346949</v>
      </c>
      <c r="F6" s="827"/>
    </row>
    <row r="7" spans="1:6">
      <c r="A7" s="325" t="s">
        <v>19</v>
      </c>
      <c r="B7" s="326" t="s">
        <v>383</v>
      </c>
      <c r="C7" s="302"/>
      <c r="D7" s="326" t="s">
        <v>388</v>
      </c>
      <c r="E7" s="308"/>
      <c r="F7" s="827"/>
    </row>
    <row r="8" spans="1:6" ht="12.95" customHeight="1">
      <c r="A8" s="325" t="s">
        <v>20</v>
      </c>
      <c r="B8" s="326" t="s">
        <v>10</v>
      </c>
      <c r="C8" s="302"/>
      <c r="D8" s="326" t="s">
        <v>187</v>
      </c>
      <c r="E8" s="308">
        <v>211738978</v>
      </c>
      <c r="F8" s="827"/>
    </row>
    <row r="9" spans="1:6" ht="12.95" customHeight="1">
      <c r="A9" s="325" t="s">
        <v>21</v>
      </c>
      <c r="B9" s="326" t="s">
        <v>384</v>
      </c>
      <c r="C9" s="302">
        <v>434801977</v>
      </c>
      <c r="D9" s="326" t="s">
        <v>389</v>
      </c>
      <c r="E9" s="308"/>
      <c r="F9" s="827"/>
    </row>
    <row r="10" spans="1:6" ht="12.75" customHeight="1">
      <c r="A10" s="325" t="s">
        <v>22</v>
      </c>
      <c r="B10" s="326" t="s">
        <v>385</v>
      </c>
      <c r="C10" s="302"/>
      <c r="D10" s="326" t="s">
        <v>232</v>
      </c>
      <c r="E10" s="308"/>
      <c r="F10" s="827"/>
    </row>
    <row r="11" spans="1:6" ht="12.95" customHeight="1">
      <c r="A11" s="325" t="s">
        <v>23</v>
      </c>
      <c r="B11" s="326" t="s">
        <v>386</v>
      </c>
      <c r="C11" s="303"/>
      <c r="D11" s="426"/>
      <c r="E11" s="308"/>
      <c r="F11" s="827"/>
    </row>
    <row r="12" spans="1:6" ht="12.95" customHeight="1">
      <c r="A12" s="325" t="s">
        <v>24</v>
      </c>
      <c r="B12" s="45"/>
      <c r="C12" s="302"/>
      <c r="D12" s="426"/>
      <c r="E12" s="308"/>
      <c r="F12" s="827"/>
    </row>
    <row r="13" spans="1:6" ht="12.95" customHeight="1">
      <c r="A13" s="325" t="s">
        <v>25</v>
      </c>
      <c r="B13" s="45"/>
      <c r="C13" s="302"/>
      <c r="D13" s="427"/>
      <c r="E13" s="308"/>
      <c r="F13" s="827"/>
    </row>
    <row r="14" spans="1:6" ht="12.95" customHeight="1">
      <c r="A14" s="325" t="s">
        <v>26</v>
      </c>
      <c r="B14" s="424"/>
      <c r="C14" s="303"/>
      <c r="D14" s="426"/>
      <c r="E14" s="308"/>
      <c r="F14" s="827"/>
    </row>
    <row r="15" spans="1:6">
      <c r="A15" s="325" t="s">
        <v>27</v>
      </c>
      <c r="B15" s="45"/>
      <c r="C15" s="303"/>
      <c r="D15" s="426"/>
      <c r="E15" s="308"/>
      <c r="F15" s="827"/>
    </row>
    <row r="16" spans="1:6" ht="12.95" customHeight="1" thickBot="1">
      <c r="A16" s="386" t="s">
        <v>28</v>
      </c>
      <c r="B16" s="425"/>
      <c r="C16" s="388"/>
      <c r="D16" s="387" t="s">
        <v>50</v>
      </c>
      <c r="E16" s="352">
        <v>21991354</v>
      </c>
      <c r="F16" s="827"/>
    </row>
    <row r="17" spans="1:6" ht="15.95" customHeight="1" thickBot="1">
      <c r="A17" s="328" t="s">
        <v>29</v>
      </c>
      <c r="B17" s="120" t="s">
        <v>396</v>
      </c>
      <c r="C17" s="305">
        <f>+C6+C8+C9+C11+C12+C13+C14+C15+C16</f>
        <v>474801977</v>
      </c>
      <c r="D17" s="120" t="s">
        <v>397</v>
      </c>
      <c r="E17" s="310">
        <f>+E6+E8+E10+E11+E12+E13+E14+E15+E16</f>
        <v>1178077281</v>
      </c>
      <c r="F17" s="827"/>
    </row>
    <row r="18" spans="1:6" ht="12.95" customHeight="1">
      <c r="A18" s="323" t="s">
        <v>30</v>
      </c>
      <c r="B18" s="338" t="s">
        <v>247</v>
      </c>
      <c r="C18" s="345">
        <f>SUM(C19:C23)</f>
        <v>350000000</v>
      </c>
      <c r="D18" s="331" t="s">
        <v>191</v>
      </c>
      <c r="E18" s="69"/>
      <c r="F18" s="827"/>
    </row>
    <row r="19" spans="1:6" ht="12.95" customHeight="1">
      <c r="A19" s="325" t="s">
        <v>31</v>
      </c>
      <c r="B19" s="339" t="s">
        <v>236</v>
      </c>
      <c r="C19" s="71">
        <v>350000000</v>
      </c>
      <c r="D19" s="331" t="s">
        <v>194</v>
      </c>
      <c r="E19" s="72"/>
      <c r="F19" s="827"/>
    </row>
    <row r="20" spans="1:6" ht="12.95" customHeight="1">
      <c r="A20" s="323" t="s">
        <v>32</v>
      </c>
      <c r="B20" s="339" t="s">
        <v>237</v>
      </c>
      <c r="C20" s="71"/>
      <c r="D20" s="331" t="s">
        <v>156</v>
      </c>
      <c r="E20" s="72"/>
      <c r="F20" s="827"/>
    </row>
    <row r="21" spans="1:6" ht="12.95" customHeight="1">
      <c r="A21" s="325" t="s">
        <v>33</v>
      </c>
      <c r="B21" s="339" t="s">
        <v>238</v>
      </c>
      <c r="C21" s="71"/>
      <c r="D21" s="331" t="s">
        <v>157</v>
      </c>
      <c r="E21" s="72"/>
      <c r="F21" s="827"/>
    </row>
    <row r="22" spans="1:6" ht="12.95" customHeight="1">
      <c r="A22" s="323" t="s">
        <v>34</v>
      </c>
      <c r="B22" s="339" t="s">
        <v>239</v>
      </c>
      <c r="C22" s="71"/>
      <c r="D22" s="330" t="s">
        <v>235</v>
      </c>
      <c r="E22" s="72"/>
      <c r="F22" s="827"/>
    </row>
    <row r="23" spans="1:6" ht="12.95" customHeight="1">
      <c r="A23" s="325" t="s">
        <v>35</v>
      </c>
      <c r="B23" s="340" t="s">
        <v>240</v>
      </c>
      <c r="C23" s="71"/>
      <c r="D23" s="331" t="s">
        <v>195</v>
      </c>
      <c r="E23" s="72"/>
      <c r="F23" s="827"/>
    </row>
    <row r="24" spans="1:6" ht="12.95" customHeight="1">
      <c r="A24" s="323" t="s">
        <v>36</v>
      </c>
      <c r="B24" s="341" t="s">
        <v>241</v>
      </c>
      <c r="C24" s="333">
        <f>+C25+C26+C27+C28+C29</f>
        <v>0</v>
      </c>
      <c r="D24" s="342" t="s">
        <v>193</v>
      </c>
      <c r="E24" s="72"/>
      <c r="F24" s="827"/>
    </row>
    <row r="25" spans="1:6" ht="12.95" customHeight="1">
      <c r="A25" s="325" t="s">
        <v>37</v>
      </c>
      <c r="B25" s="340" t="s">
        <v>242</v>
      </c>
      <c r="C25" s="71"/>
      <c r="D25" s="342" t="s">
        <v>390</v>
      </c>
      <c r="E25" s="72"/>
      <c r="F25" s="827"/>
    </row>
    <row r="26" spans="1:6" ht="12.95" customHeight="1">
      <c r="A26" s="323" t="s">
        <v>38</v>
      </c>
      <c r="B26" s="340" t="s">
        <v>243</v>
      </c>
      <c r="C26" s="71"/>
      <c r="D26" s="337"/>
      <c r="E26" s="72"/>
      <c r="F26" s="827"/>
    </row>
    <row r="27" spans="1:6" ht="12.95" customHeight="1">
      <c r="A27" s="325" t="s">
        <v>39</v>
      </c>
      <c r="B27" s="339" t="s">
        <v>244</v>
      </c>
      <c r="C27" s="71"/>
      <c r="D27" s="116"/>
      <c r="E27" s="72"/>
      <c r="F27" s="827"/>
    </row>
    <row r="28" spans="1:6" ht="12.95" customHeight="1">
      <c r="A28" s="323" t="s">
        <v>40</v>
      </c>
      <c r="B28" s="343" t="s">
        <v>245</v>
      </c>
      <c r="C28" s="71"/>
      <c r="D28" s="45"/>
      <c r="E28" s="72"/>
      <c r="F28" s="827"/>
    </row>
    <row r="29" spans="1:6" ht="12.95" customHeight="1" thickBot="1">
      <c r="A29" s="325" t="s">
        <v>41</v>
      </c>
      <c r="B29" s="344" t="s">
        <v>246</v>
      </c>
      <c r="C29" s="71"/>
      <c r="D29" s="116"/>
      <c r="E29" s="72"/>
      <c r="F29" s="827"/>
    </row>
    <row r="30" spans="1:6" ht="21.75" customHeight="1" thickBot="1">
      <c r="A30" s="328" t="s">
        <v>42</v>
      </c>
      <c r="B30" s="120" t="s">
        <v>387</v>
      </c>
      <c r="C30" s="305">
        <f>+C18+C24</f>
        <v>350000000</v>
      </c>
      <c r="D30" s="120" t="s">
        <v>391</v>
      </c>
      <c r="E30" s="310">
        <f>SUM(E18:E29)</f>
        <v>0</v>
      </c>
      <c r="F30" s="827"/>
    </row>
    <row r="31" spans="1:6" ht="13.5" thickBot="1">
      <c r="A31" s="328" t="s">
        <v>43</v>
      </c>
      <c r="B31" s="334" t="s">
        <v>392</v>
      </c>
      <c r="C31" s="335">
        <f>+C17+C30</f>
        <v>824801977</v>
      </c>
      <c r="D31" s="334" t="s">
        <v>393</v>
      </c>
      <c r="E31" s="335">
        <f>+E17+E30</f>
        <v>1178077281</v>
      </c>
      <c r="F31" s="827"/>
    </row>
    <row r="32" spans="1:6" ht="13.5" thickBot="1">
      <c r="A32" s="328" t="s">
        <v>44</v>
      </c>
      <c r="B32" s="334" t="s">
        <v>169</v>
      </c>
      <c r="C32" s="335">
        <f>IF(C17-E17&lt;0,E17-C17,"-")</f>
        <v>703275304</v>
      </c>
      <c r="D32" s="334" t="s">
        <v>170</v>
      </c>
      <c r="E32" s="335" t="str">
        <f>IF(C17-E17&gt;0,C17-E17,"-")</f>
        <v>-</v>
      </c>
      <c r="F32" s="827"/>
    </row>
    <row r="33" spans="1:6" ht="13.5" thickBot="1">
      <c r="A33" s="328" t="s">
        <v>45</v>
      </c>
      <c r="B33" s="334" t="s">
        <v>567</v>
      </c>
      <c r="C33" s="335">
        <f>IF(C31-E31&lt;0,E31-C31,"-")</f>
        <v>353275304</v>
      </c>
      <c r="D33" s="334" t="s">
        <v>568</v>
      </c>
      <c r="E33" s="335" t="str">
        <f>IF(C31-E31&gt;0,C31-E31,"-")</f>
        <v>-</v>
      </c>
      <c r="F33" s="827"/>
    </row>
  </sheetData>
  <sheetProtection sheet="1"/>
  <mergeCells count="2">
    <mergeCell ref="A3:A4"/>
    <mergeCell ref="F1:F33"/>
  </mergeCells>
  <phoneticPr fontId="0" type="noConversion"/>
  <printOptions horizontalCentered="1"/>
  <pageMargins left="0.78740157480314965" right="0.78740157480314965" top="0.49" bottom="0.79" header="0.49" footer="0.78740157480314965"/>
  <pageSetup paperSize="9" scale="93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E19"/>
  <sheetViews>
    <sheetView zoomScale="90" zoomScaleNormal="90" workbookViewId="0">
      <selection activeCell="D22" sqref="D22"/>
    </sheetView>
  </sheetViews>
  <sheetFormatPr defaultRowHeight="12.75"/>
  <cols>
    <col min="1" max="1" width="46.33203125" customWidth="1"/>
    <col min="2" max="2" width="16.83203125" customWidth="1"/>
    <col min="3" max="3" width="66.1640625" customWidth="1"/>
    <col min="4" max="4" width="13.83203125" customWidth="1"/>
    <col min="5" max="5" width="17.6640625" customWidth="1"/>
  </cols>
  <sheetData>
    <row r="1" spans="1:5" ht="18.75">
      <c r="A1" s="121" t="s">
        <v>151</v>
      </c>
      <c r="E1" s="124" t="s">
        <v>155</v>
      </c>
    </row>
    <row r="3" spans="1:5">
      <c r="A3" s="130"/>
      <c r="B3" s="131"/>
      <c r="C3" s="130"/>
      <c r="D3" s="133"/>
      <c r="E3" s="131"/>
    </row>
    <row r="4" spans="1:5" ht="15.75">
      <c r="A4" s="79" t="str">
        <f ca="1">+KV_ÖSSZEFÜGGÉSEK!A5</f>
        <v>2019. évi előirányzat BEVÉTELEK</v>
      </c>
      <c r="B4" s="132"/>
      <c r="C4" s="140"/>
      <c r="D4" s="133"/>
      <c r="E4" s="131"/>
    </row>
    <row r="5" spans="1:5">
      <c r="A5" s="130"/>
      <c r="B5" s="131"/>
      <c r="C5" s="130"/>
      <c r="D5" s="133"/>
      <c r="E5" s="131"/>
    </row>
    <row r="6" spans="1:5">
      <c r="A6" s="130" t="s">
        <v>544</v>
      </c>
      <c r="B6" s="131">
        <f ca="1">+KV_1.1.sz.mell.!C67</f>
        <v>3863212748</v>
      </c>
      <c r="C6" s="130" t="s">
        <v>487</v>
      </c>
      <c r="D6" s="133">
        <f ca="1">+KV_2.1.sz.mell.!C18+KV_2.2.sz.mell.!C17</f>
        <v>3863212748</v>
      </c>
      <c r="E6" s="131">
        <f t="shared" ref="E6:E15" ca="1" si="0">+B6-D6</f>
        <v>0</v>
      </c>
    </row>
    <row r="7" spans="1:5">
      <c r="A7" s="130" t="s">
        <v>545</v>
      </c>
      <c r="B7" s="131">
        <f ca="1">+KV_1.1.sz.mell.!C91</f>
        <v>350000000</v>
      </c>
      <c r="C7" s="130" t="s">
        <v>488</v>
      </c>
      <c r="D7" s="133">
        <f ca="1">+KV_2.1.sz.mell.!C29+KV_2.2.sz.mell.!C30</f>
        <v>350000000</v>
      </c>
      <c r="E7" s="131">
        <f t="shared" ca="1" si="0"/>
        <v>0</v>
      </c>
    </row>
    <row r="8" spans="1:5">
      <c r="A8" s="130" t="s">
        <v>546</v>
      </c>
      <c r="B8" s="131">
        <f ca="1">+KV_1.1.sz.mell.!C92</f>
        <v>4213212748</v>
      </c>
      <c r="C8" s="130" t="s">
        <v>489</v>
      </c>
      <c r="D8" s="133">
        <f ca="1">+KV_2.1.sz.mell.!C30+KV_2.2.sz.mell.!C31</f>
        <v>4213212748</v>
      </c>
      <c r="E8" s="131">
        <f t="shared" ca="1" si="0"/>
        <v>0</v>
      </c>
    </row>
    <row r="9" spans="1:5">
      <c r="A9" s="130"/>
      <c r="B9" s="131"/>
      <c r="C9" s="130"/>
      <c r="D9" s="133"/>
      <c r="E9" s="131"/>
    </row>
    <row r="10" spans="1:5">
      <c r="A10" s="130"/>
      <c r="B10" s="131"/>
      <c r="C10" s="130"/>
      <c r="D10" s="133"/>
      <c r="E10" s="131"/>
    </row>
    <row r="11" spans="1:5" ht="15.75">
      <c r="A11" s="79" t="str">
        <f ca="1">+KV_ÖSSZEFÜGGÉSEK!A12</f>
        <v>2019. évi előirányzat KIADÁSOK</v>
      </c>
      <c r="B11" s="132"/>
      <c r="C11" s="140"/>
      <c r="D11" s="133"/>
      <c r="E11" s="131"/>
    </row>
    <row r="12" spans="1:5">
      <c r="A12" s="130"/>
      <c r="B12" s="131"/>
      <c r="C12" s="130"/>
      <c r="D12" s="133"/>
      <c r="E12" s="131"/>
    </row>
    <row r="13" spans="1:5">
      <c r="A13" s="130" t="s">
        <v>547</v>
      </c>
      <c r="B13" s="131">
        <f ca="1">+KV_1.1.sz.mell.!C133</f>
        <v>4213212748</v>
      </c>
      <c r="C13" s="130" t="s">
        <v>490</v>
      </c>
      <c r="D13" s="133">
        <f ca="1">+KV_2.1.sz.mell.!E18+KV_2.2.sz.mell.!E17</f>
        <v>4213212748</v>
      </c>
      <c r="E13" s="131">
        <f t="shared" ca="1" si="0"/>
        <v>0</v>
      </c>
    </row>
    <row r="14" spans="1:5">
      <c r="A14" s="130" t="s">
        <v>548</v>
      </c>
      <c r="B14" s="131">
        <f ca="1">+KV_1.1.sz.mell.!C158</f>
        <v>0</v>
      </c>
      <c r="C14" s="130" t="s">
        <v>491</v>
      </c>
      <c r="D14" s="133">
        <f ca="1">+KV_2.1.sz.mell.!E29+KV_2.2.sz.mell.!E30</f>
        <v>0</v>
      </c>
      <c r="E14" s="131">
        <f t="shared" ca="1" si="0"/>
        <v>0</v>
      </c>
    </row>
    <row r="15" spans="1:5">
      <c r="A15" s="130" t="s">
        <v>549</v>
      </c>
      <c r="B15" s="131">
        <f ca="1">+KV_1.1.sz.mell.!C159</f>
        <v>4213212748</v>
      </c>
      <c r="C15" s="130" t="s">
        <v>492</v>
      </c>
      <c r="D15" s="133">
        <f ca="1">+KV_2.1.sz.mell.!E30+KV_2.2.sz.mell.!E31</f>
        <v>4213212748</v>
      </c>
      <c r="E15" s="131">
        <f t="shared" ca="1" si="0"/>
        <v>0</v>
      </c>
    </row>
    <row r="16" spans="1:5">
      <c r="A16" s="122"/>
      <c r="B16" s="122"/>
      <c r="C16" s="130"/>
      <c r="D16" s="133"/>
      <c r="E16" s="123"/>
    </row>
    <row r="17" spans="1:5">
      <c r="A17" s="122"/>
      <c r="B17" s="122"/>
      <c r="C17" s="122"/>
      <c r="D17" s="122"/>
      <c r="E17" s="122"/>
    </row>
    <row r="18" spans="1:5">
      <c r="A18" s="122"/>
      <c r="B18" s="122"/>
      <c r="C18" s="122"/>
      <c r="D18" s="122"/>
      <c r="E18" s="122"/>
    </row>
    <row r="19" spans="1:5">
      <c r="A19" s="122"/>
      <c r="B19" s="122"/>
      <c r="C19" s="122"/>
      <c r="D19" s="122"/>
      <c r="E19" s="122"/>
    </row>
  </sheetData>
  <sheetProtection sheet="1"/>
  <phoneticPr fontId="29" type="noConversion"/>
  <conditionalFormatting sqref="E3:E15">
    <cfRule type="cellIs" dxfId="2" priority="1" stopIfTrue="1" operator="notEqual">
      <formula>0</formula>
    </cfRule>
  </conditionalFormatting>
  <pageMargins left="0.79" right="0.56999999999999995" top="0.88" bottom="0.66" header="0.5" footer="0.5"/>
  <pageSetup paperSize="9" scale="95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92D050"/>
  </sheetPr>
  <dimension ref="A1:G14"/>
  <sheetViews>
    <sheetView zoomScale="120" zoomScaleNormal="120" workbookViewId="0">
      <selection activeCell="D7" sqref="D7"/>
    </sheetView>
  </sheetViews>
  <sheetFormatPr defaultRowHeight="15"/>
  <cols>
    <col min="1" max="1" width="5.6640625" style="143" customWidth="1"/>
    <col min="2" max="2" width="35.6640625" style="143" customWidth="1"/>
    <col min="3" max="6" width="14" style="143" customWidth="1"/>
    <col min="7" max="16384" width="9.33203125" style="143"/>
  </cols>
  <sheetData>
    <row r="1" spans="1:7">
      <c r="A1" s="664"/>
      <c r="B1" s="664"/>
      <c r="C1" s="664"/>
      <c r="D1" s="664"/>
      <c r="E1" s="664"/>
      <c r="F1" s="664"/>
    </row>
    <row r="2" spans="1:7">
      <c r="A2" s="664"/>
      <c r="B2" s="817" t="str">
        <f ca="1">CONCATENATE("3. melléklet ",ALAPADATOK!A7," ",ALAPADATOK!B7," ",ALAPADATOK!C7," ",ALAPADATOK!D7," ",ALAPADATOK!E7," ",ALAPADATOK!F7," ",ALAPADATOK!G7," ",ALAPADATOK!H7)</f>
        <v>3. melléklet a … / 2019 ( … ) önkormányzati rendelethez</v>
      </c>
      <c r="C2" s="817"/>
      <c r="D2" s="817"/>
      <c r="E2" s="817"/>
      <c r="F2" s="817"/>
    </row>
    <row r="3" spans="1:7">
      <c r="A3" s="664"/>
      <c r="B3" s="664"/>
      <c r="C3" s="664"/>
      <c r="D3" s="664"/>
      <c r="E3" s="664"/>
      <c r="F3" s="664"/>
    </row>
    <row r="4" spans="1:7" ht="33.200000000000003" customHeight="1">
      <c r="A4" s="831" t="s">
        <v>694</v>
      </c>
      <c r="B4" s="831"/>
      <c r="C4" s="831"/>
      <c r="D4" s="831"/>
      <c r="E4" s="831"/>
      <c r="F4" s="831"/>
    </row>
    <row r="5" spans="1:7" ht="15.95" customHeight="1" thickBot="1">
      <c r="A5" s="665"/>
      <c r="B5" s="665"/>
      <c r="C5" s="832"/>
      <c r="D5" s="832"/>
      <c r="E5" s="839" t="str">
        <f ca="1">KV_2.2.sz.mell.!E2</f>
        <v/>
      </c>
      <c r="F5" s="839"/>
      <c r="G5" s="149"/>
    </row>
    <row r="6" spans="1:7" ht="63.2" customHeight="1">
      <c r="A6" s="835" t="s">
        <v>16</v>
      </c>
      <c r="B6" s="837" t="s">
        <v>197</v>
      </c>
      <c r="C6" s="837" t="s">
        <v>251</v>
      </c>
      <c r="D6" s="837"/>
      <c r="E6" s="837"/>
      <c r="F6" s="833" t="s">
        <v>502</v>
      </c>
    </row>
    <row r="7" spans="1:7" ht="15.75" thickBot="1">
      <c r="A7" s="836"/>
      <c r="B7" s="838"/>
      <c r="C7" s="470">
        <f ca="1">+LEFT(KV_ÖSSZEFÜGGÉSEK!A5,4)+1</f>
        <v>2020</v>
      </c>
      <c r="D7" s="470">
        <f ca="1">+C7+1</f>
        <v>2021</v>
      </c>
      <c r="E7" s="470">
        <f ca="1">+D7+1</f>
        <v>2022</v>
      </c>
      <c r="F7" s="834"/>
    </row>
    <row r="8" spans="1:7" ht="15.75" thickBot="1">
      <c r="A8" s="146"/>
      <c r="B8" s="147" t="s">
        <v>493</v>
      </c>
      <c r="C8" s="147" t="s">
        <v>494</v>
      </c>
      <c r="D8" s="147" t="s">
        <v>495</v>
      </c>
      <c r="E8" s="147" t="s">
        <v>497</v>
      </c>
      <c r="F8" s="148" t="s">
        <v>496</v>
      </c>
    </row>
    <row r="9" spans="1:7">
      <c r="A9" s="145" t="s">
        <v>18</v>
      </c>
      <c r="B9" s="162"/>
      <c r="C9" s="510"/>
      <c r="D9" s="510"/>
      <c r="E9" s="510"/>
      <c r="F9" s="511">
        <f>SUM(C9:E9)</f>
        <v>0</v>
      </c>
    </row>
    <row r="10" spans="1:7">
      <c r="A10" s="144" t="s">
        <v>19</v>
      </c>
      <c r="B10" s="163"/>
      <c r="C10" s="512"/>
      <c r="D10" s="512"/>
      <c r="E10" s="512"/>
      <c r="F10" s="513">
        <f>SUM(C10:E10)</f>
        <v>0</v>
      </c>
    </row>
    <row r="11" spans="1:7">
      <c r="A11" s="144" t="s">
        <v>20</v>
      </c>
      <c r="B11" s="163"/>
      <c r="C11" s="512"/>
      <c r="D11" s="512"/>
      <c r="E11" s="512"/>
      <c r="F11" s="513">
        <f>SUM(C11:E11)</f>
        <v>0</v>
      </c>
    </row>
    <row r="12" spans="1:7">
      <c r="A12" s="144" t="s">
        <v>21</v>
      </c>
      <c r="B12" s="163"/>
      <c r="C12" s="512"/>
      <c r="D12" s="512"/>
      <c r="E12" s="512"/>
      <c r="F12" s="513">
        <f>SUM(C12:E12)</f>
        <v>0</v>
      </c>
    </row>
    <row r="13" spans="1:7" ht="15.75" thickBot="1">
      <c r="A13" s="150" t="s">
        <v>22</v>
      </c>
      <c r="B13" s="164"/>
      <c r="C13" s="514"/>
      <c r="D13" s="514"/>
      <c r="E13" s="514"/>
      <c r="F13" s="513">
        <f>SUM(C13:E13)</f>
        <v>0</v>
      </c>
    </row>
    <row r="14" spans="1:7" s="461" customFormat="1" thickBot="1">
      <c r="A14" s="460" t="s">
        <v>23</v>
      </c>
      <c r="B14" s="151" t="s">
        <v>198</v>
      </c>
      <c r="C14" s="515">
        <f>SUM(C9:C13)</f>
        <v>0</v>
      </c>
      <c r="D14" s="515">
        <f>SUM(D9:D13)</f>
        <v>0</v>
      </c>
      <c r="E14" s="515">
        <f>SUM(E9:E13)</f>
        <v>0</v>
      </c>
      <c r="F14" s="516">
        <f>SUM(F9:F13)</f>
        <v>0</v>
      </c>
    </row>
  </sheetData>
  <sheetProtection sheet="1"/>
  <mergeCells count="8">
    <mergeCell ref="B2:F2"/>
    <mergeCell ref="A4:F4"/>
    <mergeCell ref="C5:D5"/>
    <mergeCell ref="F6:F7"/>
    <mergeCell ref="A6:A7"/>
    <mergeCell ref="B6:B7"/>
    <mergeCell ref="C6:E6"/>
    <mergeCell ref="E5:F5"/>
  </mergeCells>
  <phoneticPr fontId="0" type="noConversion"/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92D050"/>
  </sheetPr>
  <dimension ref="A1:D15"/>
  <sheetViews>
    <sheetView zoomScale="120" zoomScaleNormal="120" workbookViewId="0">
      <selection activeCell="C12" sqref="C12"/>
    </sheetView>
  </sheetViews>
  <sheetFormatPr defaultRowHeight="15"/>
  <cols>
    <col min="1" max="1" width="5.6640625" style="143" customWidth="1"/>
    <col min="2" max="2" width="68.6640625" style="143" customWidth="1"/>
    <col min="3" max="3" width="19.5" style="143" customWidth="1"/>
    <col min="4" max="16384" width="9.33203125" style="143"/>
  </cols>
  <sheetData>
    <row r="1" spans="1:4">
      <c r="A1" s="664"/>
      <c r="B1" s="664"/>
      <c r="C1" s="664"/>
    </row>
    <row r="2" spans="1:4">
      <c r="A2" s="664"/>
      <c r="B2" s="817" t="str">
        <f ca="1">CONCATENATE("4. melléklet ",ALAPADATOK!A7," ",ALAPADATOK!B7," ",ALAPADATOK!C7," ",ALAPADATOK!D7," ",ALAPADATOK!E7," ",ALAPADATOK!F7," ",ALAPADATOK!G7," ",ALAPADATOK!H7)</f>
        <v>4. melléklet a … / 2019 ( … ) önkormányzati rendelethez</v>
      </c>
      <c r="C2" s="817"/>
    </row>
    <row r="3" spans="1:4">
      <c r="A3" s="664"/>
      <c r="B3" s="664"/>
      <c r="C3" s="664"/>
    </row>
    <row r="4" spans="1:4" ht="33.200000000000003" customHeight="1">
      <c r="A4" s="840" t="s">
        <v>695</v>
      </c>
      <c r="B4" s="840"/>
      <c r="C4" s="840"/>
    </row>
    <row r="5" spans="1:4" ht="15.95" customHeight="1" thickBot="1">
      <c r="A5" s="665"/>
      <c r="B5" s="665"/>
      <c r="C5" s="666" t="str">
        <f ca="1">KV_2.2.sz.mell.!E2</f>
        <v/>
      </c>
      <c r="D5" s="149"/>
    </row>
    <row r="6" spans="1:4" ht="26.45" customHeight="1" thickBot="1">
      <c r="A6" s="667" t="s">
        <v>16</v>
      </c>
      <c r="B6" s="668" t="s">
        <v>196</v>
      </c>
      <c r="C6" s="669" t="str">
        <f ca="1">+KV_1.1.sz.mell.!C8</f>
        <v>2019. évi előirányzat</v>
      </c>
    </row>
    <row r="7" spans="1:4" ht="15.75" thickBot="1">
      <c r="A7" s="165"/>
      <c r="B7" s="505" t="s">
        <v>493</v>
      </c>
      <c r="C7" s="506" t="s">
        <v>494</v>
      </c>
    </row>
    <row r="8" spans="1:4">
      <c r="A8" s="166" t="s">
        <v>18</v>
      </c>
      <c r="B8" s="349" t="s">
        <v>503</v>
      </c>
      <c r="C8" s="346">
        <v>1190000000</v>
      </c>
    </row>
    <row r="9" spans="1:4" ht="24.75">
      <c r="A9" s="167" t="s">
        <v>19</v>
      </c>
      <c r="B9" s="378" t="s">
        <v>248</v>
      </c>
      <c r="C9" s="347">
        <v>90000000</v>
      </c>
    </row>
    <row r="10" spans="1:4">
      <c r="A10" s="167" t="s">
        <v>20</v>
      </c>
      <c r="B10" s="379" t="s">
        <v>504</v>
      </c>
      <c r="C10" s="347"/>
    </row>
    <row r="11" spans="1:4" ht="24.75">
      <c r="A11" s="167" t="s">
        <v>21</v>
      </c>
      <c r="B11" s="379" t="s">
        <v>250</v>
      </c>
      <c r="C11" s="347"/>
    </row>
    <row r="12" spans="1:4">
      <c r="A12" s="168" t="s">
        <v>22</v>
      </c>
      <c r="B12" s="379" t="s">
        <v>249</v>
      </c>
      <c r="C12" s="348"/>
    </row>
    <row r="13" spans="1:4" ht="15.75" thickBot="1">
      <c r="A13" s="167" t="s">
        <v>23</v>
      </c>
      <c r="B13" s="380" t="s">
        <v>505</v>
      </c>
      <c r="C13" s="347"/>
    </row>
    <row r="14" spans="1:4" ht="15.75" thickBot="1">
      <c r="A14" s="841" t="s">
        <v>199</v>
      </c>
      <c r="B14" s="842"/>
      <c r="C14" s="169">
        <f>SUM(C8:C13)</f>
        <v>1280000000</v>
      </c>
    </row>
    <row r="15" spans="1:4" ht="23.25" customHeight="1">
      <c r="A15" s="843" t="s">
        <v>227</v>
      </c>
      <c r="B15" s="843"/>
      <c r="C15" s="843"/>
    </row>
  </sheetData>
  <sheetProtection sheet="1"/>
  <mergeCells count="4">
    <mergeCell ref="A4:C4"/>
    <mergeCell ref="A14:B14"/>
    <mergeCell ref="A15:C15"/>
    <mergeCell ref="B2:C2"/>
  </mergeCells>
  <phoneticPr fontId="29" type="noConversion"/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92D050"/>
  </sheetPr>
  <dimension ref="A1:D15"/>
  <sheetViews>
    <sheetView zoomScale="120" zoomScaleNormal="120" workbookViewId="0">
      <selection activeCell="C11" sqref="C11"/>
    </sheetView>
  </sheetViews>
  <sheetFormatPr defaultRowHeight="15"/>
  <cols>
    <col min="1" max="1" width="5.6640625" style="143" customWidth="1"/>
    <col min="2" max="2" width="66.83203125" style="143" customWidth="1"/>
    <col min="3" max="3" width="27" style="143" customWidth="1"/>
    <col min="4" max="16384" width="9.33203125" style="143"/>
  </cols>
  <sheetData>
    <row r="1" spans="1:4">
      <c r="A1" s="664"/>
      <c r="B1" s="664"/>
      <c r="C1" s="664"/>
    </row>
    <row r="2" spans="1:4">
      <c r="A2" s="664"/>
      <c r="B2" s="817" t="str">
        <f ca="1">CONCATENATE("5. melléklet ",ALAPADATOK!A7," ",ALAPADATOK!B7," ",ALAPADATOK!C7," ",ALAPADATOK!D7," ",ALAPADATOK!E7," ",ALAPADATOK!F7," ",ALAPADATOK!G7," ",ALAPADATOK!H7)</f>
        <v>5. melléklet a … / 2019 ( … ) önkormányzati rendelethez</v>
      </c>
      <c r="C2" s="817"/>
    </row>
    <row r="3" spans="1:4">
      <c r="A3" s="664"/>
      <c r="B3" s="664"/>
      <c r="C3" s="664"/>
    </row>
    <row r="4" spans="1:4" ht="33.200000000000003" customHeight="1">
      <c r="A4" s="840" t="s">
        <v>696</v>
      </c>
      <c r="B4" s="840"/>
      <c r="C4" s="840"/>
    </row>
    <row r="5" spans="1:4" ht="15.95" customHeight="1" thickBot="1">
      <c r="A5" s="665"/>
      <c r="B5" s="665"/>
      <c r="C5" s="666" t="str">
        <f ca="1">KV_4.sz.mell.!C5</f>
        <v/>
      </c>
      <c r="D5" s="149"/>
    </row>
    <row r="6" spans="1:4" ht="26.45" customHeight="1" thickBot="1">
      <c r="A6" s="667" t="s">
        <v>16</v>
      </c>
      <c r="B6" s="668" t="s">
        <v>200</v>
      </c>
      <c r="C6" s="669" t="s">
        <v>226</v>
      </c>
    </row>
    <row r="7" spans="1:4" ht="15.75" thickBot="1">
      <c r="A7" s="165"/>
      <c r="B7" s="505" t="s">
        <v>493</v>
      </c>
      <c r="C7" s="506" t="s">
        <v>494</v>
      </c>
    </row>
    <row r="8" spans="1:4">
      <c r="A8" s="166" t="s">
        <v>18</v>
      </c>
      <c r="B8" s="173"/>
      <c r="C8" s="170"/>
    </row>
    <row r="9" spans="1:4">
      <c r="A9" s="167" t="s">
        <v>19</v>
      </c>
      <c r="B9" s="174"/>
      <c r="C9" s="171"/>
    </row>
    <row r="10" spans="1:4" ht="15.75" thickBot="1">
      <c r="A10" s="168" t="s">
        <v>20</v>
      </c>
      <c r="B10" s="175"/>
      <c r="C10" s="172"/>
    </row>
    <row r="11" spans="1:4" s="461" customFormat="1" ht="17.25" customHeight="1" thickBot="1">
      <c r="A11" s="462" t="s">
        <v>21</v>
      </c>
      <c r="B11" s="125" t="s">
        <v>201</v>
      </c>
      <c r="C11" s="169">
        <f>SUM(C8:C10)</f>
        <v>0</v>
      </c>
    </row>
    <row r="15" spans="1:4" ht="15.75">
      <c r="B15" s="119"/>
    </row>
  </sheetData>
  <sheetProtection sheet="1"/>
  <mergeCells count="2">
    <mergeCell ref="A4:C4"/>
    <mergeCell ref="B2:C2"/>
  </mergeCells>
  <phoneticPr fontId="29" type="noConversion"/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O137"/>
  <sheetViews>
    <sheetView topLeftCell="A115" zoomScale="120" zoomScaleNormal="120" workbookViewId="0">
      <selection activeCell="D63" sqref="D63"/>
    </sheetView>
  </sheetViews>
  <sheetFormatPr defaultRowHeight="12.75"/>
  <cols>
    <col min="1" max="1" width="47.1640625" style="42" customWidth="1"/>
    <col min="2" max="2" width="13.5" style="41" customWidth="1"/>
    <col min="3" max="3" width="13.33203125" style="41" customWidth="1"/>
    <col min="4" max="4" width="11.6640625" style="41" customWidth="1"/>
    <col min="5" max="7" width="16.6640625" style="41" customWidth="1"/>
    <col min="8" max="8" width="14.1640625" style="54" customWidth="1"/>
    <col min="9" max="10" width="12.83203125" style="41" customWidth="1"/>
    <col min="11" max="11" width="13.83203125" style="41" customWidth="1"/>
    <col min="12" max="12" width="13" style="41" customWidth="1"/>
    <col min="13" max="14" width="12.6640625" style="41" customWidth="1"/>
    <col min="15" max="15" width="13.5" style="41" customWidth="1"/>
    <col min="16" max="16384" width="9.33203125" style="41"/>
  </cols>
  <sheetData>
    <row r="1" spans="1:15">
      <c r="A1" s="635"/>
      <c r="B1" s="622"/>
      <c r="C1" s="622"/>
      <c r="D1" s="622"/>
      <c r="E1" s="622"/>
      <c r="F1" s="622"/>
      <c r="G1" s="622"/>
      <c r="H1" s="622"/>
    </row>
    <row r="2" spans="1:15" ht="18" customHeight="1">
      <c r="A2" s="635"/>
      <c r="B2" s="845" t="str">
        <f ca="1">CONCATENATE("6. melléklet ",ALAPADATOK!A7," ",ALAPADATOK!B7," ",ALAPADATOK!C7," ",ALAPADATOK!D7," ",ALAPADATOK!E7," ",ALAPADATOK!F7," ",ALAPADATOK!G7," ",ALAPADATOK!H7)</f>
        <v>6. melléklet a … / 2019 ( … ) önkormányzati rendelethez</v>
      </c>
      <c r="C2" s="846"/>
      <c r="D2" s="846"/>
      <c r="E2" s="846"/>
      <c r="F2" s="846"/>
      <c r="G2" s="846"/>
      <c r="H2" s="846"/>
    </row>
    <row r="3" spans="1:15">
      <c r="A3" s="635"/>
      <c r="B3" s="622"/>
      <c r="C3" s="622"/>
      <c r="D3" s="622"/>
      <c r="E3" s="622"/>
      <c r="F3" s="622"/>
      <c r="G3" s="622"/>
      <c r="H3" s="622"/>
    </row>
    <row r="4" spans="1:15" ht="25.5" customHeight="1">
      <c r="A4" s="844" t="s">
        <v>0</v>
      </c>
      <c r="B4" s="844"/>
      <c r="C4" s="844"/>
      <c r="D4" s="844"/>
      <c r="E4" s="844"/>
      <c r="F4" s="844"/>
      <c r="G4" s="844"/>
      <c r="H4" s="844"/>
    </row>
    <row r="5" spans="1:15" ht="22.5" customHeight="1" thickBot="1">
      <c r="A5" s="635"/>
      <c r="B5" s="622"/>
      <c r="C5" s="622"/>
      <c r="D5" s="622"/>
      <c r="E5" s="622"/>
      <c r="F5" s="622"/>
      <c r="G5" s="622"/>
      <c r="H5" s="636" t="str">
        <f ca="1">KV_5.sz.mell.!C5</f>
        <v/>
      </c>
    </row>
    <row r="6" spans="1:15" s="44" customFormat="1" ht="44.45" customHeight="1" thickBot="1">
      <c r="A6" s="637" t="s">
        <v>64</v>
      </c>
      <c r="B6" s="638" t="s">
        <v>65</v>
      </c>
      <c r="C6" s="638" t="s">
        <v>66</v>
      </c>
      <c r="D6" s="638" t="str">
        <f ca="1">+CONCATENATE("Felhasználás   ",LEFT(KV_ÖSSZEFÜGGÉSEK!A5,4)-1,". XII. 31-ig")</f>
        <v>Felhasználás   2018. XII. 31-ig</v>
      </c>
      <c r="E6" s="638" t="str">
        <f ca="1">+KV_1.1.sz.mell.!C8</f>
        <v>2019. évi előirányzat</v>
      </c>
      <c r="F6" s="639" t="s">
        <v>785</v>
      </c>
      <c r="G6" s="761" t="s">
        <v>741</v>
      </c>
      <c r="H6" s="639" t="s">
        <v>747</v>
      </c>
      <c r="I6" s="732" t="s">
        <v>741</v>
      </c>
      <c r="J6" s="639" t="s">
        <v>755</v>
      </c>
      <c r="K6" s="732" t="s">
        <v>741</v>
      </c>
      <c r="L6" s="639" t="s">
        <v>814</v>
      </c>
      <c r="M6" s="732" t="s">
        <v>741</v>
      </c>
      <c r="N6" s="639" t="s">
        <v>831</v>
      </c>
      <c r="O6" s="732" t="s">
        <v>741</v>
      </c>
    </row>
    <row r="7" spans="1:15" s="54" customFormat="1" ht="12" customHeight="1" thickBot="1">
      <c r="A7" s="52" t="s">
        <v>493</v>
      </c>
      <c r="B7" s="53" t="s">
        <v>494</v>
      </c>
      <c r="C7" s="53" t="s">
        <v>495</v>
      </c>
      <c r="D7" s="53" t="s">
        <v>497</v>
      </c>
      <c r="E7" s="53" t="s">
        <v>496</v>
      </c>
      <c r="F7" s="774"/>
      <c r="G7" s="774"/>
      <c r="H7" s="508" t="s">
        <v>562</v>
      </c>
      <c r="I7" s="733"/>
      <c r="J7" s="508" t="s">
        <v>562</v>
      </c>
      <c r="K7" s="733"/>
      <c r="L7" s="508" t="s">
        <v>562</v>
      </c>
      <c r="M7" s="733"/>
      <c r="N7" s="508" t="s">
        <v>562</v>
      </c>
      <c r="O7" s="733"/>
    </row>
    <row r="8" spans="1:15" ht="15.95" customHeight="1">
      <c r="A8" s="688" t="s">
        <v>716</v>
      </c>
      <c r="B8" s="687">
        <v>251365296</v>
      </c>
      <c r="C8" s="463" t="s">
        <v>717</v>
      </c>
      <c r="D8" s="25"/>
      <c r="E8" s="25">
        <v>251365296</v>
      </c>
      <c r="F8" s="775">
        <v>-251365296</v>
      </c>
      <c r="G8" s="775">
        <f>SUM(E8:F8)</f>
        <v>0</v>
      </c>
      <c r="H8" s="729"/>
      <c r="I8" s="734">
        <f>SUM(+H8)</f>
        <v>0</v>
      </c>
      <c r="J8" s="729"/>
      <c r="K8" s="734">
        <f>SUM(I8+J8)</f>
        <v>0</v>
      </c>
      <c r="L8" s="729"/>
      <c r="M8" s="734">
        <f>SUM(K8+L8)</f>
        <v>0</v>
      </c>
      <c r="N8" s="729"/>
      <c r="O8" s="734">
        <f>SUM(M8+N8)</f>
        <v>0</v>
      </c>
    </row>
    <row r="9" spans="1:15" ht="15.95" customHeight="1">
      <c r="A9" s="689" t="s">
        <v>698</v>
      </c>
      <c r="B9" s="25">
        <v>97503021</v>
      </c>
      <c r="C9" s="463" t="s">
        <v>717</v>
      </c>
      <c r="D9" s="25"/>
      <c r="E9" s="25">
        <v>97503021</v>
      </c>
      <c r="F9" s="25"/>
      <c r="G9" s="775">
        <f t="shared" ref="G9:G73" si="0">SUM(E9:F9)</f>
        <v>97503021</v>
      </c>
      <c r="H9" s="730">
        <f t="shared" ref="H9:H19" si="1">B9-D9-E9</f>
        <v>0</v>
      </c>
      <c r="I9" s="734">
        <f t="shared" ref="I9:I29" si="2">SUM(E9+H9)</f>
        <v>97503021</v>
      </c>
      <c r="J9" s="730"/>
      <c r="K9" s="734">
        <f t="shared" ref="K9:K74" si="3">SUM(I9+J9)</f>
        <v>97503021</v>
      </c>
      <c r="L9" s="730">
        <v>-97503021</v>
      </c>
      <c r="M9" s="734">
        <f t="shared" ref="M9:M74" si="4">SUM(K9+L9)</f>
        <v>0</v>
      </c>
      <c r="N9" s="730"/>
      <c r="O9" s="734">
        <f t="shared" ref="O9:O74" si="5">SUM(M9+N9)</f>
        <v>0</v>
      </c>
    </row>
    <row r="10" spans="1:15" ht="33" customHeight="1">
      <c r="A10" s="689" t="s">
        <v>699</v>
      </c>
      <c r="B10" s="25">
        <v>226592645</v>
      </c>
      <c r="C10" s="463" t="s">
        <v>717</v>
      </c>
      <c r="D10" s="25"/>
      <c r="E10" s="25">
        <v>226592645</v>
      </c>
      <c r="F10" s="25"/>
      <c r="G10" s="775">
        <f t="shared" si="0"/>
        <v>226592645</v>
      </c>
      <c r="H10" s="730">
        <f t="shared" si="1"/>
        <v>0</v>
      </c>
      <c r="I10" s="734">
        <f t="shared" si="2"/>
        <v>226592645</v>
      </c>
      <c r="J10" s="730"/>
      <c r="K10" s="734">
        <f t="shared" si="3"/>
        <v>226592645</v>
      </c>
      <c r="L10" s="730">
        <v>-226592645</v>
      </c>
      <c r="M10" s="734">
        <f t="shared" si="4"/>
        <v>0</v>
      </c>
      <c r="N10" s="730"/>
      <c r="O10" s="734">
        <f t="shared" si="5"/>
        <v>0</v>
      </c>
    </row>
    <row r="11" spans="1:15" ht="15.95" customHeight="1">
      <c r="A11" s="689" t="s">
        <v>700</v>
      </c>
      <c r="B11" s="25">
        <v>56848938</v>
      </c>
      <c r="C11" s="463" t="s">
        <v>717</v>
      </c>
      <c r="D11" s="25"/>
      <c r="E11" s="25">
        <v>56848938</v>
      </c>
      <c r="F11" s="25"/>
      <c r="G11" s="775">
        <f t="shared" si="0"/>
        <v>56848938</v>
      </c>
      <c r="H11" s="730">
        <f t="shared" si="1"/>
        <v>0</v>
      </c>
      <c r="I11" s="734">
        <f t="shared" si="2"/>
        <v>56848938</v>
      </c>
      <c r="J11" s="730"/>
      <c r="K11" s="734">
        <f t="shared" si="3"/>
        <v>56848938</v>
      </c>
      <c r="L11" s="730"/>
      <c r="M11" s="734">
        <f t="shared" si="4"/>
        <v>56848938</v>
      </c>
      <c r="N11" s="730"/>
      <c r="O11" s="734">
        <f t="shared" si="5"/>
        <v>56848938</v>
      </c>
    </row>
    <row r="12" spans="1:15" ht="15.95" customHeight="1">
      <c r="A12" s="689" t="s">
        <v>701</v>
      </c>
      <c r="B12" s="25">
        <v>17000000</v>
      </c>
      <c r="C12" s="463" t="s">
        <v>717</v>
      </c>
      <c r="D12" s="25"/>
      <c r="E12" s="25">
        <v>17000000</v>
      </c>
      <c r="F12" s="25"/>
      <c r="G12" s="775">
        <f t="shared" si="0"/>
        <v>17000000</v>
      </c>
      <c r="H12" s="730">
        <f t="shared" si="1"/>
        <v>0</v>
      </c>
      <c r="I12" s="734">
        <f t="shared" si="2"/>
        <v>17000000</v>
      </c>
      <c r="J12" s="730"/>
      <c r="K12" s="734">
        <f t="shared" si="3"/>
        <v>17000000</v>
      </c>
      <c r="L12" s="730"/>
      <c r="M12" s="734">
        <f t="shared" si="4"/>
        <v>17000000</v>
      </c>
      <c r="N12" s="730"/>
      <c r="O12" s="734">
        <f t="shared" si="5"/>
        <v>17000000</v>
      </c>
    </row>
    <row r="13" spans="1:15" ht="15.95" customHeight="1">
      <c r="A13" s="689" t="s">
        <v>702</v>
      </c>
      <c r="B13" s="25">
        <v>12247589</v>
      </c>
      <c r="C13" s="463" t="s">
        <v>717</v>
      </c>
      <c r="D13" s="25"/>
      <c r="E13" s="25">
        <v>12247589</v>
      </c>
      <c r="F13" s="25"/>
      <c r="G13" s="775">
        <f t="shared" si="0"/>
        <v>12247589</v>
      </c>
      <c r="H13" s="730">
        <f t="shared" si="1"/>
        <v>0</v>
      </c>
      <c r="I13" s="734">
        <f t="shared" si="2"/>
        <v>12247589</v>
      </c>
      <c r="J13" s="730"/>
      <c r="K13" s="734">
        <f t="shared" si="3"/>
        <v>12247589</v>
      </c>
      <c r="L13" s="730"/>
      <c r="M13" s="734">
        <f t="shared" si="4"/>
        <v>12247589</v>
      </c>
      <c r="N13" s="730"/>
      <c r="O13" s="734">
        <f t="shared" si="5"/>
        <v>12247589</v>
      </c>
    </row>
    <row r="14" spans="1:15" ht="15.95" customHeight="1">
      <c r="A14" s="689" t="s">
        <v>703</v>
      </c>
      <c r="B14" s="25">
        <v>20828000</v>
      </c>
      <c r="C14" s="463" t="s">
        <v>717</v>
      </c>
      <c r="D14" s="25"/>
      <c r="E14" s="25">
        <v>20828000</v>
      </c>
      <c r="F14" s="25"/>
      <c r="G14" s="775">
        <f t="shared" si="0"/>
        <v>20828000</v>
      </c>
      <c r="H14" s="730">
        <f t="shared" si="1"/>
        <v>0</v>
      </c>
      <c r="I14" s="734">
        <f t="shared" si="2"/>
        <v>20828000</v>
      </c>
      <c r="J14" s="730"/>
      <c r="K14" s="734">
        <f t="shared" si="3"/>
        <v>20828000</v>
      </c>
      <c r="L14" s="730"/>
      <c r="M14" s="734">
        <f t="shared" si="4"/>
        <v>20828000</v>
      </c>
      <c r="N14" s="730"/>
      <c r="O14" s="734">
        <f t="shared" si="5"/>
        <v>20828000</v>
      </c>
    </row>
    <row r="15" spans="1:15" ht="15.95" customHeight="1">
      <c r="A15" s="689" t="s">
        <v>705</v>
      </c>
      <c r="B15" s="25">
        <v>3285490</v>
      </c>
      <c r="C15" s="463" t="s">
        <v>717</v>
      </c>
      <c r="D15" s="25"/>
      <c r="E15" s="25">
        <v>3285490</v>
      </c>
      <c r="F15" s="25"/>
      <c r="G15" s="775">
        <f t="shared" si="0"/>
        <v>3285490</v>
      </c>
      <c r="H15" s="730">
        <f t="shared" si="1"/>
        <v>0</v>
      </c>
      <c r="I15" s="734">
        <f t="shared" si="2"/>
        <v>3285490</v>
      </c>
      <c r="J15" s="730">
        <v>-3285490</v>
      </c>
      <c r="K15" s="734">
        <f t="shared" si="3"/>
        <v>0</v>
      </c>
      <c r="L15" s="730"/>
      <c r="M15" s="734">
        <f t="shared" si="4"/>
        <v>0</v>
      </c>
      <c r="N15" s="730"/>
      <c r="O15" s="734">
        <f t="shared" si="5"/>
        <v>0</v>
      </c>
    </row>
    <row r="16" spans="1:15" ht="15.95" customHeight="1">
      <c r="A16" s="689" t="s">
        <v>706</v>
      </c>
      <c r="B16" s="25">
        <v>12000000</v>
      </c>
      <c r="C16" s="463" t="s">
        <v>717</v>
      </c>
      <c r="D16" s="25"/>
      <c r="E16" s="25">
        <v>12000000</v>
      </c>
      <c r="F16" s="25"/>
      <c r="G16" s="775">
        <f t="shared" si="0"/>
        <v>12000000</v>
      </c>
      <c r="H16" s="730">
        <f t="shared" si="1"/>
        <v>0</v>
      </c>
      <c r="I16" s="734">
        <f t="shared" si="2"/>
        <v>12000000</v>
      </c>
      <c r="J16" s="730">
        <v>8000000</v>
      </c>
      <c r="K16" s="734">
        <f t="shared" si="3"/>
        <v>20000000</v>
      </c>
      <c r="L16" s="730"/>
      <c r="M16" s="734">
        <f t="shared" si="4"/>
        <v>20000000</v>
      </c>
      <c r="N16" s="730"/>
      <c r="O16" s="734">
        <f t="shared" si="5"/>
        <v>20000000</v>
      </c>
    </row>
    <row r="17" spans="1:15" ht="15.95" customHeight="1">
      <c r="A17" s="689" t="s">
        <v>707</v>
      </c>
      <c r="B17" s="25">
        <v>1000000</v>
      </c>
      <c r="C17" s="463" t="s">
        <v>722</v>
      </c>
      <c r="D17" s="25">
        <v>500000</v>
      </c>
      <c r="E17" s="25">
        <v>500000</v>
      </c>
      <c r="F17" s="25"/>
      <c r="G17" s="775">
        <f t="shared" si="0"/>
        <v>500000</v>
      </c>
      <c r="H17" s="730">
        <f t="shared" si="1"/>
        <v>0</v>
      </c>
      <c r="I17" s="734">
        <f t="shared" si="2"/>
        <v>500000</v>
      </c>
      <c r="J17" s="730"/>
      <c r="K17" s="734">
        <f t="shared" si="3"/>
        <v>500000</v>
      </c>
      <c r="L17" s="730">
        <v>-500000</v>
      </c>
      <c r="M17" s="734">
        <f t="shared" si="4"/>
        <v>0</v>
      </c>
      <c r="N17" s="730"/>
      <c r="O17" s="734">
        <f t="shared" si="5"/>
        <v>0</v>
      </c>
    </row>
    <row r="18" spans="1:15" ht="15.95" customHeight="1">
      <c r="A18" s="689" t="s">
        <v>708</v>
      </c>
      <c r="B18" s="25">
        <v>2350000</v>
      </c>
      <c r="C18" s="463" t="s">
        <v>722</v>
      </c>
      <c r="D18" s="25"/>
      <c r="E18" s="25">
        <v>2350000</v>
      </c>
      <c r="F18" s="25"/>
      <c r="G18" s="775">
        <f t="shared" si="0"/>
        <v>2350000</v>
      </c>
      <c r="H18" s="730">
        <f t="shared" si="1"/>
        <v>0</v>
      </c>
      <c r="I18" s="734">
        <f t="shared" si="2"/>
        <v>2350000</v>
      </c>
      <c r="J18" s="730"/>
      <c r="K18" s="734">
        <f t="shared" si="3"/>
        <v>2350000</v>
      </c>
      <c r="L18" s="730"/>
      <c r="M18" s="734">
        <f t="shared" si="4"/>
        <v>2350000</v>
      </c>
      <c r="N18" s="730"/>
      <c r="O18" s="734">
        <f t="shared" si="5"/>
        <v>2350000</v>
      </c>
    </row>
    <row r="19" spans="1:15" ht="15.95" customHeight="1">
      <c r="A19" s="689" t="s">
        <v>709</v>
      </c>
      <c r="B19" s="25">
        <v>79724238</v>
      </c>
      <c r="C19" s="463" t="s">
        <v>717</v>
      </c>
      <c r="D19" s="25"/>
      <c r="E19" s="25">
        <v>79724238</v>
      </c>
      <c r="F19" s="25"/>
      <c r="G19" s="775">
        <f t="shared" si="0"/>
        <v>79724238</v>
      </c>
      <c r="H19" s="730">
        <f t="shared" si="1"/>
        <v>0</v>
      </c>
      <c r="I19" s="734">
        <f t="shared" si="2"/>
        <v>79724238</v>
      </c>
      <c r="J19" s="730"/>
      <c r="K19" s="734">
        <f t="shared" si="3"/>
        <v>79724238</v>
      </c>
      <c r="L19" s="730"/>
      <c r="M19" s="734">
        <f t="shared" si="4"/>
        <v>79724238</v>
      </c>
      <c r="N19" s="730"/>
      <c r="O19" s="734">
        <f t="shared" si="5"/>
        <v>79724238</v>
      </c>
    </row>
    <row r="20" spans="1:15" ht="15.95" customHeight="1">
      <c r="A20" s="689" t="s">
        <v>710</v>
      </c>
      <c r="B20" s="25">
        <v>28768132</v>
      </c>
      <c r="C20" s="463" t="s">
        <v>717</v>
      </c>
      <c r="D20" s="25"/>
      <c r="E20" s="25">
        <v>28763132</v>
      </c>
      <c r="F20" s="25"/>
      <c r="G20" s="775">
        <f t="shared" si="0"/>
        <v>28763132</v>
      </c>
      <c r="H20" s="730"/>
      <c r="I20" s="734">
        <f t="shared" si="2"/>
        <v>28763132</v>
      </c>
      <c r="J20" s="730"/>
      <c r="K20" s="734">
        <f t="shared" si="3"/>
        <v>28763132</v>
      </c>
      <c r="L20" s="730"/>
      <c r="M20" s="734">
        <f t="shared" si="4"/>
        <v>28763132</v>
      </c>
      <c r="N20" s="730"/>
      <c r="O20" s="734">
        <f t="shared" si="5"/>
        <v>28763132</v>
      </c>
    </row>
    <row r="21" spans="1:15" ht="15.95" customHeight="1">
      <c r="A21" s="689" t="s">
        <v>711</v>
      </c>
      <c r="B21" s="26">
        <v>4500000</v>
      </c>
      <c r="C21" s="463" t="s">
        <v>717</v>
      </c>
      <c r="D21" s="26"/>
      <c r="E21" s="26">
        <v>4500000</v>
      </c>
      <c r="F21" s="26"/>
      <c r="G21" s="775">
        <f t="shared" si="0"/>
        <v>4500000</v>
      </c>
      <c r="H21" s="731">
        <v>-4500000</v>
      </c>
      <c r="I21" s="734">
        <f t="shared" si="2"/>
        <v>0</v>
      </c>
      <c r="J21" s="731"/>
      <c r="K21" s="734">
        <f t="shared" si="3"/>
        <v>0</v>
      </c>
      <c r="L21" s="731"/>
      <c r="M21" s="734">
        <f t="shared" si="4"/>
        <v>0</v>
      </c>
      <c r="N21" s="731"/>
      <c r="O21" s="734">
        <f t="shared" si="5"/>
        <v>0</v>
      </c>
    </row>
    <row r="22" spans="1:15" ht="15.95" customHeight="1">
      <c r="A22" s="691" t="s">
        <v>748</v>
      </c>
      <c r="B22" s="26">
        <v>300000</v>
      </c>
      <c r="C22" s="463" t="s">
        <v>749</v>
      </c>
      <c r="D22" s="26"/>
      <c r="E22" s="26"/>
      <c r="F22" s="26"/>
      <c r="G22" s="775">
        <f t="shared" si="0"/>
        <v>0</v>
      </c>
      <c r="H22" s="731">
        <v>300000</v>
      </c>
      <c r="I22" s="734">
        <f t="shared" si="2"/>
        <v>300000</v>
      </c>
      <c r="J22" s="731"/>
      <c r="K22" s="734">
        <f t="shared" si="3"/>
        <v>300000</v>
      </c>
      <c r="L22" s="731"/>
      <c r="M22" s="734">
        <f t="shared" si="4"/>
        <v>300000</v>
      </c>
      <c r="N22" s="731"/>
      <c r="O22" s="734">
        <f t="shared" si="5"/>
        <v>300000</v>
      </c>
    </row>
    <row r="23" spans="1:15" ht="15.95" customHeight="1">
      <c r="A23" s="691" t="s">
        <v>750</v>
      </c>
      <c r="B23" s="26">
        <v>3000000</v>
      </c>
      <c r="C23" s="463" t="s">
        <v>749</v>
      </c>
      <c r="D23" s="26"/>
      <c r="E23" s="26"/>
      <c r="F23" s="26"/>
      <c r="G23" s="775">
        <f t="shared" si="0"/>
        <v>0</v>
      </c>
      <c r="H23" s="731">
        <v>3000000</v>
      </c>
      <c r="I23" s="734">
        <f t="shared" si="2"/>
        <v>3000000</v>
      </c>
      <c r="J23" s="731"/>
      <c r="K23" s="734">
        <f t="shared" si="3"/>
        <v>3000000</v>
      </c>
      <c r="L23" s="731"/>
      <c r="M23" s="734">
        <f t="shared" si="4"/>
        <v>3000000</v>
      </c>
      <c r="N23" s="731"/>
      <c r="O23" s="734">
        <f t="shared" si="5"/>
        <v>3000000</v>
      </c>
    </row>
    <row r="24" spans="1:15" ht="15.95" customHeight="1">
      <c r="A24" s="691" t="s">
        <v>751</v>
      </c>
      <c r="B24" s="26">
        <v>143900</v>
      </c>
      <c r="C24" s="463" t="s">
        <v>749</v>
      </c>
      <c r="D24" s="26"/>
      <c r="E24" s="26"/>
      <c r="F24" s="26"/>
      <c r="G24" s="775">
        <f t="shared" si="0"/>
        <v>0</v>
      </c>
      <c r="H24" s="731">
        <v>143900</v>
      </c>
      <c r="I24" s="734">
        <f t="shared" si="2"/>
        <v>143900</v>
      </c>
      <c r="J24" s="731"/>
      <c r="K24" s="734">
        <f t="shared" si="3"/>
        <v>143900</v>
      </c>
      <c r="L24" s="731"/>
      <c r="M24" s="734">
        <f t="shared" si="4"/>
        <v>143900</v>
      </c>
      <c r="N24" s="731"/>
      <c r="O24" s="734">
        <f t="shared" si="5"/>
        <v>143900</v>
      </c>
    </row>
    <row r="25" spans="1:15" ht="15.95" customHeight="1">
      <c r="A25" s="690" t="s">
        <v>715</v>
      </c>
      <c r="B25" s="26">
        <v>10000000</v>
      </c>
      <c r="C25" s="463" t="s">
        <v>717</v>
      </c>
      <c r="D25" s="26"/>
      <c r="E25" s="26">
        <v>10000000</v>
      </c>
      <c r="F25" s="26"/>
      <c r="G25" s="775">
        <f t="shared" si="0"/>
        <v>10000000</v>
      </c>
      <c r="H25" s="731"/>
      <c r="I25" s="734">
        <f t="shared" si="2"/>
        <v>10000000</v>
      </c>
      <c r="J25" s="731"/>
      <c r="K25" s="734">
        <f t="shared" si="3"/>
        <v>10000000</v>
      </c>
      <c r="L25" s="731"/>
      <c r="M25" s="734">
        <f t="shared" si="4"/>
        <v>10000000</v>
      </c>
      <c r="N25" s="731"/>
      <c r="O25" s="734">
        <f t="shared" si="5"/>
        <v>10000000</v>
      </c>
    </row>
    <row r="26" spans="1:15" ht="33" customHeight="1">
      <c r="A26" s="691" t="s">
        <v>718</v>
      </c>
      <c r="B26" s="26">
        <v>7500000</v>
      </c>
      <c r="C26" s="463" t="s">
        <v>717</v>
      </c>
      <c r="D26" s="26"/>
      <c r="E26" s="26">
        <v>7500000</v>
      </c>
      <c r="F26" s="26"/>
      <c r="G26" s="775">
        <f t="shared" si="0"/>
        <v>7500000</v>
      </c>
      <c r="H26" s="731">
        <v>-7500000</v>
      </c>
      <c r="I26" s="734">
        <f t="shared" si="2"/>
        <v>0</v>
      </c>
      <c r="J26" s="731"/>
      <c r="K26" s="734">
        <f t="shared" si="3"/>
        <v>0</v>
      </c>
      <c r="L26" s="731"/>
      <c r="M26" s="734">
        <f t="shared" si="4"/>
        <v>0</v>
      </c>
      <c r="N26" s="731"/>
      <c r="O26" s="734">
        <f t="shared" si="5"/>
        <v>0</v>
      </c>
    </row>
    <row r="27" spans="1:15" ht="33" customHeight="1">
      <c r="A27" s="689" t="s">
        <v>719</v>
      </c>
      <c r="B27" s="25">
        <v>100000000</v>
      </c>
      <c r="C27" s="463" t="s">
        <v>723</v>
      </c>
      <c r="D27" s="25"/>
      <c r="E27" s="25">
        <v>50000000</v>
      </c>
      <c r="F27" s="25"/>
      <c r="G27" s="775">
        <f t="shared" si="0"/>
        <v>50000000</v>
      </c>
      <c r="H27" s="730">
        <v>-50000000</v>
      </c>
      <c r="I27" s="734">
        <f t="shared" si="2"/>
        <v>0</v>
      </c>
      <c r="J27" s="730"/>
      <c r="K27" s="734">
        <f t="shared" si="3"/>
        <v>0</v>
      </c>
      <c r="L27" s="730"/>
      <c r="M27" s="734">
        <f t="shared" si="4"/>
        <v>0</v>
      </c>
      <c r="N27" s="730"/>
      <c r="O27" s="734">
        <f t="shared" si="5"/>
        <v>0</v>
      </c>
    </row>
    <row r="28" spans="1:15" ht="33" customHeight="1">
      <c r="A28" s="689" t="s">
        <v>720</v>
      </c>
      <c r="B28" s="25">
        <v>58773600</v>
      </c>
      <c r="C28" s="463" t="s">
        <v>717</v>
      </c>
      <c r="D28" s="25"/>
      <c r="E28" s="25">
        <v>58773600</v>
      </c>
      <c r="F28" s="25"/>
      <c r="G28" s="775">
        <f t="shared" si="0"/>
        <v>58773600</v>
      </c>
      <c r="H28" s="730">
        <v>-58773600</v>
      </c>
      <c r="I28" s="734">
        <f t="shared" si="2"/>
        <v>0</v>
      </c>
      <c r="J28" s="730"/>
      <c r="K28" s="734">
        <f t="shared" si="3"/>
        <v>0</v>
      </c>
      <c r="L28" s="730"/>
      <c r="M28" s="734">
        <f t="shared" si="4"/>
        <v>0</v>
      </c>
      <c r="N28" s="730"/>
      <c r="O28" s="734">
        <f t="shared" si="5"/>
        <v>0</v>
      </c>
    </row>
    <row r="29" spans="1:15" ht="23.25" customHeight="1">
      <c r="A29" s="766" t="s">
        <v>721</v>
      </c>
      <c r="B29" s="25">
        <v>3000000</v>
      </c>
      <c r="C29" s="463" t="s">
        <v>717</v>
      </c>
      <c r="D29" s="25"/>
      <c r="E29" s="25">
        <v>3000000</v>
      </c>
      <c r="F29" s="25"/>
      <c r="G29" s="775">
        <f t="shared" si="0"/>
        <v>3000000</v>
      </c>
      <c r="H29" s="730">
        <v>-3000000</v>
      </c>
      <c r="I29" s="734">
        <f t="shared" si="2"/>
        <v>0</v>
      </c>
      <c r="J29" s="730"/>
      <c r="K29" s="734">
        <f t="shared" si="3"/>
        <v>0</v>
      </c>
      <c r="L29" s="730"/>
      <c r="M29" s="734">
        <f t="shared" si="4"/>
        <v>0</v>
      </c>
      <c r="N29" s="730"/>
      <c r="O29" s="734">
        <f t="shared" si="5"/>
        <v>0</v>
      </c>
    </row>
    <row r="30" spans="1:15" ht="23.25" customHeight="1">
      <c r="A30" s="769" t="s">
        <v>757</v>
      </c>
      <c r="B30" s="772">
        <v>95000000</v>
      </c>
      <c r="C30" s="776" t="s">
        <v>717</v>
      </c>
      <c r="D30" s="26"/>
      <c r="E30" s="26"/>
      <c r="F30" s="772">
        <v>95000000</v>
      </c>
      <c r="G30" s="775">
        <f t="shared" si="0"/>
        <v>95000000</v>
      </c>
      <c r="H30" s="731">
        <v>-20000000</v>
      </c>
      <c r="I30" s="734">
        <f>SUM(G30+H30)</f>
        <v>75000000</v>
      </c>
      <c r="J30" s="731">
        <v>-500000</v>
      </c>
      <c r="K30" s="734">
        <f t="shared" si="3"/>
        <v>74500000</v>
      </c>
      <c r="L30" s="731">
        <v>-7296588</v>
      </c>
      <c r="M30" s="734">
        <f t="shared" si="4"/>
        <v>67203412</v>
      </c>
      <c r="N30" s="731">
        <v>-42077335</v>
      </c>
      <c r="O30" s="734">
        <f t="shared" si="5"/>
        <v>25126077</v>
      </c>
    </row>
    <row r="31" spans="1:15" ht="23.25" customHeight="1">
      <c r="A31" s="770" t="s">
        <v>758</v>
      </c>
      <c r="B31" s="772">
        <v>34000000</v>
      </c>
      <c r="C31" s="776" t="s">
        <v>717</v>
      </c>
      <c r="D31" s="26"/>
      <c r="E31" s="26"/>
      <c r="F31" s="772">
        <v>34000000</v>
      </c>
      <c r="G31" s="775">
        <f t="shared" si="0"/>
        <v>34000000</v>
      </c>
      <c r="H31" s="731"/>
      <c r="I31" s="734">
        <f t="shared" ref="I31:I73" si="6">SUM(G31+H31)</f>
        <v>34000000</v>
      </c>
      <c r="J31" s="731">
        <v>-7185099</v>
      </c>
      <c r="K31" s="734">
        <f t="shared" si="3"/>
        <v>26814901</v>
      </c>
      <c r="L31" s="731">
        <v>-5000000</v>
      </c>
      <c r="M31" s="734">
        <f t="shared" si="4"/>
        <v>21814901</v>
      </c>
      <c r="N31" s="731">
        <v>-21814901</v>
      </c>
      <c r="O31" s="734">
        <f t="shared" si="5"/>
        <v>0</v>
      </c>
    </row>
    <row r="32" spans="1:15" ht="23.25" customHeight="1">
      <c r="A32" s="771" t="s">
        <v>759</v>
      </c>
      <c r="B32" s="772">
        <v>508000</v>
      </c>
      <c r="C32" s="777" t="s">
        <v>717</v>
      </c>
      <c r="D32" s="26"/>
      <c r="E32" s="26"/>
      <c r="F32" s="772">
        <v>508000</v>
      </c>
      <c r="G32" s="775">
        <f t="shared" si="0"/>
        <v>508000</v>
      </c>
      <c r="H32" s="731"/>
      <c r="I32" s="734">
        <f t="shared" si="6"/>
        <v>508000</v>
      </c>
      <c r="J32" s="731"/>
      <c r="K32" s="734">
        <f t="shared" si="3"/>
        <v>508000</v>
      </c>
      <c r="L32" s="731"/>
      <c r="M32" s="734">
        <f t="shared" si="4"/>
        <v>508000</v>
      </c>
      <c r="N32" s="731"/>
      <c r="O32" s="734">
        <f t="shared" si="5"/>
        <v>508000</v>
      </c>
    </row>
    <row r="33" spans="1:15" ht="23.25" customHeight="1">
      <c r="A33" s="769" t="s">
        <v>760</v>
      </c>
      <c r="B33" s="772">
        <v>2000000</v>
      </c>
      <c r="C33" s="777" t="s">
        <v>717</v>
      </c>
      <c r="D33" s="26"/>
      <c r="E33" s="26"/>
      <c r="F33" s="772">
        <v>2000000</v>
      </c>
      <c r="G33" s="775">
        <f t="shared" si="0"/>
        <v>2000000</v>
      </c>
      <c r="H33" s="731"/>
      <c r="I33" s="734">
        <f t="shared" si="6"/>
        <v>2000000</v>
      </c>
      <c r="J33" s="731"/>
      <c r="K33" s="734">
        <f t="shared" si="3"/>
        <v>2000000</v>
      </c>
      <c r="L33" s="731"/>
      <c r="M33" s="734">
        <f t="shared" si="4"/>
        <v>2000000</v>
      </c>
      <c r="N33" s="731"/>
      <c r="O33" s="734">
        <f t="shared" si="5"/>
        <v>2000000</v>
      </c>
    </row>
    <row r="34" spans="1:15" ht="23.25" customHeight="1">
      <c r="A34" s="769" t="s">
        <v>761</v>
      </c>
      <c r="B34" s="772">
        <v>3000000</v>
      </c>
      <c r="C34" s="776" t="s">
        <v>717</v>
      </c>
      <c r="D34" s="26"/>
      <c r="E34" s="26"/>
      <c r="F34" s="772">
        <v>3000000</v>
      </c>
      <c r="G34" s="775">
        <f t="shared" si="0"/>
        <v>3000000</v>
      </c>
      <c r="H34" s="731"/>
      <c r="I34" s="734">
        <f t="shared" si="6"/>
        <v>3000000</v>
      </c>
      <c r="J34" s="731"/>
      <c r="K34" s="734">
        <f t="shared" si="3"/>
        <v>3000000</v>
      </c>
      <c r="L34" s="731"/>
      <c r="M34" s="734">
        <f t="shared" si="4"/>
        <v>3000000</v>
      </c>
      <c r="N34" s="731"/>
      <c r="O34" s="734">
        <f t="shared" si="5"/>
        <v>3000000</v>
      </c>
    </row>
    <row r="35" spans="1:15" ht="23.25" customHeight="1">
      <c r="A35" s="769" t="s">
        <v>762</v>
      </c>
      <c r="B35" s="772">
        <v>2000000</v>
      </c>
      <c r="C35" s="776" t="s">
        <v>717</v>
      </c>
      <c r="D35" s="26"/>
      <c r="E35" s="26"/>
      <c r="F35" s="772">
        <v>2000000</v>
      </c>
      <c r="G35" s="775">
        <f t="shared" si="0"/>
        <v>2000000</v>
      </c>
      <c r="H35" s="731"/>
      <c r="I35" s="734">
        <f t="shared" si="6"/>
        <v>2000000</v>
      </c>
      <c r="J35" s="731"/>
      <c r="K35" s="734">
        <f t="shared" si="3"/>
        <v>2000000</v>
      </c>
      <c r="L35" s="731"/>
      <c r="M35" s="734">
        <f t="shared" si="4"/>
        <v>2000000</v>
      </c>
      <c r="N35" s="731"/>
      <c r="O35" s="734">
        <f t="shared" si="5"/>
        <v>2000000</v>
      </c>
    </row>
    <row r="36" spans="1:15" ht="23.25" customHeight="1">
      <c r="A36" s="769" t="s">
        <v>763</v>
      </c>
      <c r="B36" s="772">
        <v>30000000</v>
      </c>
      <c r="C36" s="776" t="s">
        <v>717</v>
      </c>
      <c r="D36" s="26"/>
      <c r="E36" s="26"/>
      <c r="F36" s="772">
        <v>30000000</v>
      </c>
      <c r="G36" s="775">
        <f t="shared" si="0"/>
        <v>30000000</v>
      </c>
      <c r="H36" s="731"/>
      <c r="I36" s="734">
        <f t="shared" si="6"/>
        <v>30000000</v>
      </c>
      <c r="J36" s="731"/>
      <c r="K36" s="734">
        <f t="shared" si="3"/>
        <v>30000000</v>
      </c>
      <c r="L36" s="731"/>
      <c r="M36" s="734">
        <f t="shared" si="4"/>
        <v>30000000</v>
      </c>
      <c r="N36" s="731"/>
      <c r="O36" s="734">
        <f t="shared" si="5"/>
        <v>30000000</v>
      </c>
    </row>
    <row r="37" spans="1:15" ht="23.25" customHeight="1">
      <c r="A37" s="769" t="s">
        <v>764</v>
      </c>
      <c r="B37" s="772">
        <v>3000000</v>
      </c>
      <c r="C37" s="776" t="s">
        <v>717</v>
      </c>
      <c r="D37" s="26"/>
      <c r="E37" s="26"/>
      <c r="F37" s="772">
        <v>3000000</v>
      </c>
      <c r="G37" s="775">
        <f t="shared" si="0"/>
        <v>3000000</v>
      </c>
      <c r="H37" s="731"/>
      <c r="I37" s="734">
        <f t="shared" si="6"/>
        <v>3000000</v>
      </c>
      <c r="J37" s="731"/>
      <c r="K37" s="734">
        <f t="shared" si="3"/>
        <v>3000000</v>
      </c>
      <c r="L37" s="731"/>
      <c r="M37" s="734">
        <f t="shared" si="4"/>
        <v>3000000</v>
      </c>
      <c r="N37" s="731"/>
      <c r="O37" s="734">
        <f t="shared" si="5"/>
        <v>3000000</v>
      </c>
    </row>
    <row r="38" spans="1:15" ht="23.25" customHeight="1">
      <c r="A38" s="771" t="s">
        <v>765</v>
      </c>
      <c r="B38" s="772">
        <v>8000000</v>
      </c>
      <c r="C38" s="776" t="s">
        <v>717</v>
      </c>
      <c r="D38" s="26"/>
      <c r="E38" s="26"/>
      <c r="F38" s="772">
        <v>8000000</v>
      </c>
      <c r="G38" s="775">
        <f t="shared" si="0"/>
        <v>8000000</v>
      </c>
      <c r="H38" s="731"/>
      <c r="I38" s="734">
        <f t="shared" si="6"/>
        <v>8000000</v>
      </c>
      <c r="J38" s="731"/>
      <c r="K38" s="734">
        <f t="shared" si="3"/>
        <v>8000000</v>
      </c>
      <c r="L38" s="731"/>
      <c r="M38" s="734">
        <f t="shared" si="4"/>
        <v>8000000</v>
      </c>
      <c r="N38" s="731"/>
      <c r="O38" s="734">
        <f t="shared" si="5"/>
        <v>8000000</v>
      </c>
    </row>
    <row r="39" spans="1:15" ht="23.25" customHeight="1">
      <c r="A39" s="769" t="s">
        <v>766</v>
      </c>
      <c r="B39" s="772">
        <v>4000000</v>
      </c>
      <c r="C39" s="776" t="s">
        <v>717</v>
      </c>
      <c r="D39" s="26"/>
      <c r="E39" s="26"/>
      <c r="F39" s="772">
        <v>4000000</v>
      </c>
      <c r="G39" s="775">
        <f t="shared" si="0"/>
        <v>4000000</v>
      </c>
      <c r="H39" s="731"/>
      <c r="I39" s="734">
        <f t="shared" si="6"/>
        <v>4000000</v>
      </c>
      <c r="J39" s="731"/>
      <c r="K39" s="734">
        <f t="shared" si="3"/>
        <v>4000000</v>
      </c>
      <c r="L39" s="731">
        <v>500000</v>
      </c>
      <c r="M39" s="734">
        <f t="shared" si="4"/>
        <v>4500000</v>
      </c>
      <c r="N39" s="731"/>
      <c r="O39" s="734">
        <f t="shared" si="5"/>
        <v>4500000</v>
      </c>
    </row>
    <row r="40" spans="1:15" ht="23.25" customHeight="1">
      <c r="A40" s="769" t="s">
        <v>767</v>
      </c>
      <c r="B40" s="772">
        <v>1000000</v>
      </c>
      <c r="C40" s="776" t="s">
        <v>717</v>
      </c>
      <c r="D40" s="26"/>
      <c r="E40" s="26"/>
      <c r="F40" s="772">
        <v>1000000</v>
      </c>
      <c r="G40" s="775">
        <f t="shared" si="0"/>
        <v>1000000</v>
      </c>
      <c r="H40" s="731"/>
      <c r="I40" s="734">
        <f t="shared" si="6"/>
        <v>1000000</v>
      </c>
      <c r="J40" s="731"/>
      <c r="K40" s="734">
        <f t="shared" si="3"/>
        <v>1000000</v>
      </c>
      <c r="L40" s="731"/>
      <c r="M40" s="734">
        <f t="shared" si="4"/>
        <v>1000000</v>
      </c>
      <c r="N40" s="731"/>
      <c r="O40" s="734">
        <f t="shared" si="5"/>
        <v>1000000</v>
      </c>
    </row>
    <row r="41" spans="1:15" ht="23.25" customHeight="1">
      <c r="A41" s="769" t="s">
        <v>768</v>
      </c>
      <c r="B41" s="772">
        <v>1357296</v>
      </c>
      <c r="C41" s="776" t="s">
        <v>717</v>
      </c>
      <c r="D41" s="26"/>
      <c r="E41" s="26"/>
      <c r="F41" s="772">
        <v>1357296</v>
      </c>
      <c r="G41" s="775">
        <f t="shared" si="0"/>
        <v>1357296</v>
      </c>
      <c r="H41" s="731"/>
      <c r="I41" s="734">
        <f t="shared" si="6"/>
        <v>1357296</v>
      </c>
      <c r="J41" s="731"/>
      <c r="K41" s="734">
        <f t="shared" si="3"/>
        <v>1357296</v>
      </c>
      <c r="L41" s="731"/>
      <c r="M41" s="734">
        <f t="shared" si="4"/>
        <v>1357296</v>
      </c>
      <c r="N41" s="731"/>
      <c r="O41" s="734">
        <f t="shared" si="5"/>
        <v>1357296</v>
      </c>
    </row>
    <row r="42" spans="1:15" ht="23.25" customHeight="1">
      <c r="A42" s="769" t="s">
        <v>769</v>
      </c>
      <c r="B42" s="772">
        <v>5000000</v>
      </c>
      <c r="C42" s="776" t="s">
        <v>717</v>
      </c>
      <c r="D42" s="26"/>
      <c r="E42" s="26"/>
      <c r="F42" s="772">
        <v>5000000</v>
      </c>
      <c r="G42" s="775">
        <f t="shared" si="0"/>
        <v>5000000</v>
      </c>
      <c r="H42" s="731"/>
      <c r="I42" s="734">
        <f t="shared" si="6"/>
        <v>5000000</v>
      </c>
      <c r="J42" s="731"/>
      <c r="K42" s="734">
        <f t="shared" si="3"/>
        <v>5000000</v>
      </c>
      <c r="L42" s="731"/>
      <c r="M42" s="734">
        <f t="shared" si="4"/>
        <v>5000000</v>
      </c>
      <c r="N42" s="731"/>
      <c r="O42" s="734">
        <f t="shared" si="5"/>
        <v>5000000</v>
      </c>
    </row>
    <row r="43" spans="1:15" ht="23.25" customHeight="1">
      <c r="A43" s="769" t="s">
        <v>770</v>
      </c>
      <c r="B43" s="772">
        <v>2600000</v>
      </c>
      <c r="C43" s="776" t="s">
        <v>717</v>
      </c>
      <c r="D43" s="26"/>
      <c r="E43" s="26"/>
      <c r="F43" s="772">
        <v>2600000</v>
      </c>
      <c r="G43" s="775">
        <f t="shared" si="0"/>
        <v>2600000</v>
      </c>
      <c r="H43" s="731"/>
      <c r="I43" s="734">
        <f t="shared" si="6"/>
        <v>2600000</v>
      </c>
      <c r="J43" s="731"/>
      <c r="K43" s="734">
        <f t="shared" si="3"/>
        <v>2600000</v>
      </c>
      <c r="L43" s="731"/>
      <c r="M43" s="734">
        <f t="shared" si="4"/>
        <v>2600000</v>
      </c>
      <c r="N43" s="731"/>
      <c r="O43" s="734">
        <f t="shared" si="5"/>
        <v>2600000</v>
      </c>
    </row>
    <row r="44" spans="1:15" ht="23.25" customHeight="1">
      <c r="A44" s="769" t="s">
        <v>771</v>
      </c>
      <c r="B44" s="772">
        <v>4000000</v>
      </c>
      <c r="C44" s="776" t="s">
        <v>717</v>
      </c>
      <c r="D44" s="26"/>
      <c r="E44" s="26"/>
      <c r="F44" s="772">
        <v>4000000</v>
      </c>
      <c r="G44" s="775">
        <f t="shared" si="0"/>
        <v>4000000</v>
      </c>
      <c r="H44" s="731"/>
      <c r="I44" s="734">
        <f t="shared" si="6"/>
        <v>4000000</v>
      </c>
      <c r="J44" s="731"/>
      <c r="K44" s="734">
        <f t="shared" si="3"/>
        <v>4000000</v>
      </c>
      <c r="L44" s="731"/>
      <c r="M44" s="734">
        <f t="shared" si="4"/>
        <v>4000000</v>
      </c>
      <c r="N44" s="731"/>
      <c r="O44" s="734">
        <f t="shared" si="5"/>
        <v>4000000</v>
      </c>
    </row>
    <row r="45" spans="1:15" ht="23.25" customHeight="1">
      <c r="A45" s="769" t="s">
        <v>772</v>
      </c>
      <c r="B45" s="772">
        <v>1200000</v>
      </c>
      <c r="C45" s="776" t="s">
        <v>717</v>
      </c>
      <c r="D45" s="26"/>
      <c r="E45" s="26"/>
      <c r="F45" s="772">
        <v>1200000</v>
      </c>
      <c r="G45" s="775">
        <f t="shared" si="0"/>
        <v>1200000</v>
      </c>
      <c r="H45" s="731"/>
      <c r="I45" s="734">
        <f t="shared" si="6"/>
        <v>1200000</v>
      </c>
      <c r="J45" s="731"/>
      <c r="K45" s="734">
        <f t="shared" si="3"/>
        <v>1200000</v>
      </c>
      <c r="L45" s="731"/>
      <c r="M45" s="734">
        <f t="shared" si="4"/>
        <v>1200000</v>
      </c>
      <c r="N45" s="731"/>
      <c r="O45" s="734">
        <f t="shared" si="5"/>
        <v>1200000</v>
      </c>
    </row>
    <row r="46" spans="1:15" ht="23.25" customHeight="1">
      <c r="A46" s="769" t="s">
        <v>773</v>
      </c>
      <c r="B46" s="772">
        <v>3100000</v>
      </c>
      <c r="C46" s="776" t="s">
        <v>717</v>
      </c>
      <c r="D46" s="26"/>
      <c r="E46" s="26"/>
      <c r="F46" s="772">
        <v>3100000</v>
      </c>
      <c r="G46" s="775">
        <f t="shared" si="0"/>
        <v>3100000</v>
      </c>
      <c r="H46" s="731"/>
      <c r="I46" s="734">
        <f t="shared" si="6"/>
        <v>3100000</v>
      </c>
      <c r="J46" s="731"/>
      <c r="K46" s="734">
        <f t="shared" si="3"/>
        <v>3100000</v>
      </c>
      <c r="L46" s="731"/>
      <c r="M46" s="734">
        <f t="shared" si="4"/>
        <v>3100000</v>
      </c>
      <c r="N46" s="731"/>
      <c r="O46" s="734">
        <f t="shared" si="5"/>
        <v>3100000</v>
      </c>
    </row>
    <row r="47" spans="1:15" ht="23.25" customHeight="1">
      <c r="A47" s="769" t="s">
        <v>774</v>
      </c>
      <c r="B47" s="772">
        <v>1300000</v>
      </c>
      <c r="C47" s="776" t="s">
        <v>717</v>
      </c>
      <c r="D47" s="26"/>
      <c r="E47" s="26"/>
      <c r="F47" s="772">
        <v>1300000</v>
      </c>
      <c r="G47" s="775">
        <f t="shared" si="0"/>
        <v>1300000</v>
      </c>
      <c r="H47" s="731"/>
      <c r="I47" s="734">
        <f t="shared" si="6"/>
        <v>1300000</v>
      </c>
      <c r="J47" s="731"/>
      <c r="K47" s="734">
        <f t="shared" si="3"/>
        <v>1300000</v>
      </c>
      <c r="L47" s="731"/>
      <c r="M47" s="734">
        <f t="shared" si="4"/>
        <v>1300000</v>
      </c>
      <c r="N47" s="731"/>
      <c r="O47" s="734">
        <f t="shared" si="5"/>
        <v>1300000</v>
      </c>
    </row>
    <row r="48" spans="1:15" ht="23.25" customHeight="1">
      <c r="A48" s="769" t="s">
        <v>775</v>
      </c>
      <c r="B48" s="772">
        <v>20000000</v>
      </c>
      <c r="C48" s="776" t="s">
        <v>717</v>
      </c>
      <c r="D48" s="26"/>
      <c r="E48" s="26"/>
      <c r="F48" s="772">
        <v>20000000</v>
      </c>
      <c r="G48" s="775">
        <f t="shared" si="0"/>
        <v>20000000</v>
      </c>
      <c r="H48" s="731"/>
      <c r="I48" s="734">
        <f t="shared" si="6"/>
        <v>20000000</v>
      </c>
      <c r="J48" s="731"/>
      <c r="K48" s="734">
        <f t="shared" si="3"/>
        <v>20000000</v>
      </c>
      <c r="L48" s="731"/>
      <c r="M48" s="734">
        <f t="shared" si="4"/>
        <v>20000000</v>
      </c>
      <c r="N48" s="731"/>
      <c r="O48" s="734">
        <f t="shared" si="5"/>
        <v>20000000</v>
      </c>
    </row>
    <row r="49" spans="1:15" ht="23.25" customHeight="1">
      <c r="A49" s="769" t="s">
        <v>776</v>
      </c>
      <c r="B49" s="772">
        <v>4000000</v>
      </c>
      <c r="C49" s="776" t="s">
        <v>717</v>
      </c>
      <c r="D49" s="26"/>
      <c r="E49" s="26"/>
      <c r="F49" s="772">
        <v>4000000</v>
      </c>
      <c r="G49" s="775">
        <f t="shared" si="0"/>
        <v>4000000</v>
      </c>
      <c r="H49" s="731"/>
      <c r="I49" s="734">
        <f t="shared" si="6"/>
        <v>4000000</v>
      </c>
      <c r="J49" s="731"/>
      <c r="K49" s="734">
        <f t="shared" si="3"/>
        <v>4000000</v>
      </c>
      <c r="L49" s="731"/>
      <c r="M49" s="734">
        <f t="shared" si="4"/>
        <v>4000000</v>
      </c>
      <c r="N49" s="731"/>
      <c r="O49" s="734">
        <f t="shared" si="5"/>
        <v>4000000</v>
      </c>
    </row>
    <row r="50" spans="1:15" ht="23.25" customHeight="1">
      <c r="A50" s="771" t="s">
        <v>777</v>
      </c>
      <c r="B50" s="773">
        <v>5000000</v>
      </c>
      <c r="C50" s="776" t="s">
        <v>717</v>
      </c>
      <c r="D50" s="26"/>
      <c r="E50" s="26"/>
      <c r="F50" s="773">
        <v>5000000</v>
      </c>
      <c r="G50" s="775">
        <f t="shared" si="0"/>
        <v>5000000</v>
      </c>
      <c r="H50" s="731"/>
      <c r="I50" s="734">
        <f t="shared" si="6"/>
        <v>5000000</v>
      </c>
      <c r="J50" s="731"/>
      <c r="K50" s="734">
        <f t="shared" si="3"/>
        <v>5000000</v>
      </c>
      <c r="L50" s="731"/>
      <c r="M50" s="734">
        <f t="shared" si="4"/>
        <v>5000000</v>
      </c>
      <c r="N50" s="731"/>
      <c r="O50" s="734">
        <f t="shared" si="5"/>
        <v>5000000</v>
      </c>
    </row>
    <row r="51" spans="1:15" ht="23.25" customHeight="1">
      <c r="A51" s="771" t="s">
        <v>778</v>
      </c>
      <c r="B51" s="773">
        <v>300000</v>
      </c>
      <c r="C51" s="776" t="s">
        <v>717</v>
      </c>
      <c r="D51" s="26"/>
      <c r="E51" s="26"/>
      <c r="F51" s="773">
        <v>300000</v>
      </c>
      <c r="G51" s="775">
        <f t="shared" si="0"/>
        <v>300000</v>
      </c>
      <c r="H51" s="731"/>
      <c r="I51" s="734">
        <f t="shared" si="6"/>
        <v>300000</v>
      </c>
      <c r="J51" s="731"/>
      <c r="K51" s="734">
        <f t="shared" si="3"/>
        <v>300000</v>
      </c>
      <c r="L51" s="731"/>
      <c r="M51" s="734">
        <f t="shared" si="4"/>
        <v>300000</v>
      </c>
      <c r="N51" s="731"/>
      <c r="O51" s="734">
        <f t="shared" si="5"/>
        <v>300000</v>
      </c>
    </row>
    <row r="52" spans="1:15" ht="23.25" customHeight="1">
      <c r="A52" s="771" t="s">
        <v>779</v>
      </c>
      <c r="B52" s="773">
        <v>3000000</v>
      </c>
      <c r="C52" s="776" t="s">
        <v>717</v>
      </c>
      <c r="D52" s="26"/>
      <c r="E52" s="26"/>
      <c r="F52" s="773">
        <v>3000000</v>
      </c>
      <c r="G52" s="775">
        <f t="shared" si="0"/>
        <v>3000000</v>
      </c>
      <c r="H52" s="731"/>
      <c r="I52" s="734">
        <f t="shared" si="6"/>
        <v>3000000</v>
      </c>
      <c r="J52" s="731"/>
      <c r="K52" s="734">
        <f t="shared" si="3"/>
        <v>3000000</v>
      </c>
      <c r="L52" s="731"/>
      <c r="M52" s="734">
        <f t="shared" si="4"/>
        <v>3000000</v>
      </c>
      <c r="N52" s="731"/>
      <c r="O52" s="734">
        <f t="shared" si="5"/>
        <v>3000000</v>
      </c>
    </row>
    <row r="53" spans="1:15" ht="23.25" customHeight="1">
      <c r="A53" s="771" t="s">
        <v>780</v>
      </c>
      <c r="B53" s="773">
        <v>1000000</v>
      </c>
      <c r="C53" s="776" t="s">
        <v>717</v>
      </c>
      <c r="D53" s="26"/>
      <c r="E53" s="26"/>
      <c r="F53" s="773">
        <v>1000000</v>
      </c>
      <c r="G53" s="775">
        <f t="shared" si="0"/>
        <v>1000000</v>
      </c>
      <c r="H53" s="731"/>
      <c r="I53" s="734">
        <f t="shared" si="6"/>
        <v>1000000</v>
      </c>
      <c r="J53" s="731"/>
      <c r="K53" s="734">
        <f t="shared" si="3"/>
        <v>1000000</v>
      </c>
      <c r="L53" s="731"/>
      <c r="M53" s="734">
        <f t="shared" si="4"/>
        <v>1000000</v>
      </c>
      <c r="N53" s="731"/>
      <c r="O53" s="734">
        <f t="shared" si="5"/>
        <v>1000000</v>
      </c>
    </row>
    <row r="54" spans="1:15" ht="23.25" customHeight="1">
      <c r="A54" s="771" t="s">
        <v>781</v>
      </c>
      <c r="B54" s="773">
        <v>1000000</v>
      </c>
      <c r="C54" s="776" t="s">
        <v>717</v>
      </c>
      <c r="D54" s="26"/>
      <c r="E54" s="26"/>
      <c r="F54" s="773">
        <v>1000000</v>
      </c>
      <c r="G54" s="775">
        <f t="shared" si="0"/>
        <v>1000000</v>
      </c>
      <c r="H54" s="731"/>
      <c r="I54" s="734">
        <f t="shared" si="6"/>
        <v>1000000</v>
      </c>
      <c r="J54" s="731"/>
      <c r="K54" s="734">
        <f t="shared" si="3"/>
        <v>1000000</v>
      </c>
      <c r="L54" s="731"/>
      <c r="M54" s="734">
        <f t="shared" si="4"/>
        <v>1000000</v>
      </c>
      <c r="N54" s="731"/>
      <c r="O54" s="734">
        <f t="shared" si="5"/>
        <v>1000000</v>
      </c>
    </row>
    <row r="55" spans="1:15" ht="23.25" customHeight="1">
      <c r="A55" s="771" t="s">
        <v>782</v>
      </c>
      <c r="B55" s="773">
        <v>6000000</v>
      </c>
      <c r="C55" s="776" t="s">
        <v>717</v>
      </c>
      <c r="D55" s="26"/>
      <c r="E55" s="26"/>
      <c r="F55" s="773">
        <v>6000000</v>
      </c>
      <c r="G55" s="775">
        <f t="shared" si="0"/>
        <v>6000000</v>
      </c>
      <c r="H55" s="731"/>
      <c r="I55" s="734">
        <f t="shared" si="6"/>
        <v>6000000</v>
      </c>
      <c r="J55" s="731"/>
      <c r="K55" s="734">
        <f t="shared" si="3"/>
        <v>6000000</v>
      </c>
      <c r="L55" s="731"/>
      <c r="M55" s="734">
        <f t="shared" si="4"/>
        <v>6000000</v>
      </c>
      <c r="N55" s="731"/>
      <c r="O55" s="734">
        <f t="shared" si="5"/>
        <v>6000000</v>
      </c>
    </row>
    <row r="56" spans="1:15" ht="23.25" customHeight="1">
      <c r="A56" s="771" t="s">
        <v>783</v>
      </c>
      <c r="B56" s="773">
        <v>8000000</v>
      </c>
      <c r="C56" s="776" t="s">
        <v>717</v>
      </c>
      <c r="D56" s="26"/>
      <c r="E56" s="26"/>
      <c r="F56" s="793">
        <v>8000000</v>
      </c>
      <c r="G56" s="775">
        <f t="shared" si="0"/>
        <v>8000000</v>
      </c>
      <c r="H56" s="731"/>
      <c r="I56" s="734">
        <f t="shared" si="6"/>
        <v>8000000</v>
      </c>
      <c r="J56" s="731"/>
      <c r="K56" s="734">
        <f t="shared" si="3"/>
        <v>8000000</v>
      </c>
      <c r="L56" s="731"/>
      <c r="M56" s="734">
        <f t="shared" si="4"/>
        <v>8000000</v>
      </c>
      <c r="N56" s="731">
        <v>-874351</v>
      </c>
      <c r="O56" s="734">
        <f t="shared" si="5"/>
        <v>7125649</v>
      </c>
    </row>
    <row r="57" spans="1:15" ht="23.25" customHeight="1">
      <c r="A57" s="771" t="s">
        <v>784</v>
      </c>
      <c r="B57" s="773">
        <v>2000000</v>
      </c>
      <c r="C57" s="776" t="s">
        <v>717</v>
      </c>
      <c r="D57" s="26"/>
      <c r="E57" s="26"/>
      <c r="F57" s="773">
        <v>2000000</v>
      </c>
      <c r="G57" s="775">
        <f t="shared" si="0"/>
        <v>2000000</v>
      </c>
      <c r="H57" s="731"/>
      <c r="I57" s="734">
        <f t="shared" si="6"/>
        <v>2000000</v>
      </c>
      <c r="J57" s="731"/>
      <c r="K57" s="734">
        <f t="shared" si="3"/>
        <v>2000000</v>
      </c>
      <c r="L57" s="731"/>
      <c r="M57" s="734">
        <f t="shared" si="4"/>
        <v>2000000</v>
      </c>
      <c r="N57" s="731"/>
      <c r="O57" s="734">
        <f t="shared" si="5"/>
        <v>2000000</v>
      </c>
    </row>
    <row r="58" spans="1:15" ht="23.25" customHeight="1">
      <c r="A58" s="785" t="s">
        <v>791</v>
      </c>
      <c r="B58" s="786"/>
      <c r="C58" s="776" t="s">
        <v>792</v>
      </c>
      <c r="D58" s="26"/>
      <c r="E58" s="26"/>
      <c r="F58" s="786"/>
      <c r="G58" s="775"/>
      <c r="H58" s="731"/>
      <c r="I58" s="734"/>
      <c r="J58" s="731">
        <v>62252000</v>
      </c>
      <c r="K58" s="734">
        <f t="shared" si="3"/>
        <v>62252000</v>
      </c>
      <c r="L58" s="731"/>
      <c r="M58" s="734">
        <f t="shared" si="4"/>
        <v>62252000</v>
      </c>
      <c r="N58" s="731"/>
      <c r="O58" s="734">
        <f t="shared" si="5"/>
        <v>62252000</v>
      </c>
    </row>
    <row r="59" spans="1:15" ht="23.25" customHeight="1">
      <c r="A59" s="785" t="s">
        <v>793</v>
      </c>
      <c r="B59" s="786"/>
      <c r="C59" s="776" t="s">
        <v>749</v>
      </c>
      <c r="D59" s="26"/>
      <c r="E59" s="26"/>
      <c r="F59" s="786"/>
      <c r="G59" s="775"/>
      <c r="H59" s="731"/>
      <c r="I59" s="734"/>
      <c r="J59" s="731">
        <v>762000</v>
      </c>
      <c r="K59" s="734">
        <f t="shared" si="3"/>
        <v>762000</v>
      </c>
      <c r="L59" s="731"/>
      <c r="M59" s="734">
        <f t="shared" si="4"/>
        <v>762000</v>
      </c>
      <c r="N59" s="731">
        <v>419273</v>
      </c>
      <c r="O59" s="734">
        <f t="shared" si="5"/>
        <v>1181273</v>
      </c>
    </row>
    <row r="60" spans="1:15" ht="23.25" customHeight="1">
      <c r="A60" s="785" t="s">
        <v>794</v>
      </c>
      <c r="B60" s="786"/>
      <c r="C60" s="776" t="s">
        <v>749</v>
      </c>
      <c r="D60" s="26"/>
      <c r="E60" s="26"/>
      <c r="F60" s="786"/>
      <c r="G60" s="775"/>
      <c r="H60" s="731"/>
      <c r="I60" s="734"/>
      <c r="J60" s="731">
        <v>3500000</v>
      </c>
      <c r="K60" s="734">
        <f t="shared" si="3"/>
        <v>3500000</v>
      </c>
      <c r="L60" s="731"/>
      <c r="M60" s="734">
        <f t="shared" si="4"/>
        <v>3500000</v>
      </c>
      <c r="N60" s="731"/>
      <c r="O60" s="734">
        <f t="shared" si="5"/>
        <v>3500000</v>
      </c>
    </row>
    <row r="61" spans="1:15" ht="23.25" customHeight="1">
      <c r="A61" s="785" t="s">
        <v>795</v>
      </c>
      <c r="B61" s="786"/>
      <c r="C61" s="776" t="s">
        <v>749</v>
      </c>
      <c r="D61" s="26"/>
      <c r="E61" s="26"/>
      <c r="F61" s="786"/>
      <c r="G61" s="775"/>
      <c r="H61" s="731"/>
      <c r="I61" s="734"/>
      <c r="J61" s="731">
        <v>500000</v>
      </c>
      <c r="K61" s="734">
        <f t="shared" si="3"/>
        <v>500000</v>
      </c>
      <c r="L61" s="731"/>
      <c r="M61" s="734">
        <f t="shared" si="4"/>
        <v>500000</v>
      </c>
      <c r="N61" s="731"/>
      <c r="O61" s="734">
        <f t="shared" si="5"/>
        <v>500000</v>
      </c>
    </row>
    <row r="62" spans="1:15" ht="23.25" customHeight="1">
      <c r="A62" s="785" t="s">
        <v>796</v>
      </c>
      <c r="B62" s="786"/>
      <c r="C62" s="776" t="s">
        <v>749</v>
      </c>
      <c r="D62" s="26"/>
      <c r="E62" s="26"/>
      <c r="F62" s="786"/>
      <c r="G62" s="775"/>
      <c r="H62" s="731"/>
      <c r="I62" s="734"/>
      <c r="J62" s="731">
        <v>5111500</v>
      </c>
      <c r="K62" s="734">
        <f t="shared" si="3"/>
        <v>5111500</v>
      </c>
      <c r="L62" s="731"/>
      <c r="M62" s="734">
        <f t="shared" si="4"/>
        <v>5111500</v>
      </c>
      <c r="N62" s="731"/>
      <c r="O62" s="734">
        <f t="shared" si="5"/>
        <v>5111500</v>
      </c>
    </row>
    <row r="63" spans="1:15" ht="23.25" customHeight="1">
      <c r="A63" s="785" t="s">
        <v>816</v>
      </c>
      <c r="B63" s="786"/>
      <c r="C63" s="776" t="s">
        <v>817</v>
      </c>
      <c r="D63" s="26"/>
      <c r="E63" s="26"/>
      <c r="F63" s="786"/>
      <c r="G63" s="775"/>
      <c r="H63" s="731"/>
      <c r="I63" s="734"/>
      <c r="J63" s="731"/>
      <c r="K63" s="734"/>
      <c r="L63" s="731">
        <v>4300500</v>
      </c>
      <c r="M63" s="734">
        <f t="shared" si="4"/>
        <v>4300500</v>
      </c>
      <c r="N63" s="731">
        <v>-3576062</v>
      </c>
      <c r="O63" s="734">
        <f t="shared" si="5"/>
        <v>724438</v>
      </c>
    </row>
    <row r="64" spans="1:15" ht="23.25" customHeight="1">
      <c r="A64" s="785" t="s">
        <v>821</v>
      </c>
      <c r="B64" s="786"/>
      <c r="C64" s="776" t="s">
        <v>818</v>
      </c>
      <c r="D64" s="26"/>
      <c r="E64" s="26"/>
      <c r="F64" s="786"/>
      <c r="G64" s="775"/>
      <c r="H64" s="731"/>
      <c r="I64" s="734"/>
      <c r="J64" s="731"/>
      <c r="K64" s="734"/>
      <c r="L64" s="731">
        <v>479500</v>
      </c>
      <c r="M64" s="734">
        <f t="shared" si="4"/>
        <v>479500</v>
      </c>
      <c r="N64" s="731"/>
      <c r="O64" s="734">
        <f t="shared" si="5"/>
        <v>479500</v>
      </c>
    </row>
    <row r="65" spans="1:15" ht="23.25" customHeight="1">
      <c r="A65" s="785" t="s">
        <v>822</v>
      </c>
      <c r="B65" s="786"/>
      <c r="C65" s="776" t="s">
        <v>819</v>
      </c>
      <c r="D65" s="26"/>
      <c r="E65" s="26"/>
      <c r="F65" s="786"/>
      <c r="G65" s="775"/>
      <c r="H65" s="731"/>
      <c r="I65" s="734"/>
      <c r="J65" s="731"/>
      <c r="K65" s="734"/>
      <c r="L65" s="731"/>
      <c r="M65" s="734">
        <f t="shared" si="4"/>
        <v>0</v>
      </c>
      <c r="N65" s="731"/>
      <c r="O65" s="734">
        <f t="shared" si="5"/>
        <v>0</v>
      </c>
    </row>
    <row r="66" spans="1:15" ht="23.25" customHeight="1">
      <c r="A66" s="785" t="s">
        <v>823</v>
      </c>
      <c r="B66" s="786"/>
      <c r="C66" s="776"/>
      <c r="D66" s="26"/>
      <c r="E66" s="26"/>
      <c r="F66" s="786"/>
      <c r="G66" s="775"/>
      <c r="H66" s="731"/>
      <c r="I66" s="734"/>
      <c r="J66" s="731"/>
      <c r="K66" s="734"/>
      <c r="L66" s="731">
        <v>6000000</v>
      </c>
      <c r="M66" s="734">
        <f t="shared" si="4"/>
        <v>6000000</v>
      </c>
      <c r="N66" s="731"/>
      <c r="O66" s="734">
        <f t="shared" si="5"/>
        <v>6000000</v>
      </c>
    </row>
    <row r="67" spans="1:15" ht="23.25" customHeight="1">
      <c r="A67" s="785" t="s">
        <v>824</v>
      </c>
      <c r="B67" s="786"/>
      <c r="C67" s="776"/>
      <c r="D67" s="26"/>
      <c r="E67" s="26"/>
      <c r="F67" s="786"/>
      <c r="G67" s="775"/>
      <c r="H67" s="731"/>
      <c r="I67" s="734"/>
      <c r="J67" s="731"/>
      <c r="K67" s="734"/>
      <c r="L67" s="731">
        <v>2000000</v>
      </c>
      <c r="M67" s="734">
        <f t="shared" si="4"/>
        <v>2000000</v>
      </c>
      <c r="N67" s="731">
        <v>6147690</v>
      </c>
      <c r="O67" s="734">
        <f t="shared" si="5"/>
        <v>8147690</v>
      </c>
    </row>
    <row r="68" spans="1:15" ht="23.25" customHeight="1">
      <c r="A68" s="785" t="s">
        <v>842</v>
      </c>
      <c r="B68" s="786"/>
      <c r="C68" s="776"/>
      <c r="D68" s="26"/>
      <c r="E68" s="26"/>
      <c r="F68" s="786"/>
      <c r="G68" s="775"/>
      <c r="H68" s="731"/>
      <c r="I68" s="734"/>
      <c r="J68" s="731"/>
      <c r="K68" s="734"/>
      <c r="L68" s="731"/>
      <c r="M68" s="734"/>
      <c r="N68" s="731">
        <v>5000000</v>
      </c>
      <c r="O68" s="734">
        <f t="shared" si="5"/>
        <v>5000000</v>
      </c>
    </row>
    <row r="69" spans="1:15" ht="23.25" customHeight="1">
      <c r="A69" s="785"/>
      <c r="B69" s="786"/>
      <c r="C69" s="776"/>
      <c r="D69" s="26"/>
      <c r="E69" s="26"/>
      <c r="F69" s="786"/>
      <c r="G69" s="775"/>
      <c r="H69" s="731"/>
      <c r="I69" s="734"/>
      <c r="J69" s="731"/>
      <c r="K69" s="734"/>
      <c r="L69" s="731"/>
      <c r="M69" s="734"/>
      <c r="N69" s="731"/>
      <c r="O69" s="734">
        <f t="shared" si="5"/>
        <v>0</v>
      </c>
    </row>
    <row r="70" spans="1:15" ht="23.25" customHeight="1">
      <c r="A70" s="785" t="s">
        <v>840</v>
      </c>
      <c r="B70" s="786"/>
      <c r="C70" s="776"/>
      <c r="D70" s="26"/>
      <c r="E70" s="26"/>
      <c r="F70" s="786"/>
      <c r="G70" s="775"/>
      <c r="H70" s="731"/>
      <c r="I70" s="734"/>
      <c r="J70" s="731"/>
      <c r="K70" s="734"/>
      <c r="L70" s="731"/>
      <c r="M70" s="734"/>
      <c r="N70" s="731">
        <v>516000</v>
      </c>
      <c r="O70" s="734">
        <f t="shared" si="5"/>
        <v>516000</v>
      </c>
    </row>
    <row r="71" spans="1:15" ht="23.25" customHeight="1">
      <c r="A71" s="785" t="s">
        <v>841</v>
      </c>
      <c r="B71" s="786"/>
      <c r="C71" s="776"/>
      <c r="D71" s="26"/>
      <c r="E71" s="26"/>
      <c r="F71" s="786"/>
      <c r="G71" s="775"/>
      <c r="H71" s="731"/>
      <c r="I71" s="734"/>
      <c r="J71" s="731"/>
      <c r="K71" s="734"/>
      <c r="L71" s="731"/>
      <c r="M71" s="734"/>
      <c r="N71" s="731">
        <v>1000000</v>
      </c>
      <c r="O71" s="734">
        <f t="shared" si="5"/>
        <v>1000000</v>
      </c>
    </row>
    <row r="72" spans="1:15" ht="23.25" customHeight="1">
      <c r="A72" s="785" t="s">
        <v>839</v>
      </c>
      <c r="B72" s="786"/>
      <c r="C72" s="776"/>
      <c r="D72" s="26"/>
      <c r="E72" s="26"/>
      <c r="F72" s="786"/>
      <c r="G72" s="775"/>
      <c r="H72" s="731"/>
      <c r="I72" s="734"/>
      <c r="J72" s="731"/>
      <c r="K72" s="734"/>
      <c r="L72" s="731"/>
      <c r="M72" s="734">
        <f t="shared" si="4"/>
        <v>0</v>
      </c>
      <c r="N72" s="731">
        <v>1112000</v>
      </c>
      <c r="O72" s="734">
        <f t="shared" si="5"/>
        <v>1112000</v>
      </c>
    </row>
    <row r="73" spans="1:15" ht="23.25" customHeight="1" thickBot="1">
      <c r="A73" s="748"/>
      <c r="B73" s="767"/>
      <c r="C73" s="776" t="s">
        <v>820</v>
      </c>
      <c r="D73" s="767"/>
      <c r="E73" s="767"/>
      <c r="F73" s="767"/>
      <c r="G73" s="775">
        <f t="shared" si="0"/>
        <v>0</v>
      </c>
      <c r="H73" s="768"/>
      <c r="I73" s="734">
        <f t="shared" si="6"/>
        <v>0</v>
      </c>
      <c r="J73" s="768"/>
      <c r="K73" s="734">
        <f t="shared" si="3"/>
        <v>0</v>
      </c>
      <c r="L73" s="768"/>
      <c r="M73" s="734">
        <f t="shared" si="4"/>
        <v>0</v>
      </c>
      <c r="N73" s="768"/>
      <c r="O73" s="734">
        <f t="shared" si="5"/>
        <v>0</v>
      </c>
    </row>
    <row r="74" spans="1:15" s="57" customFormat="1" ht="18" customHeight="1" thickBot="1">
      <c r="A74" s="181" t="s">
        <v>63</v>
      </c>
      <c r="B74" s="56">
        <f>SUM(B8:B29)</f>
        <v>996730849</v>
      </c>
      <c r="C74" s="114"/>
      <c r="D74" s="56">
        <f>SUM(D8:D29)</f>
        <v>500000</v>
      </c>
      <c r="E74" s="56">
        <f>SUM(E8:E29)</f>
        <v>942781949</v>
      </c>
      <c r="F74" s="56">
        <f>SUM(F8:F73)</f>
        <v>0</v>
      </c>
      <c r="G74" s="56"/>
      <c r="H74" s="56">
        <f>SUM(H8:H73)</f>
        <v>-140329700</v>
      </c>
      <c r="I74" s="735">
        <f>SUM(E74+H74)</f>
        <v>802452249</v>
      </c>
      <c r="J74" s="56">
        <f>SUM(J8:J73)</f>
        <v>69154911</v>
      </c>
      <c r="K74" s="735">
        <f t="shared" si="3"/>
        <v>871607160</v>
      </c>
      <c r="L74" s="56">
        <f>SUM(L8:L73)</f>
        <v>-323612254</v>
      </c>
      <c r="M74" s="735">
        <f t="shared" si="4"/>
        <v>547994906</v>
      </c>
      <c r="N74" s="56">
        <f>SUM(N8:N73)</f>
        <v>-54147686</v>
      </c>
      <c r="O74" s="735">
        <f t="shared" si="5"/>
        <v>493847220</v>
      </c>
    </row>
    <row r="75" spans="1:15" s="57" customFormat="1" ht="18" customHeight="1">
      <c r="A75" s="736"/>
      <c r="B75" s="737"/>
      <c r="C75" s="738"/>
      <c r="D75" s="737"/>
      <c r="E75" s="737"/>
      <c r="F75" s="737"/>
      <c r="G75" s="737"/>
      <c r="H75" s="737"/>
      <c r="I75" s="739"/>
      <c r="J75" s="737"/>
      <c r="K75" s="739"/>
      <c r="L75" s="737"/>
      <c r="M75" s="739"/>
      <c r="N75" s="737"/>
      <c r="O75" s="739"/>
    </row>
    <row r="76" spans="1:15" ht="13.5" thickBot="1">
      <c r="J76" s="54"/>
      <c r="L76" s="54"/>
      <c r="N76" s="54"/>
    </row>
    <row r="77" spans="1:15">
      <c r="A77" s="740" t="s">
        <v>711</v>
      </c>
      <c r="B77" s="742">
        <v>4500000</v>
      </c>
      <c r="C77" s="741">
        <v>2019</v>
      </c>
      <c r="D77" s="741"/>
      <c r="E77" s="741"/>
      <c r="F77" s="741"/>
      <c r="G77" s="741"/>
      <c r="H77" s="742">
        <v>4500000</v>
      </c>
      <c r="I77" s="743">
        <f t="shared" ref="I77:I88" si="7">SUM(E77+H77)</f>
        <v>4500000</v>
      </c>
      <c r="J77" s="742"/>
      <c r="K77" s="743">
        <f t="shared" ref="K77:K88" si="8">SUM(I77+J77)</f>
        <v>4500000</v>
      </c>
      <c r="L77" s="742"/>
      <c r="M77" s="743">
        <f t="shared" ref="M77:M88" si="9">SUM(K77+L77)</f>
        <v>4500000</v>
      </c>
      <c r="N77" s="742"/>
      <c r="O77" s="743">
        <f t="shared" ref="O77:O88" si="10">SUM(M77+N77)</f>
        <v>4500000</v>
      </c>
    </row>
    <row r="78" spans="1:15" ht="24">
      <c r="A78" s="744" t="s">
        <v>718</v>
      </c>
      <c r="B78" s="746">
        <v>7500000</v>
      </c>
      <c r="C78" s="745">
        <v>2019</v>
      </c>
      <c r="D78" s="745"/>
      <c r="E78" s="745"/>
      <c r="F78" s="745"/>
      <c r="G78" s="745"/>
      <c r="H78" s="746">
        <v>7500000</v>
      </c>
      <c r="I78" s="747">
        <f t="shared" si="7"/>
        <v>7500000</v>
      </c>
      <c r="J78" s="746"/>
      <c r="K78" s="747">
        <f t="shared" si="8"/>
        <v>7500000</v>
      </c>
      <c r="L78" s="746"/>
      <c r="M78" s="747">
        <f t="shared" si="9"/>
        <v>7500000</v>
      </c>
      <c r="N78" s="746"/>
      <c r="O78" s="747">
        <f t="shared" si="10"/>
        <v>7500000</v>
      </c>
    </row>
    <row r="79" spans="1:15" ht="24">
      <c r="A79" s="744" t="s">
        <v>719</v>
      </c>
      <c r="B79" s="746">
        <v>50000000</v>
      </c>
      <c r="C79" s="745">
        <v>2019</v>
      </c>
      <c r="D79" s="745"/>
      <c r="E79" s="745"/>
      <c r="F79" s="745"/>
      <c r="G79" s="745"/>
      <c r="H79" s="746">
        <v>50000000</v>
      </c>
      <c r="I79" s="747">
        <f t="shared" si="7"/>
        <v>50000000</v>
      </c>
      <c r="J79" s="746"/>
      <c r="K79" s="747">
        <f t="shared" si="8"/>
        <v>50000000</v>
      </c>
      <c r="L79" s="746"/>
      <c r="M79" s="747">
        <f t="shared" si="9"/>
        <v>50000000</v>
      </c>
      <c r="N79" s="746"/>
      <c r="O79" s="747">
        <f t="shared" si="10"/>
        <v>50000000</v>
      </c>
    </row>
    <row r="80" spans="1:15" ht="24">
      <c r="A80" s="744" t="s">
        <v>720</v>
      </c>
      <c r="B80" s="746">
        <v>58773600</v>
      </c>
      <c r="C80" s="745">
        <v>2019</v>
      </c>
      <c r="D80" s="745"/>
      <c r="E80" s="745"/>
      <c r="F80" s="745"/>
      <c r="G80" s="745"/>
      <c r="H80" s="746">
        <v>58773600</v>
      </c>
      <c r="I80" s="747">
        <f t="shared" si="7"/>
        <v>58773600</v>
      </c>
      <c r="J80" s="746"/>
      <c r="K80" s="747">
        <f t="shared" si="8"/>
        <v>58773600</v>
      </c>
      <c r="L80" s="746"/>
      <c r="M80" s="747">
        <f t="shared" si="9"/>
        <v>58773600</v>
      </c>
      <c r="N80" s="746"/>
      <c r="O80" s="747">
        <f t="shared" si="10"/>
        <v>58773600</v>
      </c>
    </row>
    <row r="81" spans="1:15">
      <c r="A81" s="803" t="s">
        <v>825</v>
      </c>
      <c r="B81" s="800"/>
      <c r="C81" s="801"/>
      <c r="D81" s="801"/>
      <c r="E81" s="801"/>
      <c r="F81" s="801"/>
      <c r="G81" s="801"/>
      <c r="H81" s="800"/>
      <c r="I81" s="802"/>
      <c r="J81" s="800"/>
      <c r="K81" s="802"/>
      <c r="L81" s="800">
        <v>1856580</v>
      </c>
      <c r="M81" s="747"/>
      <c r="N81" s="800"/>
      <c r="O81" s="747">
        <f t="shared" si="10"/>
        <v>0</v>
      </c>
    </row>
    <row r="82" spans="1:15">
      <c r="A82" s="806" t="s">
        <v>835</v>
      </c>
      <c r="B82" s="800"/>
      <c r="C82" s="801"/>
      <c r="D82" s="801"/>
      <c r="E82" s="801"/>
      <c r="F82" s="801"/>
      <c r="G82" s="801"/>
      <c r="H82" s="800"/>
      <c r="I82" s="802"/>
      <c r="J82" s="800"/>
      <c r="K82" s="802"/>
      <c r="L82" s="800"/>
      <c r="M82" s="747"/>
      <c r="N82" s="800">
        <v>8100000</v>
      </c>
      <c r="O82" s="747">
        <f t="shared" si="10"/>
        <v>8100000</v>
      </c>
    </row>
    <row r="83" spans="1:15">
      <c r="A83" s="806" t="s">
        <v>836</v>
      </c>
      <c r="B83" s="800"/>
      <c r="C83" s="801"/>
      <c r="D83" s="801"/>
      <c r="E83" s="801"/>
      <c r="F83" s="801"/>
      <c r="G83" s="801"/>
      <c r="H83" s="800"/>
      <c r="I83" s="802"/>
      <c r="J83" s="800"/>
      <c r="K83" s="802"/>
      <c r="L83" s="800"/>
      <c r="M83" s="747"/>
      <c r="N83" s="800">
        <v>10000000</v>
      </c>
      <c r="O83" s="747">
        <f t="shared" si="10"/>
        <v>10000000</v>
      </c>
    </row>
    <row r="84" spans="1:15">
      <c r="A84" s="806" t="s">
        <v>837</v>
      </c>
      <c r="B84" s="800"/>
      <c r="C84" s="801"/>
      <c r="D84" s="801"/>
      <c r="E84" s="801"/>
      <c r="F84" s="801"/>
      <c r="G84" s="801"/>
      <c r="H84" s="800"/>
      <c r="I84" s="802"/>
      <c r="J84" s="800"/>
      <c r="K84" s="802"/>
      <c r="L84" s="800"/>
      <c r="M84" s="747"/>
      <c r="N84" s="800">
        <v>1500000</v>
      </c>
      <c r="O84" s="747">
        <f t="shared" si="10"/>
        <v>1500000</v>
      </c>
    </row>
    <row r="85" spans="1:15">
      <c r="A85" s="806" t="s">
        <v>838</v>
      </c>
      <c r="B85" s="800"/>
      <c r="C85" s="801"/>
      <c r="D85" s="801"/>
      <c r="E85" s="801"/>
      <c r="F85" s="801"/>
      <c r="G85" s="801"/>
      <c r="H85" s="800"/>
      <c r="I85" s="802"/>
      <c r="J85" s="800"/>
      <c r="K85" s="802"/>
      <c r="L85" s="800"/>
      <c r="M85" s="747"/>
      <c r="N85" s="800">
        <v>800000</v>
      </c>
      <c r="O85" s="747">
        <f t="shared" si="10"/>
        <v>800000</v>
      </c>
    </row>
    <row r="86" spans="1:15">
      <c r="A86" s="689" t="s">
        <v>707</v>
      </c>
      <c r="B86" s="800"/>
      <c r="C86" s="801"/>
      <c r="D86" s="801"/>
      <c r="E86" s="801"/>
      <c r="F86" s="801"/>
      <c r="G86" s="801"/>
      <c r="H86" s="800"/>
      <c r="I86" s="802"/>
      <c r="J86" s="800"/>
      <c r="K86" s="802"/>
      <c r="L86" s="800">
        <v>500000</v>
      </c>
      <c r="M86" s="747">
        <f t="shared" si="9"/>
        <v>500000</v>
      </c>
      <c r="N86" s="800"/>
      <c r="O86" s="747">
        <f t="shared" si="10"/>
        <v>500000</v>
      </c>
    </row>
    <row r="87" spans="1:15" ht="24.75" thickBot="1">
      <c r="A87" s="748" t="s">
        <v>721</v>
      </c>
      <c r="B87" s="750">
        <v>3000000</v>
      </c>
      <c r="C87" s="749">
        <v>2019</v>
      </c>
      <c r="D87" s="749"/>
      <c r="E87" s="749"/>
      <c r="F87" s="749"/>
      <c r="G87" s="749"/>
      <c r="H87" s="750">
        <v>3000000</v>
      </c>
      <c r="I87" s="751">
        <f t="shared" si="7"/>
        <v>3000000</v>
      </c>
      <c r="J87" s="750"/>
      <c r="K87" s="751">
        <f t="shared" si="8"/>
        <v>3000000</v>
      </c>
      <c r="L87" s="750"/>
      <c r="M87" s="751">
        <f t="shared" si="9"/>
        <v>3000000</v>
      </c>
      <c r="N87" s="750">
        <v>-1000000</v>
      </c>
      <c r="O87" s="751">
        <f t="shared" si="10"/>
        <v>2000000</v>
      </c>
    </row>
    <row r="88" spans="1:15" ht="13.5" thickBot="1">
      <c r="A88" s="752" t="s">
        <v>752</v>
      </c>
      <c r="B88" s="755">
        <f>SUM(B77:B87)</f>
        <v>123773600</v>
      </c>
      <c r="C88" s="753"/>
      <c r="D88" s="753"/>
      <c r="E88" s="753"/>
      <c r="F88" s="753"/>
      <c r="G88" s="753"/>
      <c r="H88" s="754">
        <f>SUM(H77:H87)</f>
        <v>123773600</v>
      </c>
      <c r="I88" s="756">
        <f t="shared" si="7"/>
        <v>123773600</v>
      </c>
      <c r="J88" s="754">
        <f>SUM(J77:J87)</f>
        <v>0</v>
      </c>
      <c r="K88" s="756">
        <f t="shared" si="8"/>
        <v>123773600</v>
      </c>
      <c r="L88" s="754">
        <f>SUM(L77:L87)</f>
        <v>2356580</v>
      </c>
      <c r="M88" s="756">
        <f t="shared" si="9"/>
        <v>126130180</v>
      </c>
      <c r="N88" s="754">
        <f>SUM(N77:N87)</f>
        <v>19400000</v>
      </c>
      <c r="O88" s="756">
        <f t="shared" si="10"/>
        <v>145530180</v>
      </c>
    </row>
    <row r="91" spans="1:15">
      <c r="A91" s="787" t="s">
        <v>798</v>
      </c>
    </row>
    <row r="93" spans="1:15" ht="13.5" thickBot="1">
      <c r="A93" s="787" t="s">
        <v>745</v>
      </c>
    </row>
    <row r="94" spans="1:15">
      <c r="A94" s="788" t="s">
        <v>797</v>
      </c>
      <c r="B94" s="741"/>
      <c r="C94" s="741">
        <v>2019</v>
      </c>
      <c r="D94" s="741"/>
      <c r="E94" s="741">
        <v>2000000</v>
      </c>
      <c r="F94" s="741"/>
      <c r="G94" s="741">
        <f>SUM(E94:F94)</f>
        <v>2000000</v>
      </c>
      <c r="H94" s="742"/>
      <c r="I94" s="741">
        <f>SUM(G94:H94)</f>
        <v>2000000</v>
      </c>
      <c r="J94" s="741"/>
      <c r="K94" s="743">
        <f>SUM(I94:J94)</f>
        <v>2000000</v>
      </c>
      <c r="L94" s="741"/>
      <c r="M94" s="743">
        <f>SUM(K94:L94)</f>
        <v>2000000</v>
      </c>
      <c r="N94" s="741"/>
      <c r="O94" s="743">
        <f>SUM(M94:N94)</f>
        <v>2000000</v>
      </c>
    </row>
    <row r="95" spans="1:15">
      <c r="A95" s="789" t="s">
        <v>799</v>
      </c>
      <c r="B95" s="745"/>
      <c r="C95" s="745">
        <v>2019</v>
      </c>
      <c r="D95" s="745"/>
      <c r="E95" s="745">
        <v>2000000</v>
      </c>
      <c r="F95" s="745"/>
      <c r="G95" s="745">
        <f>SUM(E95:F95)</f>
        <v>2000000</v>
      </c>
      <c r="H95" s="746"/>
      <c r="I95" s="745">
        <f>SUM(G95:H95)</f>
        <v>2000000</v>
      </c>
      <c r="J95" s="745"/>
      <c r="K95" s="747">
        <f>SUM(I95:J95)</f>
        <v>2000000</v>
      </c>
      <c r="L95" s="745"/>
      <c r="M95" s="747">
        <f>SUM(K95:L95)</f>
        <v>2000000</v>
      </c>
      <c r="N95" s="745"/>
      <c r="O95" s="747">
        <f>SUM(M95:N95)</f>
        <v>2000000</v>
      </c>
    </row>
    <row r="96" spans="1:15">
      <c r="A96" s="789" t="s">
        <v>800</v>
      </c>
      <c r="B96" s="745"/>
      <c r="C96" s="745">
        <v>2019</v>
      </c>
      <c r="D96" s="745"/>
      <c r="E96" s="745"/>
      <c r="F96" s="745"/>
      <c r="G96" s="745">
        <f>SUM(E96:F96)</f>
        <v>0</v>
      </c>
      <c r="H96" s="746"/>
      <c r="I96" s="745">
        <f>SUM(G96:H96)</f>
        <v>0</v>
      </c>
      <c r="J96" s="745">
        <v>3285490</v>
      </c>
      <c r="K96" s="747">
        <f>SUM(I96:J96)</f>
        <v>3285490</v>
      </c>
      <c r="L96" s="745"/>
      <c r="M96" s="747">
        <f>SUM(K96:L96)</f>
        <v>3285490</v>
      </c>
      <c r="N96" s="745"/>
      <c r="O96" s="747">
        <f>SUM(M96:N96)</f>
        <v>3285490</v>
      </c>
    </row>
    <row r="97" spans="1:15" ht="13.5" thickBot="1">
      <c r="A97" s="790" t="s">
        <v>801</v>
      </c>
      <c r="B97" s="749"/>
      <c r="C97" s="749">
        <v>2019</v>
      </c>
      <c r="D97" s="749"/>
      <c r="E97" s="749"/>
      <c r="F97" s="749"/>
      <c r="G97" s="749">
        <f>SUM(E97:F97)</f>
        <v>0</v>
      </c>
      <c r="H97" s="750"/>
      <c r="I97" s="749">
        <f>SUM(G97:H97)</f>
        <v>0</v>
      </c>
      <c r="J97" s="749">
        <v>1000000</v>
      </c>
      <c r="K97" s="751">
        <f>SUM(I97:J97)</f>
        <v>1000000</v>
      </c>
      <c r="L97" s="749"/>
      <c r="M97" s="751">
        <f>SUM(K97:L97)</f>
        <v>1000000</v>
      </c>
      <c r="N97" s="749">
        <v>1100000</v>
      </c>
      <c r="O97" s="751">
        <f>SUM(M97:N97)</f>
        <v>2100000</v>
      </c>
    </row>
    <row r="98" spans="1:15" ht="13.5" thickBot="1">
      <c r="A98" s="791" t="s">
        <v>802</v>
      </c>
      <c r="B98" s="755"/>
      <c r="C98" s="755"/>
      <c r="D98" s="755"/>
      <c r="E98" s="755">
        <f>SUM(E94:E97)</f>
        <v>4000000</v>
      </c>
      <c r="F98" s="755"/>
      <c r="G98" s="755">
        <f>SUM(E98:F98)</f>
        <v>4000000</v>
      </c>
      <c r="H98" s="792"/>
      <c r="I98" s="755">
        <f>SUM(G98:H98)</f>
        <v>4000000</v>
      </c>
      <c r="J98" s="755">
        <f t="shared" ref="J98:O98" si="11">SUM(J94:J97)</f>
        <v>4285490</v>
      </c>
      <c r="K98" s="756">
        <f t="shared" si="11"/>
        <v>8285490</v>
      </c>
      <c r="L98" s="755">
        <f t="shared" si="11"/>
        <v>0</v>
      </c>
      <c r="M98" s="756">
        <f t="shared" si="11"/>
        <v>8285490</v>
      </c>
      <c r="N98" s="755">
        <f t="shared" si="11"/>
        <v>1100000</v>
      </c>
      <c r="O98" s="756">
        <f t="shared" si="11"/>
        <v>9385490</v>
      </c>
    </row>
    <row r="100" spans="1:15" ht="26.25" thickBot="1">
      <c r="A100" s="787" t="s">
        <v>691</v>
      </c>
    </row>
    <row r="101" spans="1:15">
      <c r="A101" s="788" t="s">
        <v>803</v>
      </c>
      <c r="B101" s="741"/>
      <c r="C101" s="741">
        <v>2019</v>
      </c>
      <c r="D101" s="741"/>
      <c r="E101" s="741"/>
      <c r="F101" s="741"/>
      <c r="G101" s="741">
        <f>SUM(E101:F101)</f>
        <v>0</v>
      </c>
      <c r="H101" s="742">
        <v>2308187</v>
      </c>
      <c r="I101" s="741">
        <f>SUM(G101:H101)</f>
        <v>2308187</v>
      </c>
      <c r="J101" s="741"/>
      <c r="K101" s="743">
        <f>SUM(I101:J101)</f>
        <v>2308187</v>
      </c>
      <c r="L101" s="741"/>
      <c r="M101" s="743">
        <f>SUM(K101:L101)</f>
        <v>2308187</v>
      </c>
      <c r="N101" s="741"/>
      <c r="O101" s="743">
        <f>SUM(M101:N101)</f>
        <v>2308187</v>
      </c>
    </row>
    <row r="102" spans="1:15" ht="13.5" thickBot="1">
      <c r="A102" s="790" t="s">
        <v>801</v>
      </c>
      <c r="B102" s="745"/>
      <c r="C102" s="745">
        <v>2019</v>
      </c>
      <c r="D102" s="745"/>
      <c r="E102" s="745"/>
      <c r="F102" s="745"/>
      <c r="G102" s="745">
        <f>SUM(E102:F102)</f>
        <v>0</v>
      </c>
      <c r="H102" s="746"/>
      <c r="I102" s="745">
        <f>SUM(G102:H102)</f>
        <v>0</v>
      </c>
      <c r="J102" s="745">
        <v>224387</v>
      </c>
      <c r="K102" s="747">
        <f>SUM(I102:J102)</f>
        <v>224387</v>
      </c>
      <c r="L102" s="745"/>
      <c r="M102" s="747">
        <f>SUM(K102:L102)</f>
        <v>224387</v>
      </c>
      <c r="N102" s="745"/>
      <c r="O102" s="747">
        <f>SUM(M102:N102)</f>
        <v>224387</v>
      </c>
    </row>
    <row r="103" spans="1:15">
      <c r="A103" s="789" t="s">
        <v>804</v>
      </c>
      <c r="B103" s="745"/>
      <c r="C103" s="745">
        <v>2019</v>
      </c>
      <c r="D103" s="745"/>
      <c r="E103" s="745"/>
      <c r="F103" s="745"/>
      <c r="G103" s="745">
        <f>SUM(E103:F103)</f>
        <v>0</v>
      </c>
      <c r="H103" s="746"/>
      <c r="I103" s="745">
        <f>SUM(G103:H103)</f>
        <v>0</v>
      </c>
      <c r="J103" s="745">
        <v>2520000</v>
      </c>
      <c r="K103" s="747">
        <f>SUM(I103:J103)</f>
        <v>2520000</v>
      </c>
      <c r="L103" s="745"/>
      <c r="M103" s="747">
        <f>SUM(K103:L103)</f>
        <v>2520000</v>
      </c>
      <c r="N103" s="745">
        <v>1473000</v>
      </c>
      <c r="O103" s="747">
        <f>SUM(M103:N103)</f>
        <v>3993000</v>
      </c>
    </row>
    <row r="104" spans="1:15" ht="13.5" thickBot="1">
      <c r="A104" s="790" t="s">
        <v>805</v>
      </c>
      <c r="B104" s="749"/>
      <c r="C104" s="749">
        <v>2019</v>
      </c>
      <c r="D104" s="749"/>
      <c r="E104" s="749"/>
      <c r="F104" s="749"/>
      <c r="G104" s="749">
        <f>SUM(E104:F104)</f>
        <v>0</v>
      </c>
      <c r="H104" s="750"/>
      <c r="I104" s="749">
        <f>SUM(G104:H104)</f>
        <v>0</v>
      </c>
      <c r="J104" s="749">
        <v>1812943</v>
      </c>
      <c r="K104" s="751">
        <f>SUM(I104:J104)</f>
        <v>1812943</v>
      </c>
      <c r="L104" s="749"/>
      <c r="M104" s="751">
        <f>SUM(K104:L104)</f>
        <v>1812943</v>
      </c>
      <c r="N104" s="749"/>
      <c r="O104" s="751">
        <f>SUM(M104:N104)</f>
        <v>1812943</v>
      </c>
    </row>
    <row r="105" spans="1:15" ht="13.5" thickBot="1">
      <c r="A105" s="791" t="s">
        <v>802</v>
      </c>
      <c r="B105" s="755"/>
      <c r="C105" s="755"/>
      <c r="D105" s="755"/>
      <c r="E105" s="755">
        <f>SUM(E101:E104)</f>
        <v>0</v>
      </c>
      <c r="F105" s="755"/>
      <c r="G105" s="755">
        <f>SUM(E105:F105)</f>
        <v>0</v>
      </c>
      <c r="H105" s="792">
        <f>SUM(H101:H104)</f>
        <v>2308187</v>
      </c>
      <c r="I105" s="755">
        <f>SUM(G105:H105)</f>
        <v>2308187</v>
      </c>
      <c r="J105" s="755">
        <f t="shared" ref="J105:O105" si="12">SUM(J101:J104)</f>
        <v>4557330</v>
      </c>
      <c r="K105" s="756">
        <f t="shared" si="12"/>
        <v>6865517</v>
      </c>
      <c r="L105" s="755">
        <f t="shared" si="12"/>
        <v>0</v>
      </c>
      <c r="M105" s="756">
        <f t="shared" si="12"/>
        <v>6865517</v>
      </c>
      <c r="N105" s="755">
        <f t="shared" si="12"/>
        <v>1473000</v>
      </c>
      <c r="O105" s="756">
        <f t="shared" si="12"/>
        <v>8338517</v>
      </c>
    </row>
    <row r="107" spans="1:15" ht="13.5" thickBot="1">
      <c r="A107" s="787" t="s">
        <v>689</v>
      </c>
    </row>
    <row r="108" spans="1:15" ht="13.5" thickBot="1">
      <c r="A108" s="790" t="s">
        <v>801</v>
      </c>
      <c r="B108" s="741"/>
      <c r="C108" s="741">
        <v>2019</v>
      </c>
      <c r="D108" s="741"/>
      <c r="E108" s="741"/>
      <c r="F108" s="741"/>
      <c r="G108" s="741">
        <f>SUM(E108:F108)</f>
        <v>0</v>
      </c>
      <c r="H108" s="742"/>
      <c r="I108" s="741">
        <f>SUM(G108:H108)</f>
        <v>0</v>
      </c>
      <c r="J108" s="741">
        <v>153568</v>
      </c>
      <c r="K108" s="743">
        <f>SUM(I108:J108)</f>
        <v>153568</v>
      </c>
      <c r="L108" s="741"/>
      <c r="M108" s="743">
        <f>SUM(K108:L108)</f>
        <v>153568</v>
      </c>
      <c r="N108" s="741"/>
      <c r="O108" s="743">
        <f>SUM(M108:N108)</f>
        <v>153568</v>
      </c>
    </row>
    <row r="109" spans="1:15" ht="13.5" thickBot="1">
      <c r="A109" s="790"/>
      <c r="B109" s="745"/>
      <c r="C109" s="745"/>
      <c r="D109" s="745"/>
      <c r="E109" s="745"/>
      <c r="F109" s="745"/>
      <c r="G109" s="745">
        <f>SUM(E109:F109)</f>
        <v>0</v>
      </c>
      <c r="H109" s="746"/>
      <c r="I109" s="745">
        <f>SUM(G109:H109)</f>
        <v>0</v>
      </c>
      <c r="J109" s="745"/>
      <c r="K109" s="747">
        <f>SUM(I109:J109)</f>
        <v>0</v>
      </c>
      <c r="L109" s="745"/>
      <c r="M109" s="747">
        <f>SUM(K109:L109)</f>
        <v>0</v>
      </c>
      <c r="N109" s="745"/>
      <c r="O109" s="747">
        <f>SUM(M109:N109)</f>
        <v>0</v>
      </c>
    </row>
    <row r="110" spans="1:15">
      <c r="A110" s="789"/>
      <c r="B110" s="745"/>
      <c r="C110" s="745"/>
      <c r="D110" s="745"/>
      <c r="E110" s="745"/>
      <c r="F110" s="745"/>
      <c r="G110" s="745">
        <f>SUM(E110:F110)</f>
        <v>0</v>
      </c>
      <c r="H110" s="746"/>
      <c r="I110" s="745">
        <f>SUM(G110:H110)</f>
        <v>0</v>
      </c>
      <c r="J110" s="745"/>
      <c r="K110" s="747">
        <f>SUM(I110:J110)</f>
        <v>0</v>
      </c>
      <c r="L110" s="745"/>
      <c r="M110" s="747">
        <f>SUM(K110:L110)</f>
        <v>0</v>
      </c>
      <c r="N110" s="745"/>
      <c r="O110" s="747">
        <f>SUM(M110:N110)</f>
        <v>0</v>
      </c>
    </row>
    <row r="111" spans="1:15" ht="13.5" thickBot="1">
      <c r="A111" s="790"/>
      <c r="B111" s="749"/>
      <c r="C111" s="749"/>
      <c r="D111" s="749"/>
      <c r="E111" s="749"/>
      <c r="F111" s="749"/>
      <c r="G111" s="749">
        <f>SUM(E111:F111)</f>
        <v>0</v>
      </c>
      <c r="H111" s="750"/>
      <c r="I111" s="749">
        <f>SUM(G111:H111)</f>
        <v>0</v>
      </c>
      <c r="J111" s="749"/>
      <c r="K111" s="751">
        <f>SUM(I111:J111)</f>
        <v>0</v>
      </c>
      <c r="L111" s="749"/>
      <c r="M111" s="751">
        <f>SUM(K111:L111)</f>
        <v>0</v>
      </c>
      <c r="N111" s="749"/>
      <c r="O111" s="751">
        <f>SUM(M111:N111)</f>
        <v>0</v>
      </c>
    </row>
    <row r="112" spans="1:15" ht="13.5" thickBot="1">
      <c r="A112" s="791" t="s">
        <v>802</v>
      </c>
      <c r="B112" s="755"/>
      <c r="C112" s="755"/>
      <c r="D112" s="755"/>
      <c r="E112" s="755">
        <f>SUM(E108:E111)</f>
        <v>0</v>
      </c>
      <c r="F112" s="755"/>
      <c r="G112" s="755">
        <f>SUM(E112:F112)</f>
        <v>0</v>
      </c>
      <c r="H112" s="792"/>
      <c r="I112" s="755">
        <f>SUM(G112:H112)</f>
        <v>0</v>
      </c>
      <c r="J112" s="755">
        <f t="shared" ref="J112:O112" si="13">SUM(J108:J111)</f>
        <v>153568</v>
      </c>
      <c r="K112" s="756">
        <f t="shared" si="13"/>
        <v>153568</v>
      </c>
      <c r="L112" s="755">
        <f t="shared" si="13"/>
        <v>0</v>
      </c>
      <c r="M112" s="756">
        <f t="shared" si="13"/>
        <v>153568</v>
      </c>
      <c r="N112" s="755">
        <f t="shared" si="13"/>
        <v>0</v>
      </c>
      <c r="O112" s="756">
        <f t="shared" si="13"/>
        <v>153568</v>
      </c>
    </row>
    <row r="114" spans="1:15" ht="13.5" thickBot="1">
      <c r="A114" s="787" t="s">
        <v>690</v>
      </c>
    </row>
    <row r="115" spans="1:15" ht="13.5" thickBot="1">
      <c r="A115" s="790" t="s">
        <v>801</v>
      </c>
      <c r="B115" s="741"/>
      <c r="C115" s="741">
        <v>2019</v>
      </c>
      <c r="D115" s="741"/>
      <c r="E115" s="741"/>
      <c r="F115" s="741"/>
      <c r="G115" s="741">
        <f>SUM(E115:F115)</f>
        <v>0</v>
      </c>
      <c r="H115" s="742"/>
      <c r="I115" s="741">
        <f>SUM(G115:H115)</f>
        <v>0</v>
      </c>
      <c r="J115" s="741">
        <v>201504</v>
      </c>
      <c r="K115" s="743">
        <f>SUM(I115:J115)</f>
        <v>201504</v>
      </c>
      <c r="L115" s="741">
        <v>2688349</v>
      </c>
      <c r="M115" s="743">
        <f>SUM(K115:L115)</f>
        <v>2889853</v>
      </c>
      <c r="N115" s="741">
        <v>266280</v>
      </c>
      <c r="O115" s="743">
        <f>SUM(M115:N115)</f>
        <v>3156133</v>
      </c>
    </row>
    <row r="116" spans="1:15" ht="13.5" thickBot="1">
      <c r="A116" s="790" t="s">
        <v>806</v>
      </c>
      <c r="B116" s="745"/>
      <c r="C116" s="745">
        <v>2019</v>
      </c>
      <c r="D116" s="745"/>
      <c r="E116" s="745"/>
      <c r="F116" s="745"/>
      <c r="G116" s="745">
        <f>SUM(E116:F116)</f>
        <v>0</v>
      </c>
      <c r="H116" s="746"/>
      <c r="I116" s="745">
        <f>SUM(G116:H116)</f>
        <v>0</v>
      </c>
      <c r="J116" s="745">
        <v>355600</v>
      </c>
      <c r="K116" s="747">
        <f>SUM(I116:J116)</f>
        <v>355600</v>
      </c>
      <c r="L116" s="745"/>
      <c r="M116" s="747">
        <f>SUM(K116:L116)</f>
        <v>355600</v>
      </c>
      <c r="N116" s="745"/>
      <c r="O116" s="747">
        <f>SUM(M116:N116)</f>
        <v>355600</v>
      </c>
    </row>
    <row r="117" spans="1:15">
      <c r="A117" s="789"/>
      <c r="B117" s="745"/>
      <c r="C117" s="745"/>
      <c r="D117" s="745"/>
      <c r="E117" s="745"/>
      <c r="F117" s="745"/>
      <c r="G117" s="745">
        <f>SUM(E117:F117)</f>
        <v>0</v>
      </c>
      <c r="H117" s="746"/>
      <c r="I117" s="745">
        <f>SUM(G117:H117)</f>
        <v>0</v>
      </c>
      <c r="J117" s="745"/>
      <c r="K117" s="747">
        <f>SUM(I117:J117)</f>
        <v>0</v>
      </c>
      <c r="L117" s="745"/>
      <c r="M117" s="747">
        <f>SUM(K117:L117)</f>
        <v>0</v>
      </c>
      <c r="N117" s="745"/>
      <c r="O117" s="747">
        <f>SUM(M117:N117)</f>
        <v>0</v>
      </c>
    </row>
    <row r="118" spans="1:15" ht="13.5" thickBot="1">
      <c r="A118" s="790"/>
      <c r="B118" s="749"/>
      <c r="C118" s="749"/>
      <c r="D118" s="749"/>
      <c r="E118" s="749"/>
      <c r="F118" s="749"/>
      <c r="G118" s="749">
        <f>SUM(E118:F118)</f>
        <v>0</v>
      </c>
      <c r="H118" s="750"/>
      <c r="I118" s="749">
        <f>SUM(G118:H118)</f>
        <v>0</v>
      </c>
      <c r="J118" s="749"/>
      <c r="K118" s="751">
        <f>SUM(I118:J118)</f>
        <v>0</v>
      </c>
      <c r="L118" s="749"/>
      <c r="M118" s="751">
        <f>SUM(K118:L118)</f>
        <v>0</v>
      </c>
      <c r="N118" s="749"/>
      <c r="O118" s="751">
        <f>SUM(M118:N118)</f>
        <v>0</v>
      </c>
    </row>
    <row r="119" spans="1:15" ht="13.5" thickBot="1">
      <c r="A119" s="791" t="s">
        <v>802</v>
      </c>
      <c r="B119" s="755"/>
      <c r="C119" s="755"/>
      <c r="D119" s="755"/>
      <c r="E119" s="755">
        <f>SUM(E115:E118)</f>
        <v>0</v>
      </c>
      <c r="F119" s="755"/>
      <c r="G119" s="755">
        <f>SUM(E119:F119)</f>
        <v>0</v>
      </c>
      <c r="H119" s="792"/>
      <c r="I119" s="755">
        <f>SUM(G119:H119)</f>
        <v>0</v>
      </c>
      <c r="J119" s="755">
        <f t="shared" ref="J119:O119" si="14">SUM(J115:J118)</f>
        <v>557104</v>
      </c>
      <c r="K119" s="756">
        <f t="shared" si="14"/>
        <v>557104</v>
      </c>
      <c r="L119" s="755">
        <f t="shared" si="14"/>
        <v>2688349</v>
      </c>
      <c r="M119" s="756">
        <f t="shared" si="14"/>
        <v>3245453</v>
      </c>
      <c r="N119" s="755">
        <f t="shared" si="14"/>
        <v>266280</v>
      </c>
      <c r="O119" s="756">
        <f t="shared" si="14"/>
        <v>3511733</v>
      </c>
    </row>
    <row r="121" spans="1:15" ht="13.5" thickBot="1">
      <c r="A121" s="787" t="s">
        <v>693</v>
      </c>
    </row>
    <row r="122" spans="1:15" ht="13.5" thickBot="1">
      <c r="A122" s="790" t="s">
        <v>801</v>
      </c>
      <c r="B122" s="741"/>
      <c r="C122" s="741">
        <v>2019</v>
      </c>
      <c r="D122" s="741"/>
      <c r="E122" s="741"/>
      <c r="F122" s="741"/>
      <c r="G122" s="741">
        <f>SUM(E122:F122)</f>
        <v>0</v>
      </c>
      <c r="H122" s="742"/>
      <c r="I122" s="741">
        <f>SUM(G122:H122)</f>
        <v>0</v>
      </c>
      <c r="J122" s="741">
        <v>1321533</v>
      </c>
      <c r="K122" s="743">
        <f>SUM(I122:J122)</f>
        <v>1321533</v>
      </c>
      <c r="L122" s="741"/>
      <c r="M122" s="743">
        <f>SUM(K122:L122)</f>
        <v>1321533</v>
      </c>
      <c r="N122" s="741">
        <v>2902601</v>
      </c>
      <c r="O122" s="743">
        <f>SUM(M122:N122)</f>
        <v>4224134</v>
      </c>
    </row>
    <row r="123" spans="1:15" ht="13.5" thickBot="1">
      <c r="A123" s="790"/>
      <c r="B123" s="745"/>
      <c r="C123" s="745"/>
      <c r="D123" s="745"/>
      <c r="E123" s="745"/>
      <c r="F123" s="745"/>
      <c r="G123" s="745">
        <f>SUM(E123:F123)</f>
        <v>0</v>
      </c>
      <c r="H123" s="746"/>
      <c r="I123" s="745">
        <f>SUM(G123:H123)</f>
        <v>0</v>
      </c>
      <c r="J123" s="745"/>
      <c r="K123" s="747">
        <f>SUM(I123:J123)</f>
        <v>0</v>
      </c>
      <c r="L123" s="745"/>
      <c r="M123" s="747">
        <f>SUM(K123:L123)</f>
        <v>0</v>
      </c>
      <c r="N123" s="745"/>
      <c r="O123" s="747">
        <f>SUM(M123:N123)</f>
        <v>0</v>
      </c>
    </row>
    <row r="124" spans="1:15">
      <c r="A124" s="789"/>
      <c r="B124" s="745"/>
      <c r="C124" s="745"/>
      <c r="D124" s="745"/>
      <c r="E124" s="745"/>
      <c r="F124" s="745"/>
      <c r="G124" s="745">
        <f>SUM(E124:F124)</f>
        <v>0</v>
      </c>
      <c r="H124" s="746"/>
      <c r="I124" s="745">
        <f>SUM(G124:H124)</f>
        <v>0</v>
      </c>
      <c r="J124" s="745"/>
      <c r="K124" s="747">
        <f>SUM(I124:J124)</f>
        <v>0</v>
      </c>
      <c r="L124" s="745"/>
      <c r="M124" s="747">
        <f>SUM(K124:L124)</f>
        <v>0</v>
      </c>
      <c r="N124" s="745"/>
      <c r="O124" s="747">
        <f>SUM(M124:N124)</f>
        <v>0</v>
      </c>
    </row>
    <row r="125" spans="1:15" ht="13.5" thickBot="1">
      <c r="A125" s="790"/>
      <c r="B125" s="749"/>
      <c r="C125" s="749"/>
      <c r="D125" s="749"/>
      <c r="E125" s="749"/>
      <c r="F125" s="749"/>
      <c r="G125" s="749">
        <f>SUM(E125:F125)</f>
        <v>0</v>
      </c>
      <c r="H125" s="750"/>
      <c r="I125" s="749">
        <f>SUM(G125:H125)</f>
        <v>0</v>
      </c>
      <c r="J125" s="749"/>
      <c r="K125" s="751">
        <f>SUM(I125:J125)</f>
        <v>0</v>
      </c>
      <c r="L125" s="749"/>
      <c r="M125" s="751">
        <f>SUM(K125:L125)</f>
        <v>0</v>
      </c>
      <c r="N125" s="749"/>
      <c r="O125" s="751">
        <f>SUM(M125:N125)</f>
        <v>0</v>
      </c>
    </row>
    <row r="126" spans="1:15" ht="13.5" thickBot="1">
      <c r="A126" s="791" t="s">
        <v>802</v>
      </c>
      <c r="B126" s="755"/>
      <c r="C126" s="755"/>
      <c r="D126" s="755"/>
      <c r="E126" s="755">
        <f>SUM(E122:E125)</f>
        <v>0</v>
      </c>
      <c r="F126" s="755"/>
      <c r="G126" s="755">
        <f>SUM(E126:F126)</f>
        <v>0</v>
      </c>
      <c r="H126" s="792"/>
      <c r="I126" s="755">
        <f>SUM(G126:H126)</f>
        <v>0</v>
      </c>
      <c r="J126" s="755">
        <f t="shared" ref="J126:O126" si="15">SUM(J122:J125)</f>
        <v>1321533</v>
      </c>
      <c r="K126" s="756">
        <f t="shared" si="15"/>
        <v>1321533</v>
      </c>
      <c r="L126" s="755">
        <f t="shared" si="15"/>
        <v>0</v>
      </c>
      <c r="M126" s="756">
        <f t="shared" si="15"/>
        <v>1321533</v>
      </c>
      <c r="N126" s="755">
        <f t="shared" si="15"/>
        <v>2902601</v>
      </c>
      <c r="O126" s="756">
        <f t="shared" si="15"/>
        <v>4224134</v>
      </c>
    </row>
    <row r="128" spans="1:15" ht="13.5" thickBot="1">
      <c r="A128" s="787" t="s">
        <v>692</v>
      </c>
    </row>
    <row r="129" spans="1:15" ht="13.5" thickBot="1">
      <c r="A129" s="790" t="s">
        <v>807</v>
      </c>
      <c r="B129" s="741"/>
      <c r="C129" s="741">
        <v>2019</v>
      </c>
      <c r="D129" s="741"/>
      <c r="E129" s="741">
        <v>12560000</v>
      </c>
      <c r="F129" s="741"/>
      <c r="G129" s="741">
        <f>SUM(E129:F129)</f>
        <v>12560000</v>
      </c>
      <c r="H129" s="742"/>
      <c r="I129" s="741">
        <f>SUM(G129:H129)</f>
        <v>12560000</v>
      </c>
      <c r="J129" s="741"/>
      <c r="K129" s="743">
        <f>SUM(I129:J129)</f>
        <v>12560000</v>
      </c>
      <c r="L129" s="741"/>
      <c r="M129" s="743">
        <f>SUM(K129:L129)</f>
        <v>12560000</v>
      </c>
      <c r="N129" s="741"/>
      <c r="O129" s="743">
        <f>SUM(M129:N129)</f>
        <v>12560000</v>
      </c>
    </row>
    <row r="130" spans="1:15" ht="13.5" thickBot="1">
      <c r="A130" s="790" t="s">
        <v>808</v>
      </c>
      <c r="B130" s="745"/>
      <c r="C130" s="745">
        <v>2019</v>
      </c>
      <c r="D130" s="745"/>
      <c r="E130" s="745"/>
      <c r="F130" s="745"/>
      <c r="G130" s="745">
        <f>SUM(E130:F130)</f>
        <v>0</v>
      </c>
      <c r="H130" s="746"/>
      <c r="I130" s="745">
        <f>SUM(G130:H130)</f>
        <v>0</v>
      </c>
      <c r="J130" s="745">
        <v>12700000</v>
      </c>
      <c r="K130" s="747">
        <f>SUM(I130:J130)</f>
        <v>12700000</v>
      </c>
      <c r="L130" s="745"/>
      <c r="M130" s="747">
        <f>SUM(K130:L130)</f>
        <v>12700000</v>
      </c>
      <c r="N130" s="745"/>
      <c r="O130" s="747">
        <f>SUM(M130:N130)</f>
        <v>12700000</v>
      </c>
    </row>
    <row r="131" spans="1:15">
      <c r="A131" s="789"/>
      <c r="B131" s="745"/>
      <c r="C131" s="745"/>
      <c r="D131" s="745"/>
      <c r="E131" s="745"/>
      <c r="F131" s="745"/>
      <c r="G131" s="745">
        <f>SUM(E131:F131)</f>
        <v>0</v>
      </c>
      <c r="H131" s="746"/>
      <c r="I131" s="745">
        <f>SUM(G131:H131)</f>
        <v>0</v>
      </c>
      <c r="J131" s="745"/>
      <c r="K131" s="747">
        <f>SUM(I131:J131)</f>
        <v>0</v>
      </c>
      <c r="L131" s="745"/>
      <c r="M131" s="747">
        <f>SUM(K131:L131)</f>
        <v>0</v>
      </c>
      <c r="N131" s="745"/>
      <c r="O131" s="747">
        <f>SUM(M131:N131)</f>
        <v>0</v>
      </c>
    </row>
    <row r="132" spans="1:15" ht="13.5" thickBot="1">
      <c r="A132" s="790"/>
      <c r="B132" s="749"/>
      <c r="C132" s="749"/>
      <c r="D132" s="749"/>
      <c r="E132" s="749"/>
      <c r="F132" s="749"/>
      <c r="G132" s="749">
        <f>SUM(E132:F132)</f>
        <v>0</v>
      </c>
      <c r="H132" s="750"/>
      <c r="I132" s="749">
        <f>SUM(G132:H132)</f>
        <v>0</v>
      </c>
      <c r="J132" s="749"/>
      <c r="K132" s="751">
        <f>SUM(I132:J132)</f>
        <v>0</v>
      </c>
      <c r="L132" s="749"/>
      <c r="M132" s="751">
        <f>SUM(K132:L132)</f>
        <v>0</v>
      </c>
      <c r="N132" s="749"/>
      <c r="O132" s="751">
        <f>SUM(M132:N132)</f>
        <v>0</v>
      </c>
    </row>
    <row r="133" spans="1:15" ht="13.5" thickBot="1">
      <c r="A133" s="791" t="s">
        <v>802</v>
      </c>
      <c r="B133" s="755"/>
      <c r="C133" s="755"/>
      <c r="D133" s="755"/>
      <c r="E133" s="755">
        <f>SUM(E129:E132)</f>
        <v>12560000</v>
      </c>
      <c r="F133" s="755"/>
      <c r="G133" s="755">
        <f>SUM(E133:F133)</f>
        <v>12560000</v>
      </c>
      <c r="H133" s="792"/>
      <c r="I133" s="755">
        <f>SUM(G133:H133)</f>
        <v>12560000</v>
      </c>
      <c r="J133" s="755">
        <f t="shared" ref="J133:O133" si="16">SUM(J129:J132)</f>
        <v>12700000</v>
      </c>
      <c r="K133" s="756">
        <f t="shared" si="16"/>
        <v>25260000</v>
      </c>
      <c r="L133" s="755">
        <f t="shared" si="16"/>
        <v>0</v>
      </c>
      <c r="M133" s="756">
        <f t="shared" si="16"/>
        <v>25260000</v>
      </c>
      <c r="N133" s="755">
        <f t="shared" si="16"/>
        <v>0</v>
      </c>
      <c r="O133" s="756">
        <f t="shared" si="16"/>
        <v>25260000</v>
      </c>
    </row>
    <row r="134" spans="1:15" ht="13.5" thickBot="1"/>
    <row r="135" spans="1:15" ht="13.5" thickBot="1">
      <c r="A135" s="791" t="s">
        <v>809</v>
      </c>
      <c r="B135" s="755"/>
      <c r="C135" s="755"/>
      <c r="D135" s="755"/>
      <c r="E135" s="755">
        <f>SUM(E98+E105+E112+E119+E126+E133)</f>
        <v>16560000</v>
      </c>
      <c r="F135" s="755"/>
      <c r="G135" s="755">
        <f>SUM(E135:F135)</f>
        <v>16560000</v>
      </c>
      <c r="H135" s="792">
        <f>SUM(H98+H105+H112+H119+H126+H133)</f>
        <v>2308187</v>
      </c>
      <c r="I135" s="755">
        <f>SUM(G135:H135)</f>
        <v>18868187</v>
      </c>
      <c r="J135" s="755">
        <f>SUM(J98+J105+J112+J119+J126+J133)</f>
        <v>23575025</v>
      </c>
      <c r="K135" s="756">
        <f>SUM(I135:J135)</f>
        <v>42443212</v>
      </c>
      <c r="L135" s="755">
        <f>SUM(L98+L105+L112+L119+L126+L133)</f>
        <v>2688349</v>
      </c>
      <c r="M135" s="756">
        <f>SUM(K135:L135)</f>
        <v>45131561</v>
      </c>
      <c r="N135" s="755">
        <f>SUM(N98+N105+N112+N119+N126+N133)</f>
        <v>5741881</v>
      </c>
      <c r="O135" s="756">
        <f>SUM(M135:N135)</f>
        <v>50873442</v>
      </c>
    </row>
    <row r="136" spans="1:15" ht="13.5" thickBot="1"/>
    <row r="137" spans="1:15" ht="13.5" thickBot="1">
      <c r="A137" s="791" t="s">
        <v>810</v>
      </c>
      <c r="B137" s="755"/>
      <c r="C137" s="755"/>
      <c r="D137" s="755"/>
      <c r="E137" s="755">
        <f>SUM(E74+E135)</f>
        <v>959341949</v>
      </c>
      <c r="F137" s="755">
        <f>SUM(F74+F135)</f>
        <v>0</v>
      </c>
      <c r="G137" s="755">
        <f>SUM(E137:F137)</f>
        <v>959341949</v>
      </c>
      <c r="H137" s="792">
        <f>SUM(H74+H135)</f>
        <v>-138021513</v>
      </c>
      <c r="I137" s="755">
        <f>SUM(G137:H137)</f>
        <v>821320436</v>
      </c>
      <c r="J137" s="755">
        <f>SUM(J74+J135)</f>
        <v>92729936</v>
      </c>
      <c r="K137" s="756">
        <f>SUM(I137:J137)</f>
        <v>914050372</v>
      </c>
      <c r="L137" s="755">
        <f>SUM(L74+L135)</f>
        <v>-320923905</v>
      </c>
      <c r="M137" s="756">
        <f>SUM(K137:L137)</f>
        <v>593126467</v>
      </c>
      <c r="N137" s="755">
        <f>SUM(N74+N135)</f>
        <v>-48405805</v>
      </c>
      <c r="O137" s="756">
        <f>SUM(M137:N137)</f>
        <v>544720662</v>
      </c>
    </row>
  </sheetData>
  <mergeCells count="2">
    <mergeCell ref="A4:H4"/>
    <mergeCell ref="B2:H2"/>
  </mergeCells>
  <phoneticPr fontId="0" type="noConversion"/>
  <printOptions horizontalCentered="1"/>
  <pageMargins left="0.78740157480314965" right="0.78740157480314965" top="1.0236220472440944" bottom="0.98425196850393704" header="0.78740157480314965" footer="0.78740157480314965"/>
  <pageSetup paperSize="8" scale="56" fitToHeight="3" orientation="landscape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rgb="FF92D050"/>
  </sheetPr>
  <dimension ref="A1:L20"/>
  <sheetViews>
    <sheetView zoomScale="90" zoomScaleNormal="90" workbookViewId="0">
      <selection activeCell="A10" sqref="A10:IV10"/>
    </sheetView>
  </sheetViews>
  <sheetFormatPr defaultRowHeight="12.75"/>
  <cols>
    <col min="1" max="1" width="60.6640625" style="42" customWidth="1"/>
    <col min="2" max="2" width="15.6640625" style="41" customWidth="1"/>
    <col min="3" max="3" width="16.33203125" style="41" customWidth="1"/>
    <col min="4" max="4" width="15" style="41" customWidth="1"/>
    <col min="5" max="5" width="16.6640625" style="41" customWidth="1"/>
    <col min="6" max="6" width="18.83203125" style="41" customWidth="1"/>
    <col min="7" max="7" width="17.33203125" style="41" customWidth="1"/>
    <col min="8" max="8" width="19.83203125" style="41" customWidth="1"/>
    <col min="9" max="9" width="15.1640625" style="41" customWidth="1"/>
    <col min="10" max="10" width="17" style="41" customWidth="1"/>
    <col min="11" max="11" width="15.1640625" style="41" customWidth="1"/>
    <col min="12" max="12" width="17.1640625" style="41" customWidth="1"/>
    <col min="13" max="16384" width="9.33203125" style="41"/>
  </cols>
  <sheetData>
    <row r="1" spans="1:12">
      <c r="A1" s="635"/>
      <c r="B1" s="622"/>
      <c r="C1" s="622"/>
      <c r="D1" s="622"/>
      <c r="E1" s="622"/>
      <c r="F1" s="622"/>
    </row>
    <row r="2" spans="1:12" ht="21.2" customHeight="1">
      <c r="A2" s="635"/>
      <c r="B2" s="845" t="str">
        <f ca="1">CONCATENATE("7. melléklet ",ALAPADATOK!A7," ",ALAPADATOK!B7," ",ALAPADATOK!C7," ",ALAPADATOK!D7," ",ALAPADATOK!E7," ",ALAPADATOK!F7," ",ALAPADATOK!G7," ",ALAPADATOK!H7)</f>
        <v>7. melléklet a … / 2019 ( … ) önkormányzati rendelethez</v>
      </c>
      <c r="C2" s="845"/>
      <c r="D2" s="845"/>
      <c r="E2" s="845"/>
      <c r="F2" s="845"/>
    </row>
    <row r="3" spans="1:12">
      <c r="A3" s="635"/>
      <c r="B3" s="622"/>
      <c r="C3" s="622"/>
      <c r="D3" s="622"/>
      <c r="E3" s="622"/>
      <c r="F3" s="622"/>
    </row>
    <row r="4" spans="1:12" ht="24.75" customHeight="1">
      <c r="A4" s="844" t="s">
        <v>1</v>
      </c>
      <c r="B4" s="844"/>
      <c r="C4" s="844"/>
      <c r="D4" s="844"/>
      <c r="E4" s="844"/>
      <c r="F4" s="844"/>
    </row>
    <row r="5" spans="1:12" ht="23.25" customHeight="1" thickBot="1">
      <c r="A5" s="635"/>
      <c r="B5" s="622"/>
      <c r="C5" s="622"/>
      <c r="D5" s="622"/>
      <c r="E5" s="622"/>
      <c r="F5" s="636" t="str">
        <f ca="1">KV_6.sz.mell.!H5</f>
        <v/>
      </c>
    </row>
    <row r="6" spans="1:12" s="44" customFormat="1" ht="48.75" customHeight="1" thickBot="1">
      <c r="A6" s="637" t="s">
        <v>67</v>
      </c>
      <c r="B6" s="638" t="s">
        <v>746</v>
      </c>
      <c r="C6" s="638" t="s">
        <v>66</v>
      </c>
      <c r="D6" s="638" t="str">
        <f ca="1">+KV_6.sz.mell.!D6</f>
        <v>Felhasználás   2018. XII. 31-ig</v>
      </c>
      <c r="E6" s="638" t="str">
        <f ca="1">+KV_6.sz.mell.!E6</f>
        <v>2019. évi előirányzat</v>
      </c>
      <c r="F6" s="640" t="str">
        <f ca="1">+CONCATENATE(LEFT(KV_ÖSSZEFÜGGÉSEK!A5,4),". utáni szükséglet ",CHAR(10),"")</f>
        <v xml:space="preserve">2019. utáni szükséglet 
</v>
      </c>
      <c r="G6" s="761" t="s">
        <v>756</v>
      </c>
      <c r="H6" s="761" t="s">
        <v>741</v>
      </c>
      <c r="I6" s="761" t="s">
        <v>815</v>
      </c>
      <c r="J6" s="761" t="s">
        <v>741</v>
      </c>
      <c r="K6" s="761" t="s">
        <v>830</v>
      </c>
      <c r="L6" s="761" t="s">
        <v>741</v>
      </c>
    </row>
    <row r="7" spans="1:12" s="54" customFormat="1" ht="15.2" customHeight="1" thickBot="1">
      <c r="A7" s="52" t="s">
        <v>493</v>
      </c>
      <c r="B7" s="53" t="s">
        <v>494</v>
      </c>
      <c r="C7" s="53" t="s">
        <v>495</v>
      </c>
      <c r="D7" s="53" t="s">
        <v>497</v>
      </c>
      <c r="E7" s="53" t="s">
        <v>496</v>
      </c>
      <c r="F7" s="509" t="s">
        <v>562</v>
      </c>
    </row>
    <row r="8" spans="1:12" ht="15.95" customHeight="1">
      <c r="A8" s="685" t="s">
        <v>697</v>
      </c>
      <c r="B8" s="58">
        <v>95133147</v>
      </c>
      <c r="C8" s="464" t="s">
        <v>717</v>
      </c>
      <c r="D8" s="58"/>
      <c r="E8" s="58">
        <v>95133147</v>
      </c>
      <c r="F8" s="59">
        <f>B8-D8-E8</f>
        <v>0</v>
      </c>
      <c r="G8" s="762"/>
      <c r="H8" s="797">
        <f t="shared" ref="H8:H19" si="0">SUM(B8+G8)</f>
        <v>95133147</v>
      </c>
      <c r="I8" s="762"/>
      <c r="J8" s="797">
        <f>SUM(H8+I8)</f>
        <v>95133147</v>
      </c>
      <c r="K8" s="762">
        <v>1524000</v>
      </c>
      <c r="L8" s="797">
        <f>SUM(J8+K8)</f>
        <v>96657147</v>
      </c>
    </row>
    <row r="9" spans="1:12" ht="15.95" customHeight="1">
      <c r="A9" s="685" t="s">
        <v>704</v>
      </c>
      <c r="B9" s="58">
        <v>18471833</v>
      </c>
      <c r="C9" s="464" t="s">
        <v>717</v>
      </c>
      <c r="D9" s="58"/>
      <c r="E9" s="58">
        <v>18471833</v>
      </c>
      <c r="F9" s="59">
        <f>B9-D9-E9</f>
        <v>0</v>
      </c>
      <c r="G9" s="763">
        <v>24629110</v>
      </c>
      <c r="H9" s="798">
        <f t="shared" si="0"/>
        <v>43100943</v>
      </c>
      <c r="I9" s="763"/>
      <c r="J9" s="798">
        <f t="shared" ref="J9:J20" si="1">SUM(H9+I9)</f>
        <v>43100943</v>
      </c>
      <c r="K9" s="763"/>
      <c r="L9" s="798">
        <f t="shared" ref="L9:L20" si="2">SUM(J9+K9)</f>
        <v>43100943</v>
      </c>
    </row>
    <row r="10" spans="1:12" ht="15.95" customHeight="1">
      <c r="A10" s="686" t="s">
        <v>712</v>
      </c>
      <c r="B10" s="58">
        <v>73007938</v>
      </c>
      <c r="C10" s="464" t="s">
        <v>717</v>
      </c>
      <c r="D10" s="58"/>
      <c r="E10" s="58">
        <v>73007938</v>
      </c>
      <c r="F10" s="59">
        <f>B10-D10-E10</f>
        <v>0</v>
      </c>
      <c r="G10" s="763"/>
      <c r="H10" s="798">
        <f t="shared" si="0"/>
        <v>73007938</v>
      </c>
      <c r="I10" s="763">
        <v>1016000</v>
      </c>
      <c r="J10" s="798">
        <f t="shared" si="1"/>
        <v>74023938</v>
      </c>
      <c r="K10" s="763"/>
      <c r="L10" s="798">
        <f t="shared" si="2"/>
        <v>74023938</v>
      </c>
    </row>
    <row r="11" spans="1:12" ht="15.95" customHeight="1">
      <c r="A11" s="686" t="s">
        <v>713</v>
      </c>
      <c r="B11" s="58">
        <v>5126500</v>
      </c>
      <c r="C11" s="464" t="s">
        <v>717</v>
      </c>
      <c r="D11" s="58"/>
      <c r="E11" s="58">
        <v>5126500</v>
      </c>
      <c r="F11" s="59">
        <f>B11-D11-E11</f>
        <v>0</v>
      </c>
      <c r="G11" s="763"/>
      <c r="H11" s="798">
        <f t="shared" si="0"/>
        <v>5126500</v>
      </c>
      <c r="I11" s="763"/>
      <c r="J11" s="798">
        <f t="shared" si="1"/>
        <v>5126500</v>
      </c>
      <c r="K11" s="763"/>
      <c r="L11" s="798">
        <f t="shared" si="2"/>
        <v>5126500</v>
      </c>
    </row>
    <row r="12" spans="1:12" ht="15.95" customHeight="1">
      <c r="A12" s="686" t="s">
        <v>787</v>
      </c>
      <c r="B12" s="58"/>
      <c r="C12" s="464" t="s">
        <v>749</v>
      </c>
      <c r="D12" s="58"/>
      <c r="E12" s="58"/>
      <c r="F12" s="59"/>
      <c r="G12" s="784">
        <v>15767257</v>
      </c>
      <c r="H12" s="798">
        <f t="shared" si="0"/>
        <v>15767257</v>
      </c>
      <c r="I12" s="784"/>
      <c r="J12" s="798">
        <f t="shared" si="1"/>
        <v>15767257</v>
      </c>
      <c r="K12" s="784"/>
      <c r="L12" s="798">
        <f t="shared" si="2"/>
        <v>15767257</v>
      </c>
    </row>
    <row r="13" spans="1:12" ht="15.95" customHeight="1">
      <c r="A13" s="686" t="s">
        <v>788</v>
      </c>
      <c r="B13" s="58"/>
      <c r="C13" s="464"/>
      <c r="D13" s="58"/>
      <c r="E13" s="58"/>
      <c r="F13" s="59"/>
      <c r="G13" s="784">
        <v>7812639</v>
      </c>
      <c r="H13" s="798">
        <f t="shared" si="0"/>
        <v>7812639</v>
      </c>
      <c r="I13" s="784"/>
      <c r="J13" s="798">
        <f t="shared" si="1"/>
        <v>7812639</v>
      </c>
      <c r="K13" s="784"/>
      <c r="L13" s="798">
        <f t="shared" si="2"/>
        <v>7812639</v>
      </c>
    </row>
    <row r="14" spans="1:12" ht="15.95" customHeight="1">
      <c r="A14" s="686" t="s">
        <v>789</v>
      </c>
      <c r="B14" s="58"/>
      <c r="C14" s="464"/>
      <c r="D14" s="58"/>
      <c r="E14" s="58"/>
      <c r="F14" s="59"/>
      <c r="G14" s="784">
        <v>2185099</v>
      </c>
      <c r="H14" s="798">
        <f t="shared" si="0"/>
        <v>2185099</v>
      </c>
      <c r="I14" s="784"/>
      <c r="J14" s="798">
        <f t="shared" si="1"/>
        <v>2185099</v>
      </c>
      <c r="K14" s="784"/>
      <c r="L14" s="798">
        <f t="shared" si="2"/>
        <v>2185099</v>
      </c>
    </row>
    <row r="15" spans="1:12" ht="15.95" customHeight="1">
      <c r="A15" s="686" t="s">
        <v>832</v>
      </c>
      <c r="B15" s="58"/>
      <c r="C15" s="464"/>
      <c r="D15" s="58"/>
      <c r="E15" s="58"/>
      <c r="F15" s="59"/>
      <c r="G15" s="784"/>
      <c r="H15" s="798"/>
      <c r="I15" s="784"/>
      <c r="J15" s="798"/>
      <c r="K15" s="784">
        <v>7000000</v>
      </c>
      <c r="L15" s="798">
        <f t="shared" si="2"/>
        <v>7000000</v>
      </c>
    </row>
    <row r="16" spans="1:12" ht="15.95" customHeight="1">
      <c r="A16" s="686" t="s">
        <v>833</v>
      </c>
      <c r="B16" s="58"/>
      <c r="C16" s="464"/>
      <c r="D16" s="58"/>
      <c r="E16" s="58"/>
      <c r="F16" s="59"/>
      <c r="G16" s="784"/>
      <c r="H16" s="798"/>
      <c r="I16" s="784"/>
      <c r="J16" s="798"/>
      <c r="K16" s="784">
        <v>7044690</v>
      </c>
      <c r="L16" s="798">
        <f t="shared" si="2"/>
        <v>7044690</v>
      </c>
    </row>
    <row r="17" spans="1:12" ht="15.95" customHeight="1">
      <c r="A17" s="686" t="s">
        <v>834</v>
      </c>
      <c r="B17" s="58"/>
      <c r="C17" s="464"/>
      <c r="D17" s="58"/>
      <c r="E17" s="58"/>
      <c r="F17" s="59"/>
      <c r="G17" s="784"/>
      <c r="H17" s="798"/>
      <c r="I17" s="784"/>
      <c r="J17" s="798"/>
      <c r="K17" s="784">
        <v>30000000</v>
      </c>
      <c r="L17" s="798">
        <f t="shared" si="2"/>
        <v>30000000</v>
      </c>
    </row>
    <row r="18" spans="1:12" ht="15.95" customHeight="1">
      <c r="A18" s="686" t="s">
        <v>790</v>
      </c>
      <c r="B18" s="58"/>
      <c r="C18" s="464"/>
      <c r="D18" s="58"/>
      <c r="E18" s="58"/>
      <c r="F18" s="59"/>
      <c r="G18" s="784">
        <v>40000000</v>
      </c>
      <c r="H18" s="798">
        <f t="shared" si="0"/>
        <v>40000000</v>
      </c>
      <c r="I18" s="784"/>
      <c r="J18" s="798">
        <f t="shared" si="1"/>
        <v>40000000</v>
      </c>
      <c r="K18" s="784"/>
      <c r="L18" s="798">
        <f t="shared" si="2"/>
        <v>40000000</v>
      </c>
    </row>
    <row r="19" spans="1:12" ht="15.95" customHeight="1" thickBot="1">
      <c r="A19" s="686" t="s">
        <v>714</v>
      </c>
      <c r="B19" s="58">
        <v>19999560</v>
      </c>
      <c r="C19" s="464" t="s">
        <v>717</v>
      </c>
      <c r="D19" s="58"/>
      <c r="E19" s="58">
        <v>19999560</v>
      </c>
      <c r="F19" s="59">
        <f>B19-D19-E19</f>
        <v>0</v>
      </c>
      <c r="G19" s="764"/>
      <c r="H19" s="805">
        <f t="shared" si="0"/>
        <v>19999560</v>
      </c>
      <c r="I19" s="764"/>
      <c r="J19" s="799">
        <f t="shared" si="1"/>
        <v>19999560</v>
      </c>
      <c r="K19" s="764"/>
      <c r="L19" s="799">
        <f t="shared" si="2"/>
        <v>19999560</v>
      </c>
    </row>
    <row r="20" spans="1:12" s="57" customFormat="1" ht="18" customHeight="1" thickBot="1">
      <c r="A20" s="778" t="s">
        <v>63</v>
      </c>
      <c r="B20" s="779">
        <f>SUM(B8:B19)</f>
        <v>211738978</v>
      </c>
      <c r="C20" s="780"/>
      <c r="D20" s="779">
        <f t="shared" ref="D20:I20" si="3">SUM(D8:D19)</f>
        <v>0</v>
      </c>
      <c r="E20" s="779">
        <f t="shared" si="3"/>
        <v>211738978</v>
      </c>
      <c r="F20" s="781">
        <f t="shared" si="3"/>
        <v>0</v>
      </c>
      <c r="G20" s="782">
        <f t="shared" si="3"/>
        <v>90394105</v>
      </c>
      <c r="H20" s="783">
        <f t="shared" si="3"/>
        <v>302133083</v>
      </c>
      <c r="I20" s="782">
        <f t="shared" si="3"/>
        <v>1016000</v>
      </c>
      <c r="J20" s="756">
        <f t="shared" si="1"/>
        <v>303149083</v>
      </c>
      <c r="K20" s="782">
        <f>SUM(K8:K19)</f>
        <v>45568690</v>
      </c>
      <c r="L20" s="756">
        <f t="shared" si="2"/>
        <v>348717773</v>
      </c>
    </row>
  </sheetData>
  <mergeCells count="2">
    <mergeCell ref="A4:F4"/>
    <mergeCell ref="B2:F2"/>
  </mergeCells>
  <phoneticPr fontId="0" type="noConversion"/>
  <printOptions horizontalCentered="1"/>
  <pageMargins left="0.98425196850393704" right="0.98425196850393704" top="0.98425196850393704" bottom="0.98425196850393704" header="0.51181102362204722" footer="0.51181102362204722"/>
  <pageSetup paperSize="8" scale="80" orientation="landscape" horizontalDpi="300" verticalDpi="300" r:id="rId1"/>
  <headerFooter alignWithMargins="0">
    <oddHeader xml:space="preserve">&amp;R&amp;"Times New Roman CE,Félkövér dőlt"&amp;12 &amp;11 7. melléklet a ……/2018. (….) önkormányzati rendelethez&amp;"Times New Roman CE,Normál"&amp;10
   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rgb="FF92D050"/>
  </sheetPr>
  <dimension ref="A1:H174"/>
  <sheetViews>
    <sheetView zoomScale="120" zoomScaleNormal="120" workbookViewId="0">
      <selection activeCell="J17" sqref="J17"/>
    </sheetView>
  </sheetViews>
  <sheetFormatPr defaultRowHeight="12.75"/>
  <cols>
    <col min="1" max="1" width="38.6640625" style="46" customWidth="1"/>
    <col min="2" max="5" width="13.83203125" style="46" customWidth="1"/>
    <col min="6" max="16384" width="9.33203125" style="46"/>
  </cols>
  <sheetData>
    <row r="1" spans="1:5" ht="15">
      <c r="A1" s="852" t="str">
        <f ca="1">CONCATENATE("8. melléklet ",ALAPADATOK!A7," ",ALAPADATOK!B7," ",ALAPADATOK!C7," ",ALAPADATOK!D7," ",ALAPADATOK!E7," ",ALAPADATOK!F7," ",ALAPADATOK!G7," ",ALAPADATOK!H7)</f>
        <v>8. melléklet a … / 2019 ( … ) önkormányzati rendelethez</v>
      </c>
      <c r="B1" s="853"/>
      <c r="C1" s="853"/>
      <c r="D1" s="853"/>
      <c r="E1" s="853"/>
    </row>
    <row r="2" spans="1:5" ht="11.1" customHeight="1">
      <c r="A2" s="651"/>
      <c r="B2" s="652"/>
      <c r="C2" s="652"/>
      <c r="D2" s="652"/>
      <c r="E2" s="652"/>
    </row>
    <row r="3" spans="1:5" ht="15.75">
      <c r="A3" s="850" t="s">
        <v>681</v>
      </c>
      <c r="B3" s="851"/>
      <c r="C3" s="851"/>
      <c r="D3" s="851"/>
      <c r="E3" s="851"/>
    </row>
    <row r="4" spans="1:5" ht="15.75">
      <c r="A4" s="850" t="s">
        <v>682</v>
      </c>
      <c r="B4" s="850"/>
      <c r="C4" s="850"/>
      <c r="D4" s="850"/>
      <c r="E4" s="850"/>
    </row>
    <row r="5" spans="1:5" ht="15.75">
      <c r="A5" s="554" t="s">
        <v>138</v>
      </c>
      <c r="B5" s="847"/>
      <c r="C5" s="847"/>
      <c r="D5" s="847"/>
      <c r="E5" s="847"/>
    </row>
    <row r="6" spans="1:5" ht="13.5" thickBot="1">
      <c r="A6" s="154"/>
      <c r="B6" s="154"/>
      <c r="C6" s="154"/>
      <c r="D6" s="848" t="str">
        <f ca="1">KV_7.sz.mell.!F5</f>
        <v/>
      </c>
      <c r="E6" s="848"/>
    </row>
    <row r="7" spans="1:5" ht="15.2" customHeight="1" thickBot="1">
      <c r="A7" s="641" t="s">
        <v>131</v>
      </c>
      <c r="B7" s="642" t="str">
        <f ca="1">CONCATENATE((LEFT(KV_ÖSSZEFÜGGÉSEK!A5,4)),".")</f>
        <v>2019.</v>
      </c>
      <c r="C7" s="642" t="str">
        <f ca="1">CONCATENATE((LEFT(KV_ÖSSZEFÜGGÉSEK!A5,4))+1,".")</f>
        <v>2020.</v>
      </c>
      <c r="D7" s="642" t="str">
        <f ca="1">CONCATENATE((LEFT(KV_ÖSSZEFÜGGÉSEK!A5,4))+1,". után")</f>
        <v>2020. után</v>
      </c>
      <c r="E7" s="643" t="s">
        <v>51</v>
      </c>
    </row>
    <row r="8" spans="1:5">
      <c r="A8" s="206" t="s">
        <v>132</v>
      </c>
      <c r="B8" s="80"/>
      <c r="C8" s="80"/>
      <c r="D8" s="80"/>
      <c r="E8" s="207">
        <f t="shared" ref="E8:E14" si="0">SUM(B8:D8)</f>
        <v>0</v>
      </c>
    </row>
    <row r="9" spans="1:5">
      <c r="A9" s="208" t="s">
        <v>145</v>
      </c>
      <c r="B9" s="81"/>
      <c r="C9" s="81"/>
      <c r="D9" s="81"/>
      <c r="E9" s="209">
        <f t="shared" si="0"/>
        <v>0</v>
      </c>
    </row>
    <row r="10" spans="1:5">
      <c r="A10" s="210" t="s">
        <v>133</v>
      </c>
      <c r="B10" s="82"/>
      <c r="C10" s="82"/>
      <c r="D10" s="82"/>
      <c r="E10" s="211">
        <f t="shared" si="0"/>
        <v>0</v>
      </c>
    </row>
    <row r="11" spans="1:5">
      <c r="A11" s="210" t="s">
        <v>147</v>
      </c>
      <c r="B11" s="82"/>
      <c r="C11" s="82"/>
      <c r="D11" s="82"/>
      <c r="E11" s="211">
        <f t="shared" si="0"/>
        <v>0</v>
      </c>
    </row>
    <row r="12" spans="1:5">
      <c r="A12" s="210" t="s">
        <v>134</v>
      </c>
      <c r="B12" s="82"/>
      <c r="C12" s="82"/>
      <c r="D12" s="82"/>
      <c r="E12" s="211">
        <f t="shared" si="0"/>
        <v>0</v>
      </c>
    </row>
    <row r="13" spans="1:5">
      <c r="A13" s="210" t="s">
        <v>135</v>
      </c>
      <c r="B13" s="82"/>
      <c r="C13" s="82"/>
      <c r="D13" s="82"/>
      <c r="E13" s="211">
        <f t="shared" si="0"/>
        <v>0</v>
      </c>
    </row>
    <row r="14" spans="1:5" ht="13.5" thickBot="1">
      <c r="A14" s="83"/>
      <c r="B14" s="84"/>
      <c r="C14" s="84"/>
      <c r="D14" s="84"/>
      <c r="E14" s="211">
        <f t="shared" si="0"/>
        <v>0</v>
      </c>
    </row>
    <row r="15" spans="1:5" ht="13.5" thickBot="1">
      <c r="A15" s="212" t="s">
        <v>137</v>
      </c>
      <c r="B15" s="213">
        <f>B8+SUM(B10:B14)</f>
        <v>0</v>
      </c>
      <c r="C15" s="213">
        <f>C8+SUM(C10:C14)</f>
        <v>0</v>
      </c>
      <c r="D15" s="213">
        <f>D8+SUM(D10:D14)</f>
        <v>0</v>
      </c>
      <c r="E15" s="214">
        <f>E8+SUM(E10:E14)</f>
        <v>0</v>
      </c>
    </row>
    <row r="16" spans="1:5" ht="13.5" thickBot="1">
      <c r="A16" s="50"/>
      <c r="B16" s="50"/>
      <c r="C16" s="50"/>
      <c r="D16" s="50"/>
      <c r="E16" s="50"/>
    </row>
    <row r="17" spans="1:5" ht="15.2" customHeight="1" thickBot="1">
      <c r="A17" s="203" t="s">
        <v>136</v>
      </c>
      <c r="B17" s="204" t="str">
        <f ca="1">+B7</f>
        <v>2019.</v>
      </c>
      <c r="C17" s="204" t="str">
        <f ca="1">+C7</f>
        <v>2020.</v>
      </c>
      <c r="D17" s="204" t="str">
        <f ca="1">+D7</f>
        <v>2020. után</v>
      </c>
      <c r="E17" s="205" t="s">
        <v>51</v>
      </c>
    </row>
    <row r="18" spans="1:5">
      <c r="A18" s="206" t="s">
        <v>141</v>
      </c>
      <c r="B18" s="80"/>
      <c r="C18" s="80"/>
      <c r="D18" s="80"/>
      <c r="E18" s="207">
        <f t="shared" ref="E18:E23" si="1">SUM(B18:D18)</f>
        <v>0</v>
      </c>
    </row>
    <row r="19" spans="1:5">
      <c r="A19" s="215" t="s">
        <v>142</v>
      </c>
      <c r="B19" s="82"/>
      <c r="C19" s="82"/>
      <c r="D19" s="82"/>
      <c r="E19" s="211">
        <f t="shared" si="1"/>
        <v>0</v>
      </c>
    </row>
    <row r="20" spans="1:5">
      <c r="A20" s="210" t="s">
        <v>143</v>
      </c>
      <c r="B20" s="82"/>
      <c r="C20" s="82"/>
      <c r="D20" s="82"/>
      <c r="E20" s="211">
        <f t="shared" si="1"/>
        <v>0</v>
      </c>
    </row>
    <row r="21" spans="1:5">
      <c r="A21" s="210" t="s">
        <v>144</v>
      </c>
      <c r="B21" s="82"/>
      <c r="C21" s="82"/>
      <c r="D21" s="82"/>
      <c r="E21" s="211">
        <f t="shared" si="1"/>
        <v>0</v>
      </c>
    </row>
    <row r="22" spans="1:5">
      <c r="A22" s="85"/>
      <c r="B22" s="82"/>
      <c r="C22" s="82"/>
      <c r="D22" s="82"/>
      <c r="E22" s="211">
        <f t="shared" si="1"/>
        <v>0</v>
      </c>
    </row>
    <row r="23" spans="1:5" ht="13.5" thickBot="1">
      <c r="A23" s="83"/>
      <c r="B23" s="84"/>
      <c r="C23" s="84"/>
      <c r="D23" s="84"/>
      <c r="E23" s="211">
        <f t="shared" si="1"/>
        <v>0</v>
      </c>
    </row>
    <row r="24" spans="1:5" ht="13.5" thickBot="1">
      <c r="A24" s="212" t="s">
        <v>53</v>
      </c>
      <c r="B24" s="213">
        <f>SUM(B18:B23)</f>
        <v>0</v>
      </c>
      <c r="C24" s="213">
        <f>SUM(C18:C23)</f>
        <v>0</v>
      </c>
      <c r="D24" s="213">
        <f>SUM(D18:D23)</f>
        <v>0</v>
      </c>
      <c r="E24" s="214">
        <f>SUM(E18:E23)</f>
        <v>0</v>
      </c>
    </row>
    <row r="25" spans="1:5">
      <c r="A25" s="202"/>
      <c r="B25" s="202"/>
      <c r="C25" s="202"/>
      <c r="D25" s="202"/>
      <c r="E25" s="202"/>
    </row>
    <row r="26" spans="1:5" ht="15.75">
      <c r="A26" s="554" t="s">
        <v>138</v>
      </c>
      <c r="B26" s="847"/>
      <c r="C26" s="847"/>
      <c r="D26" s="847"/>
      <c r="E26" s="847"/>
    </row>
    <row r="27" spans="1:5" ht="13.5" thickBot="1">
      <c r="A27" s="202"/>
      <c r="B27" s="202"/>
      <c r="C27" s="202"/>
      <c r="D27" s="849" t="str">
        <f ca="1">D6</f>
        <v/>
      </c>
      <c r="E27" s="849"/>
    </row>
    <row r="28" spans="1:5" ht="13.5" thickBot="1">
      <c r="A28" s="203" t="s">
        <v>131</v>
      </c>
      <c r="B28" s="204" t="str">
        <f ca="1">+B17</f>
        <v>2019.</v>
      </c>
      <c r="C28" s="204" t="str">
        <f ca="1">+C17</f>
        <v>2020.</v>
      </c>
      <c r="D28" s="204" t="str">
        <f ca="1">+D17</f>
        <v>2020. után</v>
      </c>
      <c r="E28" s="205" t="s">
        <v>51</v>
      </c>
    </row>
    <row r="29" spans="1:5">
      <c r="A29" s="206" t="s">
        <v>132</v>
      </c>
      <c r="B29" s="80"/>
      <c r="C29" s="80"/>
      <c r="D29" s="80"/>
      <c r="E29" s="207">
        <f t="shared" ref="E29:E35" si="2">SUM(B29:D29)</f>
        <v>0</v>
      </c>
    </row>
    <row r="30" spans="1:5">
      <c r="A30" s="208" t="s">
        <v>145</v>
      </c>
      <c r="B30" s="81"/>
      <c r="C30" s="81"/>
      <c r="D30" s="81"/>
      <c r="E30" s="209">
        <f t="shared" si="2"/>
        <v>0</v>
      </c>
    </row>
    <row r="31" spans="1:5">
      <c r="A31" s="210" t="s">
        <v>133</v>
      </c>
      <c r="B31" s="82"/>
      <c r="C31" s="82"/>
      <c r="D31" s="82"/>
      <c r="E31" s="211">
        <f t="shared" si="2"/>
        <v>0</v>
      </c>
    </row>
    <row r="32" spans="1:5">
      <c r="A32" s="210" t="s">
        <v>147</v>
      </c>
      <c r="B32" s="82"/>
      <c r="C32" s="82"/>
      <c r="D32" s="82"/>
      <c r="E32" s="211">
        <f t="shared" si="2"/>
        <v>0</v>
      </c>
    </row>
    <row r="33" spans="1:8">
      <c r="A33" s="210" t="s">
        <v>134</v>
      </c>
      <c r="B33" s="82"/>
      <c r="C33" s="82"/>
      <c r="D33" s="82"/>
      <c r="E33" s="211">
        <f t="shared" si="2"/>
        <v>0</v>
      </c>
    </row>
    <row r="34" spans="1:8">
      <c r="A34" s="210" t="s">
        <v>135</v>
      </c>
      <c r="B34" s="82"/>
      <c r="C34" s="82"/>
      <c r="D34" s="82"/>
      <c r="E34" s="211">
        <f t="shared" si="2"/>
        <v>0</v>
      </c>
    </row>
    <row r="35" spans="1:8" ht="13.5" thickBot="1">
      <c r="A35" s="83"/>
      <c r="B35" s="84"/>
      <c r="C35" s="84"/>
      <c r="D35" s="84"/>
      <c r="E35" s="211">
        <f t="shared" si="2"/>
        <v>0</v>
      </c>
    </row>
    <row r="36" spans="1:8" ht="13.5" thickBot="1">
      <c r="A36" s="212" t="s">
        <v>137</v>
      </c>
      <c r="B36" s="213">
        <f>B29+SUM(B31:B35)</f>
        <v>0</v>
      </c>
      <c r="C36" s="213">
        <f>C29+SUM(C31:C35)</f>
        <v>0</v>
      </c>
      <c r="D36" s="213">
        <f>D29+SUM(D31:D35)</f>
        <v>0</v>
      </c>
      <c r="E36" s="214">
        <f>E29+SUM(E31:E35)</f>
        <v>0</v>
      </c>
    </row>
    <row r="37" spans="1:8" ht="13.5" thickBot="1">
      <c r="A37" s="50"/>
      <c r="B37" s="50"/>
      <c r="C37" s="50"/>
      <c r="D37" s="50"/>
      <c r="E37" s="50"/>
    </row>
    <row r="38" spans="1:8" ht="13.5" thickBot="1">
      <c r="A38" s="203" t="s">
        <v>136</v>
      </c>
      <c r="B38" s="204" t="str">
        <f ca="1">+B28</f>
        <v>2019.</v>
      </c>
      <c r="C38" s="204" t="str">
        <f ca="1">+C28</f>
        <v>2020.</v>
      </c>
      <c r="D38" s="204" t="str">
        <f ca="1">+D28</f>
        <v>2020. után</v>
      </c>
      <c r="E38" s="205" t="s">
        <v>51</v>
      </c>
    </row>
    <row r="39" spans="1:8">
      <c r="A39" s="206" t="s">
        <v>141</v>
      </c>
      <c r="B39" s="80"/>
      <c r="C39" s="80"/>
      <c r="D39" s="80"/>
      <c r="E39" s="207">
        <f>SUM(B39:D39)</f>
        <v>0</v>
      </c>
    </row>
    <row r="40" spans="1:8">
      <c r="A40" s="215" t="s">
        <v>142</v>
      </c>
      <c r="B40" s="82"/>
      <c r="C40" s="82"/>
      <c r="D40" s="82"/>
      <c r="E40" s="211">
        <f>SUM(B40:D40)</f>
        <v>0</v>
      </c>
    </row>
    <row r="41" spans="1:8">
      <c r="A41" s="210" t="s">
        <v>143</v>
      </c>
      <c r="B41" s="82"/>
      <c r="C41" s="82"/>
      <c r="D41" s="82"/>
      <c r="E41" s="211">
        <f>SUM(B41:D41)</f>
        <v>0</v>
      </c>
    </row>
    <row r="42" spans="1:8">
      <c r="A42" s="210" t="s">
        <v>144</v>
      </c>
      <c r="B42" s="82"/>
      <c r="C42" s="82"/>
      <c r="D42" s="82"/>
      <c r="E42" s="211">
        <f>SUM(B42:D42)</f>
        <v>0</v>
      </c>
    </row>
    <row r="43" spans="1:8" ht="13.5" thickBot="1">
      <c r="A43" s="83"/>
      <c r="B43" s="84"/>
      <c r="C43" s="84"/>
      <c r="D43" s="84"/>
      <c r="E43" s="211">
        <f>SUM(B43:D43)</f>
        <v>0</v>
      </c>
    </row>
    <row r="44" spans="1:8" ht="13.5" thickBot="1">
      <c r="A44" s="212" t="s">
        <v>53</v>
      </c>
      <c r="B44" s="213">
        <f>SUM(B39:B43)</f>
        <v>0</v>
      </c>
      <c r="C44" s="213">
        <f>SUM(C39:C43)</f>
        <v>0</v>
      </c>
      <c r="D44" s="213">
        <f>SUM(D39:D43)</f>
        <v>0</v>
      </c>
      <c r="E44" s="214">
        <f>SUM(E39:E43)</f>
        <v>0</v>
      </c>
    </row>
    <row r="45" spans="1:8">
      <c r="A45" s="202"/>
      <c r="B45" s="202"/>
      <c r="C45" s="202"/>
      <c r="D45" s="202"/>
      <c r="E45" s="202"/>
    </row>
    <row r="46" spans="1:8" ht="14.25">
      <c r="A46" s="861" t="str">
        <f ca="1">+CONCATENATE("Önkormányzaton kívüli EU-s projektekhez történő hozzájárulás ",LEFT(KV_ÖSSZEFÜGGÉSEK!A5,4),". évi előirányzat")</f>
        <v>Önkormányzaton kívüli EU-s projektekhez történő hozzájárulás 2019. évi előirányzat</v>
      </c>
      <c r="B46" s="861"/>
      <c r="C46" s="861"/>
      <c r="D46" s="861"/>
      <c r="E46" s="861"/>
    </row>
    <row r="47" spans="1:8" ht="13.5" thickBot="1">
      <c r="A47" s="202"/>
      <c r="B47" s="202"/>
      <c r="C47" s="202"/>
      <c r="D47" s="202"/>
      <c r="E47" s="202"/>
    </row>
    <row r="48" spans="1:8" ht="13.5" thickBot="1">
      <c r="A48" s="866" t="s">
        <v>139</v>
      </c>
      <c r="B48" s="867"/>
      <c r="C48" s="868"/>
      <c r="D48" s="864" t="s">
        <v>565</v>
      </c>
      <c r="E48" s="865"/>
      <c r="H48" s="47"/>
    </row>
    <row r="49" spans="1:5">
      <c r="A49" s="869"/>
      <c r="B49" s="870"/>
      <c r="C49" s="871"/>
      <c r="D49" s="857"/>
      <c r="E49" s="858"/>
    </row>
    <row r="50" spans="1:5" ht="13.5" thickBot="1">
      <c r="A50" s="872"/>
      <c r="B50" s="873"/>
      <c r="C50" s="874"/>
      <c r="D50" s="859"/>
      <c r="E50" s="860"/>
    </row>
    <row r="51" spans="1:5" ht="13.5" thickBot="1">
      <c r="A51" s="854" t="s">
        <v>53</v>
      </c>
      <c r="B51" s="855"/>
      <c r="C51" s="856"/>
      <c r="D51" s="862">
        <f>SUM(D49:E50)</f>
        <v>0</v>
      </c>
      <c r="E51" s="863"/>
    </row>
    <row r="52" spans="1:5">
      <c r="A52" s="154"/>
      <c r="B52" s="154"/>
      <c r="C52" s="154"/>
      <c r="D52" s="154"/>
      <c r="E52" s="154"/>
    </row>
    <row r="53" spans="1:5">
      <c r="A53" s="154"/>
      <c r="B53" s="154"/>
      <c r="C53" s="154"/>
      <c r="D53" s="154"/>
      <c r="E53" s="154"/>
    </row>
    <row r="54" spans="1:5">
      <c r="A54" s="154"/>
      <c r="B54" s="154"/>
      <c r="C54" s="154"/>
      <c r="D54" s="154"/>
      <c r="E54" s="154"/>
    </row>
    <row r="55" spans="1:5">
      <c r="A55" s="154"/>
      <c r="B55" s="154"/>
      <c r="C55" s="154"/>
      <c r="D55" s="154"/>
      <c r="E55" s="154"/>
    </row>
    <row r="56" spans="1:5">
      <c r="A56" s="154"/>
      <c r="B56" s="154"/>
      <c r="C56" s="154"/>
      <c r="D56" s="154"/>
      <c r="E56" s="154"/>
    </row>
    <row r="57" spans="1:5">
      <c r="A57" s="154"/>
      <c r="B57" s="154"/>
      <c r="C57" s="154"/>
      <c r="D57" s="154"/>
      <c r="E57" s="154"/>
    </row>
    <row r="58" spans="1:5">
      <c r="A58" s="154"/>
      <c r="B58" s="154"/>
      <c r="C58" s="154"/>
      <c r="D58" s="154"/>
      <c r="E58" s="154"/>
    </row>
    <row r="59" spans="1:5">
      <c r="A59" s="154"/>
      <c r="B59" s="154"/>
      <c r="C59" s="154"/>
      <c r="D59" s="154"/>
      <c r="E59" s="154"/>
    </row>
    <row r="60" spans="1:5">
      <c r="A60" s="154"/>
      <c r="B60" s="154"/>
      <c r="C60" s="154"/>
      <c r="D60" s="154"/>
      <c r="E60" s="154"/>
    </row>
    <row r="61" spans="1:5">
      <c r="A61" s="154"/>
      <c r="B61" s="154"/>
      <c r="C61" s="154"/>
      <c r="D61" s="154"/>
      <c r="E61" s="154"/>
    </row>
    <row r="62" spans="1:5">
      <c r="A62" s="154"/>
      <c r="B62" s="154"/>
      <c r="C62" s="154"/>
      <c r="D62" s="154"/>
      <c r="E62" s="154"/>
    </row>
    <row r="63" spans="1:5">
      <c r="A63" s="154"/>
      <c r="B63" s="154"/>
      <c r="C63" s="154"/>
      <c r="D63" s="154"/>
      <c r="E63" s="154"/>
    </row>
    <row r="64" spans="1:5">
      <c r="A64" s="154"/>
      <c r="B64" s="154"/>
      <c r="C64" s="154"/>
      <c r="D64" s="154"/>
      <c r="E64" s="154"/>
    </row>
    <row r="65" spans="1:5">
      <c r="A65" s="154"/>
      <c r="B65" s="154"/>
      <c r="C65" s="154"/>
      <c r="D65" s="154"/>
      <c r="E65" s="154"/>
    </row>
    <row r="66" spans="1:5">
      <c r="A66" s="154"/>
      <c r="B66" s="154"/>
      <c r="C66" s="154"/>
      <c r="D66" s="154"/>
      <c r="E66" s="154"/>
    </row>
    <row r="67" spans="1:5">
      <c r="A67" s="154"/>
      <c r="B67" s="154"/>
      <c r="C67" s="154"/>
      <c r="D67" s="154"/>
      <c r="E67" s="154"/>
    </row>
    <row r="68" spans="1:5">
      <c r="A68" s="154"/>
      <c r="B68" s="154"/>
      <c r="C68" s="154"/>
      <c r="D68" s="154"/>
      <c r="E68" s="154"/>
    </row>
    <row r="69" spans="1:5">
      <c r="A69" s="154"/>
      <c r="B69" s="154"/>
      <c r="C69" s="154"/>
      <c r="D69" s="154"/>
      <c r="E69" s="154"/>
    </row>
    <row r="70" spans="1:5">
      <c r="A70" s="154"/>
      <c r="B70" s="154"/>
      <c r="C70" s="154"/>
      <c r="D70" s="154"/>
      <c r="E70" s="154"/>
    </row>
    <row r="71" spans="1:5">
      <c r="A71" s="154"/>
      <c r="B71" s="154"/>
      <c r="C71" s="154"/>
      <c r="D71" s="154"/>
      <c r="E71" s="154"/>
    </row>
    <row r="72" spans="1:5">
      <c r="A72" s="154"/>
      <c r="B72" s="154"/>
      <c r="C72" s="154"/>
      <c r="D72" s="154"/>
      <c r="E72" s="154"/>
    </row>
    <row r="73" spans="1:5">
      <c r="A73" s="154"/>
      <c r="B73" s="154"/>
      <c r="C73" s="154"/>
      <c r="D73" s="154"/>
      <c r="E73" s="154"/>
    </row>
    <row r="74" spans="1:5">
      <c r="A74" s="154"/>
      <c r="B74" s="154"/>
      <c r="C74" s="154"/>
      <c r="D74" s="154"/>
      <c r="E74" s="154"/>
    </row>
    <row r="75" spans="1:5">
      <c r="A75" s="154"/>
      <c r="B75" s="154"/>
      <c r="C75" s="154"/>
      <c r="D75" s="154"/>
      <c r="E75" s="154"/>
    </row>
    <row r="76" spans="1:5">
      <c r="A76" s="154"/>
      <c r="B76" s="154"/>
      <c r="C76" s="154"/>
      <c r="D76" s="154"/>
      <c r="E76" s="154"/>
    </row>
    <row r="77" spans="1:5">
      <c r="A77" s="154"/>
      <c r="B77" s="154"/>
      <c r="C77" s="154"/>
      <c r="D77" s="154"/>
      <c r="E77" s="154"/>
    </row>
    <row r="78" spans="1:5">
      <c r="A78" s="154"/>
      <c r="B78" s="154"/>
      <c r="C78" s="154"/>
      <c r="D78" s="154"/>
      <c r="E78" s="154"/>
    </row>
    <row r="79" spans="1:5">
      <c r="A79" s="154"/>
      <c r="B79" s="154"/>
      <c r="C79" s="154"/>
      <c r="D79" s="154"/>
      <c r="E79" s="154"/>
    </row>
    <row r="80" spans="1:5">
      <c r="A80" s="154"/>
      <c r="B80" s="154"/>
      <c r="C80" s="154"/>
      <c r="D80" s="154"/>
      <c r="E80" s="154"/>
    </row>
    <row r="81" spans="1:5">
      <c r="A81" s="154"/>
      <c r="B81" s="154"/>
      <c r="C81" s="154"/>
      <c r="D81" s="154"/>
      <c r="E81" s="154"/>
    </row>
    <row r="82" spans="1:5">
      <c r="A82" s="154"/>
      <c r="B82" s="154"/>
      <c r="C82" s="154"/>
      <c r="D82" s="154"/>
      <c r="E82" s="154"/>
    </row>
    <row r="83" spans="1:5">
      <c r="A83" s="154"/>
      <c r="B83" s="154"/>
      <c r="C83" s="154"/>
      <c r="D83" s="154"/>
      <c r="E83" s="154"/>
    </row>
    <row r="84" spans="1:5">
      <c r="A84" s="154"/>
      <c r="B84" s="154"/>
      <c r="C84" s="154"/>
      <c r="D84" s="154"/>
      <c r="E84" s="154"/>
    </row>
    <row r="85" spans="1:5">
      <c r="A85" s="154"/>
      <c r="B85" s="154"/>
      <c r="C85" s="154"/>
      <c r="D85" s="154"/>
      <c r="E85" s="154"/>
    </row>
    <row r="86" spans="1:5">
      <c r="A86" s="154"/>
      <c r="B86" s="154"/>
      <c r="C86" s="154"/>
      <c r="D86" s="154"/>
      <c r="E86" s="154"/>
    </row>
    <row r="87" spans="1:5">
      <c r="A87" s="154"/>
      <c r="B87" s="154"/>
      <c r="C87" s="154"/>
      <c r="D87" s="154"/>
      <c r="E87" s="154"/>
    </row>
    <row r="88" spans="1:5">
      <c r="A88" s="154"/>
      <c r="B88" s="154"/>
      <c r="C88" s="154"/>
      <c r="D88" s="154"/>
      <c r="E88" s="154"/>
    </row>
    <row r="89" spans="1:5">
      <c r="A89" s="154"/>
      <c r="B89" s="154"/>
      <c r="C89" s="154"/>
      <c r="D89" s="154"/>
      <c r="E89" s="154"/>
    </row>
    <row r="90" spans="1:5">
      <c r="A90" s="154"/>
      <c r="B90" s="154"/>
      <c r="C90" s="154"/>
      <c r="D90" s="154"/>
      <c r="E90" s="154"/>
    </row>
    <row r="91" spans="1:5">
      <c r="A91" s="154"/>
      <c r="B91" s="154"/>
      <c r="C91" s="154"/>
      <c r="D91" s="154"/>
      <c r="E91" s="154"/>
    </row>
    <row r="92" spans="1:5">
      <c r="A92" s="154"/>
      <c r="B92" s="154"/>
      <c r="C92" s="154"/>
      <c r="D92" s="154"/>
      <c r="E92" s="154"/>
    </row>
    <row r="93" spans="1:5">
      <c r="A93" s="154"/>
      <c r="B93" s="154"/>
      <c r="C93" s="154"/>
      <c r="D93" s="154"/>
      <c r="E93" s="154"/>
    </row>
    <row r="94" spans="1:5">
      <c r="A94" s="154"/>
      <c r="B94" s="154"/>
      <c r="C94" s="154"/>
      <c r="D94" s="154"/>
      <c r="E94" s="154"/>
    </row>
    <row r="95" spans="1:5">
      <c r="A95" s="154"/>
      <c r="B95" s="154"/>
      <c r="C95" s="154"/>
      <c r="D95" s="154"/>
      <c r="E95" s="154"/>
    </row>
    <row r="96" spans="1:5">
      <c r="A96" s="154"/>
      <c r="B96" s="154"/>
      <c r="C96" s="154"/>
      <c r="D96" s="154"/>
      <c r="E96" s="154"/>
    </row>
    <row r="97" spans="1:5">
      <c r="A97" s="154"/>
      <c r="B97" s="154"/>
      <c r="C97" s="154"/>
      <c r="D97" s="154"/>
      <c r="E97" s="154"/>
    </row>
    <row r="98" spans="1:5">
      <c r="A98" s="154"/>
      <c r="B98" s="154"/>
      <c r="C98" s="154"/>
      <c r="D98" s="154"/>
      <c r="E98" s="154"/>
    </row>
    <row r="99" spans="1:5">
      <c r="A99" s="154"/>
      <c r="B99" s="154"/>
      <c r="C99" s="154"/>
      <c r="D99" s="154"/>
      <c r="E99" s="154"/>
    </row>
    <row r="100" spans="1:5">
      <c r="A100" s="154"/>
      <c r="B100" s="154"/>
      <c r="C100" s="154"/>
      <c r="D100" s="154"/>
      <c r="E100" s="154"/>
    </row>
    <row r="101" spans="1:5">
      <c r="A101" s="154"/>
      <c r="B101" s="154"/>
      <c r="C101" s="154"/>
      <c r="D101" s="154"/>
      <c r="E101" s="154"/>
    </row>
    <row r="102" spans="1:5">
      <c r="A102" s="154"/>
      <c r="B102" s="154"/>
      <c r="C102" s="154"/>
      <c r="D102" s="154"/>
      <c r="E102" s="154"/>
    </row>
    <row r="103" spans="1:5">
      <c r="A103" s="154"/>
      <c r="B103" s="154"/>
      <c r="C103" s="154"/>
      <c r="D103" s="154"/>
      <c r="E103" s="154"/>
    </row>
    <row r="104" spans="1:5">
      <c r="A104" s="154"/>
      <c r="B104" s="154"/>
      <c r="C104" s="154"/>
      <c r="D104" s="154"/>
      <c r="E104" s="154"/>
    </row>
    <row r="105" spans="1:5">
      <c r="A105" s="154"/>
      <c r="B105" s="154"/>
      <c r="C105" s="154"/>
      <c r="D105" s="154"/>
      <c r="E105" s="154"/>
    </row>
    <row r="106" spans="1:5">
      <c r="A106" s="154"/>
      <c r="B106" s="154"/>
      <c r="C106" s="154"/>
      <c r="D106" s="154"/>
      <c r="E106" s="154"/>
    </row>
    <row r="107" spans="1:5">
      <c r="A107" s="154"/>
      <c r="B107" s="154"/>
      <c r="C107" s="154"/>
      <c r="D107" s="154"/>
      <c r="E107" s="154"/>
    </row>
    <row r="108" spans="1:5">
      <c r="A108" s="154"/>
      <c r="B108" s="154"/>
      <c r="C108" s="154"/>
      <c r="D108" s="154"/>
      <c r="E108" s="154"/>
    </row>
    <row r="109" spans="1:5">
      <c r="A109" s="154"/>
      <c r="B109" s="154"/>
      <c r="C109" s="154"/>
      <c r="D109" s="154"/>
      <c r="E109" s="154"/>
    </row>
    <row r="110" spans="1:5">
      <c r="A110" s="154"/>
      <c r="B110" s="154"/>
      <c r="C110" s="154"/>
      <c r="D110" s="154"/>
      <c r="E110" s="154"/>
    </row>
    <row r="111" spans="1:5">
      <c r="A111" s="154"/>
      <c r="B111" s="154"/>
      <c r="C111" s="154"/>
      <c r="D111" s="154"/>
      <c r="E111" s="154"/>
    </row>
    <row r="112" spans="1:5">
      <c r="A112" s="154"/>
      <c r="B112" s="154"/>
      <c r="C112" s="154"/>
      <c r="D112" s="154"/>
      <c r="E112" s="154"/>
    </row>
    <row r="113" spans="1:5">
      <c r="A113" s="154"/>
      <c r="B113" s="154"/>
      <c r="C113" s="154"/>
      <c r="D113" s="154"/>
      <c r="E113" s="154"/>
    </row>
    <row r="114" spans="1:5">
      <c r="A114" s="154"/>
      <c r="B114" s="154"/>
      <c r="C114" s="154"/>
      <c r="D114" s="154"/>
      <c r="E114" s="154"/>
    </row>
    <row r="115" spans="1:5">
      <c r="A115" s="154"/>
      <c r="B115" s="154"/>
      <c r="C115" s="154"/>
      <c r="D115" s="154"/>
      <c r="E115" s="154"/>
    </row>
    <row r="116" spans="1:5">
      <c r="A116" s="154"/>
      <c r="B116" s="154"/>
      <c r="C116" s="154"/>
      <c r="D116" s="154"/>
      <c r="E116" s="154"/>
    </row>
    <row r="117" spans="1:5">
      <c r="A117" s="154"/>
      <c r="B117" s="154"/>
      <c r="C117" s="154"/>
      <c r="D117" s="154"/>
      <c r="E117" s="154"/>
    </row>
    <row r="118" spans="1:5">
      <c r="A118" s="154"/>
      <c r="B118" s="154"/>
      <c r="C118" s="154"/>
      <c r="D118" s="154"/>
      <c r="E118" s="154"/>
    </row>
    <row r="119" spans="1:5">
      <c r="A119" s="154"/>
      <c r="B119" s="154"/>
      <c r="C119" s="154"/>
      <c r="D119" s="154"/>
      <c r="E119" s="154"/>
    </row>
    <row r="120" spans="1:5">
      <c r="A120" s="154"/>
      <c r="B120" s="154"/>
      <c r="C120" s="154"/>
      <c r="D120" s="154"/>
      <c r="E120" s="154"/>
    </row>
    <row r="121" spans="1:5">
      <c r="A121" s="154"/>
      <c r="B121" s="154"/>
      <c r="C121" s="154"/>
      <c r="D121" s="154"/>
      <c r="E121" s="154"/>
    </row>
    <row r="122" spans="1:5">
      <c r="A122" s="154"/>
      <c r="B122" s="154"/>
      <c r="C122" s="154"/>
      <c r="D122" s="154"/>
      <c r="E122" s="154"/>
    </row>
    <row r="123" spans="1:5">
      <c r="A123" s="154"/>
      <c r="B123" s="154"/>
      <c r="C123" s="154"/>
      <c r="D123" s="154"/>
      <c r="E123" s="154"/>
    </row>
    <row r="124" spans="1:5">
      <c r="A124" s="154"/>
      <c r="B124" s="154"/>
      <c r="C124" s="154"/>
      <c r="D124" s="154"/>
      <c r="E124" s="154"/>
    </row>
    <row r="125" spans="1:5">
      <c r="A125" s="154"/>
      <c r="B125" s="154"/>
      <c r="C125" s="154"/>
      <c r="D125" s="154"/>
      <c r="E125" s="154"/>
    </row>
    <row r="126" spans="1:5">
      <c r="A126" s="154"/>
      <c r="B126" s="154"/>
      <c r="C126" s="154"/>
      <c r="D126" s="154"/>
      <c r="E126" s="154"/>
    </row>
    <row r="127" spans="1:5">
      <c r="A127" s="154"/>
      <c r="B127" s="154"/>
      <c r="C127" s="154"/>
      <c r="D127" s="154"/>
      <c r="E127" s="154"/>
    </row>
    <row r="128" spans="1:5">
      <c r="A128" s="154"/>
      <c r="B128" s="154"/>
      <c r="C128" s="154"/>
      <c r="D128" s="154"/>
      <c r="E128" s="154"/>
    </row>
    <row r="129" spans="1:5">
      <c r="A129" s="154"/>
      <c r="B129" s="154"/>
      <c r="C129" s="154"/>
      <c r="D129" s="154"/>
      <c r="E129" s="154"/>
    </row>
    <row r="130" spans="1:5">
      <c r="A130" s="154"/>
      <c r="B130" s="154"/>
      <c r="C130" s="154"/>
      <c r="D130" s="154"/>
      <c r="E130" s="154"/>
    </row>
    <row r="131" spans="1:5">
      <c r="A131" s="154"/>
      <c r="B131" s="154"/>
      <c r="C131" s="154"/>
      <c r="D131" s="154"/>
      <c r="E131" s="154"/>
    </row>
    <row r="132" spans="1:5">
      <c r="A132" s="154"/>
      <c r="B132" s="154"/>
      <c r="C132" s="154"/>
      <c r="D132" s="154"/>
      <c r="E132" s="154"/>
    </row>
    <row r="133" spans="1:5">
      <c r="A133" s="154"/>
      <c r="B133" s="154"/>
      <c r="C133" s="154"/>
      <c r="D133" s="154"/>
      <c r="E133" s="154"/>
    </row>
    <row r="134" spans="1:5">
      <c r="A134" s="154"/>
      <c r="B134" s="154"/>
      <c r="C134" s="154"/>
      <c r="D134" s="154"/>
      <c r="E134" s="154"/>
    </row>
    <row r="135" spans="1:5">
      <c r="A135" s="154"/>
      <c r="B135" s="154"/>
      <c r="C135" s="154"/>
      <c r="D135" s="154"/>
      <c r="E135" s="154"/>
    </row>
    <row r="136" spans="1:5">
      <c r="A136" s="154"/>
      <c r="B136" s="154"/>
      <c r="C136" s="154"/>
      <c r="D136" s="154"/>
      <c r="E136" s="154"/>
    </row>
    <row r="137" spans="1:5">
      <c r="A137" s="154"/>
      <c r="B137" s="154"/>
      <c r="C137" s="154"/>
      <c r="D137" s="154"/>
      <c r="E137" s="154"/>
    </row>
    <row r="138" spans="1:5">
      <c r="A138" s="154"/>
      <c r="B138" s="154"/>
      <c r="C138" s="154"/>
      <c r="D138" s="154"/>
      <c r="E138" s="154"/>
    </row>
    <row r="139" spans="1:5">
      <c r="A139" s="154"/>
      <c r="B139" s="154"/>
      <c r="C139" s="154"/>
      <c r="D139" s="154"/>
      <c r="E139" s="154"/>
    </row>
    <row r="140" spans="1:5">
      <c r="A140" s="154"/>
      <c r="B140" s="154"/>
      <c r="C140" s="154"/>
      <c r="D140" s="154"/>
      <c r="E140" s="154"/>
    </row>
    <row r="141" spans="1:5">
      <c r="A141" s="154"/>
      <c r="B141" s="154"/>
      <c r="C141" s="154"/>
      <c r="D141" s="154"/>
      <c r="E141" s="154"/>
    </row>
    <row r="142" spans="1:5">
      <c r="A142" s="154"/>
      <c r="B142" s="154"/>
      <c r="C142" s="154"/>
      <c r="D142" s="154"/>
      <c r="E142" s="154"/>
    </row>
    <row r="143" spans="1:5">
      <c r="A143" s="154"/>
      <c r="B143" s="154"/>
      <c r="C143" s="154"/>
      <c r="D143" s="154"/>
      <c r="E143" s="154"/>
    </row>
    <row r="144" spans="1:5">
      <c r="A144" s="154"/>
      <c r="B144" s="154"/>
      <c r="C144" s="154"/>
      <c r="D144" s="154"/>
      <c r="E144" s="154"/>
    </row>
    <row r="145" spans="1:5">
      <c r="A145" s="154"/>
      <c r="B145" s="154"/>
      <c r="C145" s="154"/>
      <c r="D145" s="154"/>
      <c r="E145" s="154"/>
    </row>
    <row r="146" spans="1:5">
      <c r="A146" s="154"/>
      <c r="B146" s="154"/>
      <c r="C146" s="154"/>
      <c r="D146" s="154"/>
      <c r="E146" s="154"/>
    </row>
    <row r="147" spans="1:5">
      <c r="A147" s="154"/>
      <c r="B147" s="154"/>
      <c r="C147" s="154"/>
      <c r="D147" s="154"/>
      <c r="E147" s="154"/>
    </row>
    <row r="148" spans="1:5">
      <c r="A148" s="154"/>
      <c r="B148" s="154"/>
      <c r="C148" s="154"/>
      <c r="D148" s="154"/>
      <c r="E148" s="154"/>
    </row>
    <row r="149" spans="1:5">
      <c r="A149" s="154"/>
      <c r="B149" s="154"/>
      <c r="C149" s="154"/>
      <c r="D149" s="154"/>
      <c r="E149" s="154"/>
    </row>
    <row r="150" spans="1:5">
      <c r="A150" s="154"/>
      <c r="B150" s="154"/>
      <c r="C150" s="154"/>
      <c r="D150" s="154"/>
      <c r="E150" s="154"/>
    </row>
    <row r="151" spans="1:5">
      <c r="A151" s="154"/>
      <c r="B151" s="154"/>
      <c r="C151" s="154"/>
      <c r="D151" s="154"/>
      <c r="E151" s="154"/>
    </row>
    <row r="152" spans="1:5">
      <c r="A152" s="154"/>
      <c r="B152" s="154"/>
      <c r="C152" s="154"/>
      <c r="D152" s="154"/>
      <c r="E152" s="154"/>
    </row>
    <row r="153" spans="1:5">
      <c r="A153" s="154"/>
      <c r="B153" s="154"/>
      <c r="C153" s="154"/>
      <c r="D153" s="154"/>
      <c r="E153" s="154"/>
    </row>
    <row r="154" spans="1:5">
      <c r="A154" s="154"/>
      <c r="B154" s="154"/>
      <c r="C154" s="154"/>
      <c r="D154" s="154"/>
      <c r="E154" s="154"/>
    </row>
    <row r="155" spans="1:5">
      <c r="A155" s="154"/>
      <c r="B155" s="154"/>
      <c r="C155" s="154"/>
      <c r="D155" s="154"/>
      <c r="E155" s="154"/>
    </row>
    <row r="156" spans="1:5">
      <c r="A156" s="154"/>
      <c r="B156" s="154"/>
      <c r="C156" s="154"/>
      <c r="D156" s="154"/>
      <c r="E156" s="154"/>
    </row>
    <row r="157" spans="1:5">
      <c r="A157" s="154"/>
      <c r="B157" s="154"/>
      <c r="C157" s="154"/>
      <c r="D157" s="154"/>
      <c r="E157" s="154"/>
    </row>
    <row r="158" spans="1:5">
      <c r="A158" s="154"/>
      <c r="B158" s="154"/>
      <c r="C158" s="154"/>
      <c r="D158" s="154"/>
      <c r="E158" s="154"/>
    </row>
    <row r="159" spans="1:5">
      <c r="A159" s="154"/>
      <c r="B159" s="154"/>
      <c r="C159" s="154"/>
      <c r="D159" s="154"/>
      <c r="E159" s="154"/>
    </row>
    <row r="160" spans="1:5">
      <c r="A160" s="154"/>
      <c r="B160" s="154"/>
      <c r="C160" s="154"/>
      <c r="D160" s="154"/>
      <c r="E160" s="154"/>
    </row>
    <row r="161" spans="1:5">
      <c r="A161" s="154"/>
      <c r="B161" s="154"/>
      <c r="C161" s="154"/>
      <c r="D161" s="154"/>
      <c r="E161" s="154"/>
    </row>
    <row r="162" spans="1:5">
      <c r="A162" s="154"/>
      <c r="B162" s="154"/>
      <c r="C162" s="154"/>
      <c r="D162" s="154"/>
      <c r="E162" s="154"/>
    </row>
    <row r="163" spans="1:5">
      <c r="A163" s="154"/>
      <c r="B163" s="154"/>
      <c r="C163" s="154"/>
      <c r="D163" s="154"/>
      <c r="E163" s="154"/>
    </row>
    <row r="164" spans="1:5">
      <c r="A164" s="154"/>
      <c r="B164" s="154"/>
      <c r="C164" s="154"/>
      <c r="D164" s="154"/>
      <c r="E164" s="154"/>
    </row>
    <row r="165" spans="1:5">
      <c r="A165" s="154"/>
      <c r="B165" s="154"/>
      <c r="C165" s="154"/>
      <c r="D165" s="154"/>
      <c r="E165" s="154"/>
    </row>
    <row r="166" spans="1:5">
      <c r="A166" s="154"/>
      <c r="B166" s="154"/>
      <c r="C166" s="154"/>
      <c r="D166" s="154"/>
      <c r="E166" s="154"/>
    </row>
    <row r="167" spans="1:5">
      <c r="A167" s="154"/>
      <c r="B167" s="154"/>
      <c r="C167" s="154"/>
      <c r="D167" s="154"/>
      <c r="E167" s="154"/>
    </row>
    <row r="168" spans="1:5">
      <c r="A168" s="154"/>
      <c r="B168" s="154"/>
      <c r="C168" s="154"/>
      <c r="D168" s="154"/>
      <c r="E168" s="154"/>
    </row>
    <row r="169" spans="1:5">
      <c r="A169" s="154"/>
      <c r="B169" s="154"/>
      <c r="C169" s="154"/>
      <c r="D169" s="154"/>
      <c r="E169" s="154"/>
    </row>
    <row r="170" spans="1:5">
      <c r="A170" s="154"/>
      <c r="B170" s="154"/>
      <c r="C170" s="154"/>
      <c r="D170" s="154"/>
      <c r="E170" s="154"/>
    </row>
    <row r="171" spans="1:5">
      <c r="A171" s="154"/>
      <c r="B171" s="154"/>
      <c r="C171" s="154"/>
      <c r="D171" s="154"/>
      <c r="E171" s="154"/>
    </row>
    <row r="172" spans="1:5">
      <c r="A172" s="154"/>
      <c r="B172" s="154"/>
      <c r="C172" s="154"/>
      <c r="D172" s="154"/>
      <c r="E172" s="154"/>
    </row>
    <row r="173" spans="1:5">
      <c r="A173" s="154"/>
      <c r="B173" s="154"/>
      <c r="C173" s="154"/>
      <c r="D173" s="154"/>
      <c r="E173" s="154"/>
    </row>
    <row r="174" spans="1:5">
      <c r="A174" s="154"/>
      <c r="B174" s="154"/>
      <c r="C174" s="154"/>
      <c r="D174" s="154"/>
      <c r="E174" s="154"/>
    </row>
  </sheetData>
  <sheetProtection sheet="1"/>
  <mergeCells count="16">
    <mergeCell ref="A1:E1"/>
    <mergeCell ref="A51:C51"/>
    <mergeCell ref="D49:E49"/>
    <mergeCell ref="D50:E50"/>
    <mergeCell ref="A46:E46"/>
    <mergeCell ref="D51:E51"/>
    <mergeCell ref="D48:E48"/>
    <mergeCell ref="A48:C48"/>
    <mergeCell ref="A49:C49"/>
    <mergeCell ref="A50:C50"/>
    <mergeCell ref="B5:E5"/>
    <mergeCell ref="B26:E26"/>
    <mergeCell ref="D6:E6"/>
    <mergeCell ref="D27:E27"/>
    <mergeCell ref="A3:E3"/>
    <mergeCell ref="A4:E4"/>
  </mergeCells>
  <phoneticPr fontId="29" type="noConversion"/>
  <conditionalFormatting sqref="B44:D44 D51:E51 E29:E36 B36:D36 E39:E44 B24:E24 E8:E15 B15:D15 E18:E23">
    <cfRule type="cellIs" dxfId="1" priority="1" stopIfTrue="1" operator="equal">
      <formula>0</formula>
    </cfRule>
  </conditionalFormatting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sheetPr codeName="Munka4">
    <tabColor rgb="FF92D050"/>
  </sheetPr>
  <dimension ref="A1:K179"/>
  <sheetViews>
    <sheetView topLeftCell="A64" zoomScale="120" zoomScaleNormal="120" zoomScaleSheetLayoutView="85" workbookViewId="0">
      <selection activeCell="J114" sqref="J114"/>
    </sheetView>
  </sheetViews>
  <sheetFormatPr defaultRowHeight="12.75"/>
  <cols>
    <col min="1" max="1" width="19.5" style="383" customWidth="1"/>
    <col min="2" max="2" width="72" style="384" customWidth="1"/>
    <col min="3" max="3" width="25" style="385" customWidth="1"/>
    <col min="4" max="4" width="14.5" style="385" customWidth="1"/>
    <col min="5" max="5" width="17" style="385" customWidth="1"/>
    <col min="6" max="6" width="13.1640625" style="3" customWidth="1"/>
    <col min="7" max="7" width="14.33203125" style="3" customWidth="1"/>
    <col min="8" max="8" width="14.6640625" style="3" customWidth="1"/>
    <col min="9" max="9" width="14" style="3" customWidth="1"/>
    <col min="10" max="10" width="14.1640625" style="3" customWidth="1"/>
    <col min="11" max="11" width="15.83203125" style="3" customWidth="1"/>
    <col min="12" max="16384" width="9.33203125" style="3"/>
  </cols>
  <sheetData>
    <row r="1" spans="1:11" s="2" customFormat="1" ht="16.5" customHeight="1" thickBot="1">
      <c r="A1" s="593"/>
      <c r="B1" s="594"/>
      <c r="C1" s="588" t="str">
        <f ca="1">CONCATENATE("9.1. melléklet ",ALAPADATOK!A7," ",ALAPADATOK!B7," ",ALAPADATOK!C7," ",ALAPADATOK!D7," ",ALAPADATOK!E7," ",ALAPADATOK!F7," ",ALAPADATOK!G7," ",ALAPADATOK!H7)</f>
        <v>9.1. melléklet a … / 2019 ( … ) önkormányzati rendelethez</v>
      </c>
      <c r="D1" s="588"/>
      <c r="E1" s="588"/>
    </row>
    <row r="2" spans="1:11" s="86" customFormat="1" ht="21.2" customHeight="1">
      <c r="A2" s="595" t="s">
        <v>61</v>
      </c>
      <c r="B2" s="596" t="str">
        <f ca="1">CONCATENATE(ALAPADATOK!A3)</f>
        <v>DABAS ÖNKORMÁNYZATA</v>
      </c>
      <c r="C2" s="597" t="s">
        <v>54</v>
      </c>
      <c r="D2" s="696"/>
      <c r="E2" s="696"/>
    </row>
    <row r="3" spans="1:11" s="86" customFormat="1" ht="16.5" thickBot="1">
      <c r="A3" s="598" t="s">
        <v>203</v>
      </c>
      <c r="B3" s="599" t="s">
        <v>398</v>
      </c>
      <c r="C3" s="600" t="s">
        <v>54</v>
      </c>
      <c r="D3" s="697"/>
      <c r="E3" s="697"/>
    </row>
    <row r="4" spans="1:11" s="87" customFormat="1" ht="15.95" customHeight="1" thickBot="1">
      <c r="A4" s="601"/>
      <c r="B4" s="601"/>
      <c r="C4" s="602" t="str">
        <f ca="1">KV_7.sz.mell.!F5</f>
        <v/>
      </c>
      <c r="D4" s="602"/>
      <c r="E4" s="602"/>
    </row>
    <row r="5" spans="1:11" ht="23.25" customHeight="1" thickBot="1">
      <c r="A5" s="603" t="s">
        <v>205</v>
      </c>
      <c r="B5" s="604" t="s">
        <v>563</v>
      </c>
      <c r="C5" s="605" t="s">
        <v>55</v>
      </c>
      <c r="D5" s="605" t="s">
        <v>743</v>
      </c>
      <c r="E5" s="605" t="s">
        <v>744</v>
      </c>
      <c r="F5" s="605" t="s">
        <v>754</v>
      </c>
      <c r="G5" s="605" t="s">
        <v>744</v>
      </c>
      <c r="H5" s="605" t="s">
        <v>811</v>
      </c>
      <c r="I5" s="605" t="s">
        <v>744</v>
      </c>
      <c r="J5" s="605" t="s">
        <v>829</v>
      </c>
      <c r="K5" s="605" t="s">
        <v>744</v>
      </c>
    </row>
    <row r="6" spans="1:11" s="60" customFormat="1" ht="20.25" customHeight="1" thickBot="1">
      <c r="A6" s="606"/>
      <c r="B6" s="607" t="s">
        <v>493</v>
      </c>
      <c r="C6" s="608" t="s">
        <v>494</v>
      </c>
      <c r="D6" s="608" t="s">
        <v>494</v>
      </c>
      <c r="E6" s="608" t="s">
        <v>494</v>
      </c>
      <c r="F6" s="608" t="s">
        <v>494</v>
      </c>
      <c r="G6" s="608" t="s">
        <v>494</v>
      </c>
      <c r="H6" s="608" t="s">
        <v>494</v>
      </c>
      <c r="I6" s="608" t="s">
        <v>494</v>
      </c>
      <c r="J6" s="608" t="s">
        <v>494</v>
      </c>
      <c r="K6" s="608" t="s">
        <v>494</v>
      </c>
    </row>
    <row r="7" spans="1:11" s="60" customFormat="1" ht="15.95" customHeight="1" thickBot="1">
      <c r="A7" s="609"/>
      <c r="B7" s="610" t="s">
        <v>56</v>
      </c>
      <c r="C7" s="611"/>
      <c r="D7" s="611"/>
      <c r="E7" s="611"/>
      <c r="F7" s="611"/>
      <c r="G7" s="611"/>
      <c r="H7" s="611"/>
      <c r="I7" s="611"/>
      <c r="J7" s="611"/>
      <c r="K7" s="611"/>
    </row>
    <row r="8" spans="1:11" s="60" customFormat="1" ht="12" customHeight="1" thickBot="1">
      <c r="A8" s="32" t="s">
        <v>18</v>
      </c>
      <c r="B8" s="21" t="s">
        <v>252</v>
      </c>
      <c r="C8" s="290">
        <f>+C9+C10+C11+C12+C13+C14</f>
        <v>905656407</v>
      </c>
      <c r="D8" s="290">
        <f>+D9+D10+D11+D12+D13+D14</f>
        <v>0</v>
      </c>
      <c r="E8" s="290">
        <f>SUM(C8:D8)</f>
        <v>905656407</v>
      </c>
      <c r="F8" s="290">
        <f>+F9+F10+F11+F12+F13+F14</f>
        <v>27348337</v>
      </c>
      <c r="G8" s="290">
        <f t="shared" ref="G8:G27" si="0">SUM(E8:F8)</f>
        <v>933004744</v>
      </c>
      <c r="H8" s="290">
        <f>+H9+H10+H11+H12+H13+H14</f>
        <v>0</v>
      </c>
      <c r="I8" s="290">
        <f t="shared" ref="I8:I27" si="1">SUM(G8:H8)</f>
        <v>933004744</v>
      </c>
      <c r="J8" s="290">
        <f>+J9+J10+J11+J12+J13+J14</f>
        <v>21509645</v>
      </c>
      <c r="K8" s="290">
        <f t="shared" ref="K8:K27" si="2">SUM(I8:J8)</f>
        <v>954514389</v>
      </c>
    </row>
    <row r="9" spans="1:11" s="88" customFormat="1" ht="12" customHeight="1">
      <c r="A9" s="428" t="s">
        <v>98</v>
      </c>
      <c r="B9" s="409" t="s">
        <v>253</v>
      </c>
      <c r="C9" s="293">
        <v>172534022</v>
      </c>
      <c r="D9" s="293"/>
      <c r="E9" s="700">
        <f t="shared" ref="E9:E72" si="3">SUM(C9:D9)</f>
        <v>172534022</v>
      </c>
      <c r="F9" s="293"/>
      <c r="G9" s="700">
        <f t="shared" si="0"/>
        <v>172534022</v>
      </c>
      <c r="H9" s="293"/>
      <c r="I9" s="700">
        <f t="shared" si="1"/>
        <v>172534022</v>
      </c>
      <c r="J9" s="293">
        <v>2843168</v>
      </c>
      <c r="K9" s="700">
        <f t="shared" si="2"/>
        <v>175377190</v>
      </c>
    </row>
    <row r="10" spans="1:11" s="89" customFormat="1" ht="12" customHeight="1">
      <c r="A10" s="429" t="s">
        <v>99</v>
      </c>
      <c r="B10" s="410" t="s">
        <v>254</v>
      </c>
      <c r="C10" s="292">
        <v>437309484</v>
      </c>
      <c r="D10" s="292"/>
      <c r="E10" s="701">
        <f t="shared" si="3"/>
        <v>437309484</v>
      </c>
      <c r="F10" s="292"/>
      <c r="G10" s="701">
        <f t="shared" si="0"/>
        <v>437309484</v>
      </c>
      <c r="H10" s="292"/>
      <c r="I10" s="701">
        <f t="shared" si="1"/>
        <v>437309484</v>
      </c>
      <c r="J10" s="292">
        <v>14765300</v>
      </c>
      <c r="K10" s="701">
        <f t="shared" si="2"/>
        <v>452074784</v>
      </c>
    </row>
    <row r="11" spans="1:11" s="89" customFormat="1" ht="12" customHeight="1">
      <c r="A11" s="429" t="s">
        <v>100</v>
      </c>
      <c r="B11" s="410" t="s">
        <v>550</v>
      </c>
      <c r="C11" s="292">
        <v>275225961</v>
      </c>
      <c r="D11" s="292"/>
      <c r="E11" s="701">
        <f t="shared" si="3"/>
        <v>275225961</v>
      </c>
      <c r="F11" s="292">
        <v>16758737</v>
      </c>
      <c r="G11" s="701">
        <f t="shared" si="0"/>
        <v>291984698</v>
      </c>
      <c r="H11" s="292"/>
      <c r="I11" s="701">
        <f t="shared" si="1"/>
        <v>291984698</v>
      </c>
      <c r="J11" s="292">
        <v>927177</v>
      </c>
      <c r="K11" s="701">
        <f t="shared" si="2"/>
        <v>292911875</v>
      </c>
    </row>
    <row r="12" spans="1:11" s="89" customFormat="1" ht="12" customHeight="1">
      <c r="A12" s="429" t="s">
        <v>101</v>
      </c>
      <c r="B12" s="410" t="s">
        <v>256</v>
      </c>
      <c r="C12" s="292">
        <v>20586940</v>
      </c>
      <c r="D12" s="292"/>
      <c r="E12" s="701">
        <f t="shared" si="3"/>
        <v>20586940</v>
      </c>
      <c r="F12" s="292"/>
      <c r="G12" s="701">
        <f t="shared" si="0"/>
        <v>20586940</v>
      </c>
      <c r="H12" s="292"/>
      <c r="I12" s="701">
        <f t="shared" si="1"/>
        <v>20586940</v>
      </c>
      <c r="J12" s="292">
        <v>2585000</v>
      </c>
      <c r="K12" s="701">
        <f t="shared" si="2"/>
        <v>23171940</v>
      </c>
    </row>
    <row r="13" spans="1:11" s="89" customFormat="1" ht="12" customHeight="1">
      <c r="A13" s="429" t="s">
        <v>148</v>
      </c>
      <c r="B13" s="410" t="s">
        <v>506</v>
      </c>
      <c r="C13" s="292"/>
      <c r="D13" s="292"/>
      <c r="E13" s="698">
        <f t="shared" si="3"/>
        <v>0</v>
      </c>
      <c r="F13" s="292">
        <v>10589600</v>
      </c>
      <c r="G13" s="701">
        <f t="shared" si="0"/>
        <v>10589600</v>
      </c>
      <c r="H13" s="292"/>
      <c r="I13" s="701">
        <f t="shared" si="1"/>
        <v>10589600</v>
      </c>
      <c r="J13" s="292">
        <v>389000</v>
      </c>
      <c r="K13" s="701">
        <f t="shared" si="2"/>
        <v>10978600</v>
      </c>
    </row>
    <row r="14" spans="1:11" s="88" customFormat="1" ht="12" customHeight="1" thickBot="1">
      <c r="A14" s="430" t="s">
        <v>102</v>
      </c>
      <c r="B14" s="548" t="s">
        <v>576</v>
      </c>
      <c r="C14" s="292"/>
      <c r="D14" s="292"/>
      <c r="E14" s="699">
        <f t="shared" si="3"/>
        <v>0</v>
      </c>
      <c r="F14" s="292"/>
      <c r="G14" s="699">
        <f t="shared" si="0"/>
        <v>0</v>
      </c>
      <c r="H14" s="292"/>
      <c r="I14" s="699">
        <f t="shared" si="1"/>
        <v>0</v>
      </c>
      <c r="J14" s="292"/>
      <c r="K14" s="699">
        <f t="shared" si="2"/>
        <v>0</v>
      </c>
    </row>
    <row r="15" spans="1:11" s="88" customFormat="1" ht="12" customHeight="1" thickBot="1">
      <c r="A15" s="32" t="s">
        <v>19</v>
      </c>
      <c r="B15" s="285" t="s">
        <v>257</v>
      </c>
      <c r="C15" s="290">
        <f>+C16+C17+C18+C19+C20</f>
        <v>4300000</v>
      </c>
      <c r="D15" s="290">
        <f>+D16+D17+D18+D19+D20</f>
        <v>6335494</v>
      </c>
      <c r="E15" s="290">
        <f t="shared" si="3"/>
        <v>10635494</v>
      </c>
      <c r="F15" s="290">
        <f>+F16+F17+F18+F19+F20</f>
        <v>50791708</v>
      </c>
      <c r="G15" s="290">
        <f t="shared" si="0"/>
        <v>61427202</v>
      </c>
      <c r="H15" s="290">
        <f>+H16+H17+H18+H19+H20</f>
        <v>21581095</v>
      </c>
      <c r="I15" s="290">
        <f t="shared" si="1"/>
        <v>83008297</v>
      </c>
      <c r="J15" s="290">
        <f>+J16+J17+J18+J19+J20</f>
        <v>50955957</v>
      </c>
      <c r="K15" s="290">
        <f t="shared" si="2"/>
        <v>133964254</v>
      </c>
    </row>
    <row r="16" spans="1:11" s="88" customFormat="1" ht="12" customHeight="1">
      <c r="A16" s="428" t="s">
        <v>104</v>
      </c>
      <c r="B16" s="409" t="s">
        <v>258</v>
      </c>
      <c r="C16" s="293"/>
      <c r="D16" s="293"/>
      <c r="E16" s="700">
        <f t="shared" si="3"/>
        <v>0</v>
      </c>
      <c r="F16" s="293">
        <v>48791708</v>
      </c>
      <c r="G16" s="700">
        <f t="shared" si="0"/>
        <v>48791708</v>
      </c>
      <c r="H16" s="293"/>
      <c r="I16" s="700">
        <f t="shared" si="1"/>
        <v>48791708</v>
      </c>
      <c r="J16" s="293"/>
      <c r="K16" s="700">
        <f t="shared" si="2"/>
        <v>48791708</v>
      </c>
    </row>
    <row r="17" spans="1:11" s="88" customFormat="1" ht="12" customHeight="1">
      <c r="A17" s="429" t="s">
        <v>105</v>
      </c>
      <c r="B17" s="410" t="s">
        <v>259</v>
      </c>
      <c r="C17" s="292"/>
      <c r="D17" s="292"/>
      <c r="E17" s="701">
        <f t="shared" si="3"/>
        <v>0</v>
      </c>
      <c r="F17" s="292"/>
      <c r="G17" s="701">
        <f t="shared" si="0"/>
        <v>0</v>
      </c>
      <c r="H17" s="292"/>
      <c r="I17" s="701">
        <f t="shared" si="1"/>
        <v>0</v>
      </c>
      <c r="J17" s="292"/>
      <c r="K17" s="701">
        <f t="shared" si="2"/>
        <v>0</v>
      </c>
    </row>
    <row r="18" spans="1:11" s="88" customFormat="1" ht="12" customHeight="1">
      <c r="A18" s="429" t="s">
        <v>106</v>
      </c>
      <c r="B18" s="410" t="s">
        <v>422</v>
      </c>
      <c r="C18" s="292"/>
      <c r="D18" s="292"/>
      <c r="E18" s="701">
        <f t="shared" si="3"/>
        <v>0</v>
      </c>
      <c r="F18" s="292"/>
      <c r="G18" s="701">
        <f t="shared" si="0"/>
        <v>0</v>
      </c>
      <c r="H18" s="292"/>
      <c r="I18" s="701">
        <f t="shared" si="1"/>
        <v>0</v>
      </c>
      <c r="J18" s="292"/>
      <c r="K18" s="701">
        <f t="shared" si="2"/>
        <v>0</v>
      </c>
    </row>
    <row r="19" spans="1:11" s="88" customFormat="1" ht="12" customHeight="1">
      <c r="A19" s="429" t="s">
        <v>107</v>
      </c>
      <c r="B19" s="410" t="s">
        <v>423</v>
      </c>
      <c r="C19" s="292"/>
      <c r="D19" s="292"/>
      <c r="E19" s="701">
        <f t="shared" si="3"/>
        <v>0</v>
      </c>
      <c r="F19" s="292"/>
      <c r="G19" s="701">
        <f t="shared" si="0"/>
        <v>0</v>
      </c>
      <c r="H19" s="292"/>
      <c r="I19" s="701">
        <f t="shared" si="1"/>
        <v>0</v>
      </c>
      <c r="J19" s="292">
        <v>8100000</v>
      </c>
      <c r="K19" s="701">
        <f t="shared" si="2"/>
        <v>8100000</v>
      </c>
    </row>
    <row r="20" spans="1:11" s="88" customFormat="1" ht="12" customHeight="1">
      <c r="A20" s="429" t="s">
        <v>108</v>
      </c>
      <c r="B20" s="410" t="s">
        <v>260</v>
      </c>
      <c r="C20" s="292">
        <v>4300000</v>
      </c>
      <c r="D20" s="292">
        <v>6335494</v>
      </c>
      <c r="E20" s="701">
        <f t="shared" si="3"/>
        <v>10635494</v>
      </c>
      <c r="F20" s="292">
        <v>2000000</v>
      </c>
      <c r="G20" s="701">
        <f t="shared" si="0"/>
        <v>12635494</v>
      </c>
      <c r="H20" s="292">
        <v>21581095</v>
      </c>
      <c r="I20" s="701">
        <f t="shared" si="1"/>
        <v>34216589</v>
      </c>
      <c r="J20" s="292">
        <v>42855957</v>
      </c>
      <c r="K20" s="701">
        <f t="shared" si="2"/>
        <v>77072546</v>
      </c>
    </row>
    <row r="21" spans="1:11" s="89" customFormat="1" ht="12" customHeight="1" thickBot="1">
      <c r="A21" s="430" t="s">
        <v>117</v>
      </c>
      <c r="B21" s="548" t="s">
        <v>577</v>
      </c>
      <c r="C21" s="294"/>
      <c r="D21" s="294"/>
      <c r="E21" s="702">
        <f t="shared" si="3"/>
        <v>0</v>
      </c>
      <c r="F21" s="294"/>
      <c r="G21" s="702">
        <f t="shared" si="0"/>
        <v>0</v>
      </c>
      <c r="H21" s="294"/>
      <c r="I21" s="702">
        <f t="shared" si="1"/>
        <v>0</v>
      </c>
      <c r="J21" s="294"/>
      <c r="K21" s="702">
        <f t="shared" si="2"/>
        <v>0</v>
      </c>
    </row>
    <row r="22" spans="1:11" s="89" customFormat="1" ht="12" customHeight="1" thickBot="1">
      <c r="A22" s="32" t="s">
        <v>20</v>
      </c>
      <c r="B22" s="21" t="s">
        <v>262</v>
      </c>
      <c r="C22" s="290">
        <f>+C23+C24+C25+C26+C27</f>
        <v>384801977</v>
      </c>
      <c r="D22" s="290">
        <f>+D23+D24+D25+D26+D27</f>
        <v>0</v>
      </c>
      <c r="E22" s="290">
        <f t="shared" si="3"/>
        <v>384801977</v>
      </c>
      <c r="F22" s="290">
        <f>+F23+F24+F25+F26+F27</f>
        <v>0</v>
      </c>
      <c r="G22" s="290">
        <f t="shared" si="0"/>
        <v>384801977</v>
      </c>
      <c r="H22" s="290">
        <f>+H23+H24+H25+H26+H27</f>
        <v>-278002417</v>
      </c>
      <c r="I22" s="290">
        <f t="shared" si="1"/>
        <v>106799560</v>
      </c>
      <c r="J22" s="290">
        <f>+J23+J24+J25+J26+J27</f>
        <v>0</v>
      </c>
      <c r="K22" s="290">
        <f t="shared" si="2"/>
        <v>106799560</v>
      </c>
    </row>
    <row r="23" spans="1:11" s="89" customFormat="1" ht="12" customHeight="1">
      <c r="A23" s="428" t="s">
        <v>87</v>
      </c>
      <c r="B23" s="409" t="s">
        <v>263</v>
      </c>
      <c r="C23" s="293"/>
      <c r="D23" s="293"/>
      <c r="E23" s="700">
        <f t="shared" si="3"/>
        <v>0</v>
      </c>
      <c r="F23" s="293"/>
      <c r="G23" s="700">
        <f t="shared" si="0"/>
        <v>0</v>
      </c>
      <c r="H23" s="293"/>
      <c r="I23" s="700">
        <f t="shared" si="1"/>
        <v>0</v>
      </c>
      <c r="J23" s="293"/>
      <c r="K23" s="700">
        <f t="shared" si="2"/>
        <v>0</v>
      </c>
    </row>
    <row r="24" spans="1:11" s="88" customFormat="1" ht="12" customHeight="1">
      <c r="A24" s="429" t="s">
        <v>88</v>
      </c>
      <c r="B24" s="410" t="s">
        <v>264</v>
      </c>
      <c r="C24" s="292"/>
      <c r="D24" s="292"/>
      <c r="E24" s="701">
        <f t="shared" si="3"/>
        <v>0</v>
      </c>
      <c r="F24" s="292"/>
      <c r="G24" s="701">
        <f t="shared" si="0"/>
        <v>0</v>
      </c>
      <c r="H24" s="292"/>
      <c r="I24" s="701">
        <f t="shared" si="1"/>
        <v>0</v>
      </c>
      <c r="J24" s="292"/>
      <c r="K24" s="701">
        <f t="shared" si="2"/>
        <v>0</v>
      </c>
    </row>
    <row r="25" spans="1:11" s="89" customFormat="1" ht="12" customHeight="1">
      <c r="A25" s="429" t="s">
        <v>89</v>
      </c>
      <c r="B25" s="410" t="s">
        <v>424</v>
      </c>
      <c r="C25" s="292"/>
      <c r="D25" s="292"/>
      <c r="E25" s="701">
        <f t="shared" si="3"/>
        <v>0</v>
      </c>
      <c r="F25" s="292"/>
      <c r="G25" s="701">
        <f t="shared" si="0"/>
        <v>0</v>
      </c>
      <c r="H25" s="292"/>
      <c r="I25" s="701">
        <f t="shared" si="1"/>
        <v>0</v>
      </c>
      <c r="J25" s="292"/>
      <c r="K25" s="701">
        <f t="shared" si="2"/>
        <v>0</v>
      </c>
    </row>
    <row r="26" spans="1:11" s="89" customFormat="1" ht="12" customHeight="1">
      <c r="A26" s="429" t="s">
        <v>90</v>
      </c>
      <c r="B26" s="410" t="s">
        <v>425</v>
      </c>
      <c r="C26" s="292"/>
      <c r="D26" s="292"/>
      <c r="E26" s="701">
        <f t="shared" si="3"/>
        <v>0</v>
      </c>
      <c r="F26" s="292"/>
      <c r="G26" s="701">
        <f t="shared" si="0"/>
        <v>0</v>
      </c>
      <c r="H26" s="292"/>
      <c r="I26" s="701">
        <f t="shared" si="1"/>
        <v>0</v>
      </c>
      <c r="J26" s="292"/>
      <c r="K26" s="701">
        <f t="shared" si="2"/>
        <v>0</v>
      </c>
    </row>
    <row r="27" spans="1:11" s="89" customFormat="1" ht="12" customHeight="1">
      <c r="A27" s="429" t="s">
        <v>171</v>
      </c>
      <c r="B27" s="410" t="s">
        <v>265</v>
      </c>
      <c r="C27" s="292">
        <v>384801977</v>
      </c>
      <c r="D27" s="292"/>
      <c r="E27" s="701">
        <f t="shared" si="3"/>
        <v>384801977</v>
      </c>
      <c r="F27" s="292"/>
      <c r="G27" s="701">
        <f t="shared" si="0"/>
        <v>384801977</v>
      </c>
      <c r="H27" s="292">
        <v>-278002417</v>
      </c>
      <c r="I27" s="701">
        <f t="shared" si="1"/>
        <v>106799560</v>
      </c>
      <c r="J27" s="292"/>
      <c r="K27" s="701">
        <f t="shared" si="2"/>
        <v>106799560</v>
      </c>
    </row>
    <row r="28" spans="1:11" s="89" customFormat="1" ht="12" customHeight="1" thickBot="1">
      <c r="A28" s="430" t="s">
        <v>172</v>
      </c>
      <c r="B28" s="548" t="s">
        <v>569</v>
      </c>
      <c r="C28" s="549"/>
      <c r="D28" s="549"/>
      <c r="E28" s="702"/>
      <c r="F28" s="549"/>
      <c r="G28" s="702"/>
      <c r="H28" s="549"/>
      <c r="I28" s="702"/>
      <c r="J28" s="549"/>
      <c r="K28" s="702"/>
    </row>
    <row r="29" spans="1:11" s="89" customFormat="1" ht="12" customHeight="1" thickBot="1">
      <c r="A29" s="32" t="s">
        <v>173</v>
      </c>
      <c r="B29" s="21" t="s">
        <v>560</v>
      </c>
      <c r="C29" s="296">
        <f>+C30+C34+C35+C36</f>
        <v>1194000000</v>
      </c>
      <c r="D29" s="296">
        <f>+D30+D34+D35+D36</f>
        <v>0</v>
      </c>
      <c r="E29" s="290">
        <f t="shared" si="3"/>
        <v>1194000000</v>
      </c>
      <c r="F29" s="296">
        <f>+F30+F34+F35+F36</f>
        <v>0</v>
      </c>
      <c r="G29" s="290">
        <f t="shared" ref="G29:G58" si="4">SUM(E29:F29)</f>
        <v>1194000000</v>
      </c>
      <c r="H29" s="296">
        <f>+H30+H34+H35+H36</f>
        <v>0</v>
      </c>
      <c r="I29" s="290">
        <f t="shared" ref="I29:I58" si="5">SUM(G29:H29)</f>
        <v>1194000000</v>
      </c>
      <c r="J29" s="804">
        <f>SUM(J31:J36)</f>
        <v>16000000</v>
      </c>
      <c r="K29" s="290">
        <f t="shared" ref="K29:K58" si="6">SUM(I29:J29)</f>
        <v>1210000000</v>
      </c>
    </row>
    <row r="30" spans="1:11" s="89" customFormat="1" ht="12" customHeight="1">
      <c r="A30" s="428" t="s">
        <v>268</v>
      </c>
      <c r="B30" s="409"/>
      <c r="C30" s="404">
        <f>+C31+C32+C33</f>
        <v>954000000</v>
      </c>
      <c r="D30" s="404"/>
      <c r="E30" s="700">
        <f t="shared" si="3"/>
        <v>954000000</v>
      </c>
      <c r="F30" s="404"/>
      <c r="G30" s="700">
        <f t="shared" si="4"/>
        <v>954000000</v>
      </c>
      <c r="H30" s="404"/>
      <c r="I30" s="700">
        <f t="shared" si="5"/>
        <v>954000000</v>
      </c>
      <c r="J30" s="404">
        <f>SUM(J31:J33)</f>
        <v>16000000</v>
      </c>
      <c r="K30" s="700">
        <f t="shared" si="6"/>
        <v>970000000</v>
      </c>
    </row>
    <row r="31" spans="1:11" s="89" customFormat="1" ht="12" customHeight="1">
      <c r="A31" s="429" t="s">
        <v>269</v>
      </c>
      <c r="B31" s="410" t="s">
        <v>556</v>
      </c>
      <c r="C31" s="292">
        <v>2000000</v>
      </c>
      <c r="D31" s="292"/>
      <c r="E31" s="701">
        <f t="shared" si="3"/>
        <v>2000000</v>
      </c>
      <c r="F31" s="292"/>
      <c r="G31" s="701">
        <f t="shared" si="4"/>
        <v>2000000</v>
      </c>
      <c r="H31" s="292"/>
      <c r="I31" s="701">
        <f t="shared" si="5"/>
        <v>2000000</v>
      </c>
      <c r="J31" s="292"/>
      <c r="K31" s="701">
        <f t="shared" si="6"/>
        <v>2000000</v>
      </c>
    </row>
    <row r="32" spans="1:11" s="89" customFormat="1" ht="12" customHeight="1">
      <c r="A32" s="429" t="s">
        <v>270</v>
      </c>
      <c r="B32" s="410" t="s">
        <v>557</v>
      </c>
      <c r="C32" s="292">
        <v>950000000</v>
      </c>
      <c r="D32" s="292"/>
      <c r="E32" s="701">
        <f t="shared" si="3"/>
        <v>950000000</v>
      </c>
      <c r="F32" s="292"/>
      <c r="G32" s="701">
        <f t="shared" si="4"/>
        <v>950000000</v>
      </c>
      <c r="H32" s="292"/>
      <c r="I32" s="701">
        <f t="shared" si="5"/>
        <v>950000000</v>
      </c>
      <c r="J32" s="292">
        <v>16000000</v>
      </c>
      <c r="K32" s="701">
        <f t="shared" si="6"/>
        <v>966000000</v>
      </c>
    </row>
    <row r="33" spans="1:11" s="89" customFormat="1" ht="12" customHeight="1">
      <c r="A33" s="429" t="s">
        <v>271</v>
      </c>
      <c r="B33" s="410" t="s">
        <v>558</v>
      </c>
      <c r="C33" s="292">
        <v>2000000</v>
      </c>
      <c r="D33" s="292"/>
      <c r="E33" s="701">
        <f t="shared" si="3"/>
        <v>2000000</v>
      </c>
      <c r="F33" s="292"/>
      <c r="G33" s="701">
        <f t="shared" si="4"/>
        <v>2000000</v>
      </c>
      <c r="H33" s="292"/>
      <c r="I33" s="701">
        <f t="shared" si="5"/>
        <v>2000000</v>
      </c>
      <c r="J33" s="292"/>
      <c r="K33" s="701">
        <f t="shared" si="6"/>
        <v>2000000</v>
      </c>
    </row>
    <row r="34" spans="1:11" s="89" customFormat="1" ht="12" customHeight="1">
      <c r="A34" s="429" t="s">
        <v>552</v>
      </c>
      <c r="B34" s="410" t="s">
        <v>272</v>
      </c>
      <c r="C34" s="292">
        <v>105000000</v>
      </c>
      <c r="D34" s="292"/>
      <c r="E34" s="701">
        <f t="shared" si="3"/>
        <v>105000000</v>
      </c>
      <c r="F34" s="292"/>
      <c r="G34" s="701">
        <f t="shared" si="4"/>
        <v>105000000</v>
      </c>
      <c r="H34" s="292"/>
      <c r="I34" s="701">
        <f t="shared" si="5"/>
        <v>105000000</v>
      </c>
      <c r="J34" s="292"/>
      <c r="K34" s="701">
        <f t="shared" si="6"/>
        <v>105000000</v>
      </c>
    </row>
    <row r="35" spans="1:11" s="89" customFormat="1" ht="12" customHeight="1">
      <c r="A35" s="429" t="s">
        <v>553</v>
      </c>
      <c r="B35" s="410" t="s">
        <v>273</v>
      </c>
      <c r="C35" s="292">
        <v>131000000</v>
      </c>
      <c r="D35" s="292"/>
      <c r="E35" s="701">
        <f t="shared" si="3"/>
        <v>131000000</v>
      </c>
      <c r="F35" s="292"/>
      <c r="G35" s="701">
        <f t="shared" si="4"/>
        <v>131000000</v>
      </c>
      <c r="H35" s="292"/>
      <c r="I35" s="701">
        <f t="shared" si="5"/>
        <v>131000000</v>
      </c>
      <c r="J35" s="292"/>
      <c r="K35" s="701">
        <f t="shared" si="6"/>
        <v>131000000</v>
      </c>
    </row>
    <row r="36" spans="1:11" s="89" customFormat="1" ht="12" customHeight="1" thickBot="1">
      <c r="A36" s="430" t="s">
        <v>554</v>
      </c>
      <c r="B36" s="504" t="s">
        <v>274</v>
      </c>
      <c r="C36" s="294">
        <v>4000000</v>
      </c>
      <c r="D36" s="294"/>
      <c r="E36" s="702">
        <f t="shared" si="3"/>
        <v>4000000</v>
      </c>
      <c r="F36" s="294"/>
      <c r="G36" s="702">
        <f t="shared" si="4"/>
        <v>4000000</v>
      </c>
      <c r="H36" s="294"/>
      <c r="I36" s="702">
        <f t="shared" si="5"/>
        <v>4000000</v>
      </c>
      <c r="J36" s="294"/>
      <c r="K36" s="702">
        <f t="shared" si="6"/>
        <v>4000000</v>
      </c>
    </row>
    <row r="37" spans="1:11" s="89" customFormat="1" ht="12" customHeight="1" thickBot="1">
      <c r="A37" s="32" t="s">
        <v>22</v>
      </c>
      <c r="B37" s="21" t="s">
        <v>434</v>
      </c>
      <c r="C37" s="290">
        <f>SUM(C38:C48)</f>
        <v>154790000</v>
      </c>
      <c r="D37" s="290">
        <f>SUM(D38:D48)</f>
        <v>0</v>
      </c>
      <c r="E37" s="290">
        <f t="shared" si="3"/>
        <v>154790000</v>
      </c>
      <c r="F37" s="290">
        <f>SUM(F38:F48)</f>
        <v>4200000</v>
      </c>
      <c r="G37" s="290">
        <f t="shared" si="4"/>
        <v>158990000</v>
      </c>
      <c r="H37" s="290">
        <f>SUM(H38:H48)</f>
        <v>4622500</v>
      </c>
      <c r="I37" s="290">
        <f t="shared" si="5"/>
        <v>163612500</v>
      </c>
      <c r="J37" s="290">
        <f>SUM(J38:J48)</f>
        <v>19154576</v>
      </c>
      <c r="K37" s="290">
        <f t="shared" si="6"/>
        <v>182767076</v>
      </c>
    </row>
    <row r="38" spans="1:11" s="89" customFormat="1" ht="12" customHeight="1">
      <c r="A38" s="428" t="s">
        <v>91</v>
      </c>
      <c r="B38" s="409" t="s">
        <v>277</v>
      </c>
      <c r="C38" s="293"/>
      <c r="D38" s="293"/>
      <c r="E38" s="700">
        <f t="shared" si="3"/>
        <v>0</v>
      </c>
      <c r="F38" s="293"/>
      <c r="G38" s="700">
        <f t="shared" si="4"/>
        <v>0</v>
      </c>
      <c r="H38" s="293"/>
      <c r="I38" s="700">
        <f t="shared" si="5"/>
        <v>0</v>
      </c>
      <c r="J38" s="293"/>
      <c r="K38" s="700">
        <f t="shared" si="6"/>
        <v>0</v>
      </c>
    </row>
    <row r="39" spans="1:11" s="89" customFormat="1" ht="12" customHeight="1">
      <c r="A39" s="429" t="s">
        <v>92</v>
      </c>
      <c r="B39" s="410" t="s">
        <v>278</v>
      </c>
      <c r="C39" s="292">
        <v>113639802</v>
      </c>
      <c r="D39" s="292"/>
      <c r="E39" s="701">
        <f t="shared" si="3"/>
        <v>113639802</v>
      </c>
      <c r="F39" s="292">
        <v>4200000</v>
      </c>
      <c r="G39" s="701">
        <f t="shared" si="4"/>
        <v>117839802</v>
      </c>
      <c r="H39" s="292">
        <v>113500</v>
      </c>
      <c r="I39" s="701">
        <f t="shared" si="5"/>
        <v>117953302</v>
      </c>
      <c r="J39" s="292">
        <v>4515576</v>
      </c>
      <c r="K39" s="701">
        <f t="shared" si="6"/>
        <v>122468878</v>
      </c>
    </row>
    <row r="40" spans="1:11" s="89" customFormat="1" ht="12" customHeight="1">
      <c r="A40" s="429" t="s">
        <v>93</v>
      </c>
      <c r="B40" s="410" t="s">
        <v>279</v>
      </c>
      <c r="C40" s="292">
        <v>12000000</v>
      </c>
      <c r="D40" s="292"/>
      <c r="E40" s="701">
        <f t="shared" si="3"/>
        <v>12000000</v>
      </c>
      <c r="F40" s="292"/>
      <c r="G40" s="701">
        <f t="shared" si="4"/>
        <v>12000000</v>
      </c>
      <c r="H40" s="292"/>
      <c r="I40" s="701">
        <f t="shared" si="5"/>
        <v>12000000</v>
      </c>
      <c r="J40" s="292">
        <v>9525000</v>
      </c>
      <c r="K40" s="701">
        <f t="shared" si="6"/>
        <v>21525000</v>
      </c>
    </row>
    <row r="41" spans="1:11" s="89" customFormat="1" ht="12" customHeight="1">
      <c r="A41" s="429" t="s">
        <v>175</v>
      </c>
      <c r="B41" s="410" t="s">
        <v>280</v>
      </c>
      <c r="C41" s="292"/>
      <c r="D41" s="292"/>
      <c r="E41" s="701">
        <f t="shared" si="3"/>
        <v>0</v>
      </c>
      <c r="F41" s="292"/>
      <c r="G41" s="701">
        <f t="shared" si="4"/>
        <v>0</v>
      </c>
      <c r="H41" s="292"/>
      <c r="I41" s="701">
        <f t="shared" si="5"/>
        <v>0</v>
      </c>
      <c r="J41" s="292"/>
      <c r="K41" s="701">
        <f t="shared" si="6"/>
        <v>0</v>
      </c>
    </row>
    <row r="42" spans="1:11" s="89" customFormat="1" ht="12" customHeight="1">
      <c r="A42" s="429" t="s">
        <v>176</v>
      </c>
      <c r="B42" s="410" t="s">
        <v>281</v>
      </c>
      <c r="C42" s="292">
        <v>8000000</v>
      </c>
      <c r="D42" s="292"/>
      <c r="E42" s="701">
        <f t="shared" si="3"/>
        <v>8000000</v>
      </c>
      <c r="F42" s="292"/>
      <c r="G42" s="701">
        <f t="shared" si="4"/>
        <v>8000000</v>
      </c>
      <c r="H42" s="292"/>
      <c r="I42" s="701">
        <f t="shared" si="5"/>
        <v>8000000</v>
      </c>
      <c r="J42" s="292"/>
      <c r="K42" s="701">
        <f t="shared" si="6"/>
        <v>8000000</v>
      </c>
    </row>
    <row r="43" spans="1:11" s="89" customFormat="1" ht="12" customHeight="1">
      <c r="A43" s="429" t="s">
        <v>177</v>
      </c>
      <c r="B43" s="410" t="s">
        <v>282</v>
      </c>
      <c r="C43" s="292">
        <v>20150198</v>
      </c>
      <c r="D43" s="292"/>
      <c r="E43" s="701">
        <f t="shared" si="3"/>
        <v>20150198</v>
      </c>
      <c r="F43" s="292"/>
      <c r="G43" s="701">
        <f t="shared" si="4"/>
        <v>20150198</v>
      </c>
      <c r="H43" s="292"/>
      <c r="I43" s="701">
        <f t="shared" si="5"/>
        <v>20150198</v>
      </c>
      <c r="J43" s="292"/>
      <c r="K43" s="701">
        <f t="shared" si="6"/>
        <v>20150198</v>
      </c>
    </row>
    <row r="44" spans="1:11" s="89" customFormat="1" ht="12" customHeight="1">
      <c r="A44" s="429" t="s">
        <v>178</v>
      </c>
      <c r="B44" s="410" t="s">
        <v>283</v>
      </c>
      <c r="C44" s="292"/>
      <c r="D44" s="292"/>
      <c r="E44" s="701">
        <f t="shared" si="3"/>
        <v>0</v>
      </c>
      <c r="F44" s="292"/>
      <c r="G44" s="701">
        <f t="shared" si="4"/>
        <v>0</v>
      </c>
      <c r="H44" s="292">
        <v>4509000</v>
      </c>
      <c r="I44" s="701">
        <f t="shared" si="5"/>
        <v>4509000</v>
      </c>
      <c r="J44" s="292">
        <v>5114000</v>
      </c>
      <c r="K44" s="701">
        <f t="shared" si="6"/>
        <v>9623000</v>
      </c>
    </row>
    <row r="45" spans="1:11" s="89" customFormat="1" ht="12" customHeight="1">
      <c r="A45" s="429" t="s">
        <v>179</v>
      </c>
      <c r="B45" s="410" t="s">
        <v>559</v>
      </c>
      <c r="C45" s="292">
        <v>1000000</v>
      </c>
      <c r="D45" s="292"/>
      <c r="E45" s="701">
        <f t="shared" si="3"/>
        <v>1000000</v>
      </c>
      <c r="F45" s="292"/>
      <c r="G45" s="701">
        <f t="shared" si="4"/>
        <v>1000000</v>
      </c>
      <c r="H45" s="292"/>
      <c r="I45" s="701">
        <f t="shared" si="5"/>
        <v>1000000</v>
      </c>
      <c r="J45" s="292"/>
      <c r="K45" s="701">
        <f t="shared" si="6"/>
        <v>1000000</v>
      </c>
    </row>
    <row r="46" spans="1:11" s="89" customFormat="1" ht="12" customHeight="1">
      <c r="A46" s="429" t="s">
        <v>275</v>
      </c>
      <c r="B46" s="410" t="s">
        <v>285</v>
      </c>
      <c r="C46" s="295"/>
      <c r="D46" s="295"/>
      <c r="E46" s="701">
        <f t="shared" si="3"/>
        <v>0</v>
      </c>
      <c r="F46" s="295"/>
      <c r="G46" s="701">
        <f t="shared" si="4"/>
        <v>0</v>
      </c>
      <c r="H46" s="295"/>
      <c r="I46" s="701">
        <f t="shared" si="5"/>
        <v>0</v>
      </c>
      <c r="J46" s="295"/>
      <c r="K46" s="701">
        <f t="shared" si="6"/>
        <v>0</v>
      </c>
    </row>
    <row r="47" spans="1:11" s="89" customFormat="1" ht="12" customHeight="1">
      <c r="A47" s="430" t="s">
        <v>276</v>
      </c>
      <c r="B47" s="411" t="s">
        <v>436</v>
      </c>
      <c r="C47" s="396"/>
      <c r="D47" s="396"/>
      <c r="E47" s="701">
        <f t="shared" si="3"/>
        <v>0</v>
      </c>
      <c r="F47" s="396"/>
      <c r="G47" s="701">
        <f t="shared" si="4"/>
        <v>0</v>
      </c>
      <c r="H47" s="396"/>
      <c r="I47" s="701">
        <f t="shared" si="5"/>
        <v>0</v>
      </c>
      <c r="J47" s="396"/>
      <c r="K47" s="701">
        <f t="shared" si="6"/>
        <v>0</v>
      </c>
    </row>
    <row r="48" spans="1:11" s="89" customFormat="1" ht="12" customHeight="1" thickBot="1">
      <c r="A48" s="430" t="s">
        <v>435</v>
      </c>
      <c r="B48" s="548" t="s">
        <v>578</v>
      </c>
      <c r="C48" s="551"/>
      <c r="D48" s="551"/>
      <c r="E48" s="702">
        <f t="shared" si="3"/>
        <v>0</v>
      </c>
      <c r="F48" s="551"/>
      <c r="G48" s="702">
        <f t="shared" si="4"/>
        <v>0</v>
      </c>
      <c r="H48" s="551"/>
      <c r="I48" s="702">
        <f t="shared" si="5"/>
        <v>0</v>
      </c>
      <c r="J48" s="551"/>
      <c r="K48" s="702">
        <f t="shared" si="6"/>
        <v>0</v>
      </c>
    </row>
    <row r="49" spans="1:11" s="89" customFormat="1" ht="12" customHeight="1" thickBot="1">
      <c r="A49" s="32" t="s">
        <v>23</v>
      </c>
      <c r="B49" s="21" t="s">
        <v>287</v>
      </c>
      <c r="C49" s="290">
        <f>SUM(C50:C54)</f>
        <v>40000000</v>
      </c>
      <c r="D49" s="290">
        <f>SUM(D50:D54)</f>
        <v>0</v>
      </c>
      <c r="E49" s="290">
        <f t="shared" si="3"/>
        <v>40000000</v>
      </c>
      <c r="F49" s="290">
        <f>SUM(F50:F54)</f>
        <v>1732283</v>
      </c>
      <c r="G49" s="290">
        <f t="shared" si="4"/>
        <v>41732283</v>
      </c>
      <c r="H49" s="290">
        <f>SUM(H50:H54)</f>
        <v>0</v>
      </c>
      <c r="I49" s="290">
        <f t="shared" si="5"/>
        <v>41732283</v>
      </c>
      <c r="J49" s="290">
        <f>SUM(J50:J54)</f>
        <v>0</v>
      </c>
      <c r="K49" s="290">
        <f t="shared" si="6"/>
        <v>41732283</v>
      </c>
    </row>
    <row r="50" spans="1:11" s="89" customFormat="1" ht="12" customHeight="1">
      <c r="A50" s="428" t="s">
        <v>94</v>
      </c>
      <c r="B50" s="409" t="s">
        <v>291</v>
      </c>
      <c r="C50" s="453"/>
      <c r="D50" s="453"/>
      <c r="E50" s="700">
        <f t="shared" si="3"/>
        <v>0</v>
      </c>
      <c r="F50" s="453"/>
      <c r="G50" s="700">
        <f t="shared" si="4"/>
        <v>0</v>
      </c>
      <c r="H50" s="453"/>
      <c r="I50" s="700">
        <f t="shared" si="5"/>
        <v>0</v>
      </c>
      <c r="J50" s="453"/>
      <c r="K50" s="700">
        <f t="shared" si="6"/>
        <v>0</v>
      </c>
    </row>
    <row r="51" spans="1:11" s="89" customFormat="1" ht="12" customHeight="1">
      <c r="A51" s="429" t="s">
        <v>95</v>
      </c>
      <c r="B51" s="410" t="s">
        <v>292</v>
      </c>
      <c r="C51" s="295">
        <v>40000000</v>
      </c>
      <c r="D51" s="295"/>
      <c r="E51" s="701">
        <f t="shared" si="3"/>
        <v>40000000</v>
      </c>
      <c r="F51" s="295"/>
      <c r="G51" s="701">
        <f t="shared" si="4"/>
        <v>40000000</v>
      </c>
      <c r="H51" s="295"/>
      <c r="I51" s="701">
        <f t="shared" si="5"/>
        <v>40000000</v>
      </c>
      <c r="J51" s="295"/>
      <c r="K51" s="701">
        <f t="shared" si="6"/>
        <v>40000000</v>
      </c>
    </row>
    <row r="52" spans="1:11" s="89" customFormat="1" ht="12" customHeight="1">
      <c r="A52" s="429" t="s">
        <v>288</v>
      </c>
      <c r="B52" s="410" t="s">
        <v>293</v>
      </c>
      <c r="C52" s="295"/>
      <c r="D52" s="295"/>
      <c r="E52" s="701">
        <f t="shared" si="3"/>
        <v>0</v>
      </c>
      <c r="F52" s="295">
        <v>1732283</v>
      </c>
      <c r="G52" s="701">
        <f t="shared" si="4"/>
        <v>1732283</v>
      </c>
      <c r="H52" s="295"/>
      <c r="I52" s="701">
        <f t="shared" si="5"/>
        <v>1732283</v>
      </c>
      <c r="J52" s="295"/>
      <c r="K52" s="701">
        <f t="shared" si="6"/>
        <v>1732283</v>
      </c>
    </row>
    <row r="53" spans="1:11" s="89" customFormat="1" ht="12" customHeight="1">
      <c r="A53" s="429" t="s">
        <v>289</v>
      </c>
      <c r="B53" s="410" t="s">
        <v>294</v>
      </c>
      <c r="C53" s="295"/>
      <c r="D53" s="295"/>
      <c r="E53" s="701">
        <f t="shared" si="3"/>
        <v>0</v>
      </c>
      <c r="F53" s="295"/>
      <c r="G53" s="701">
        <f t="shared" si="4"/>
        <v>0</v>
      </c>
      <c r="H53" s="295"/>
      <c r="I53" s="701">
        <f t="shared" si="5"/>
        <v>0</v>
      </c>
      <c r="J53" s="295"/>
      <c r="K53" s="701">
        <f t="shared" si="6"/>
        <v>0</v>
      </c>
    </row>
    <row r="54" spans="1:11" s="89" customFormat="1" ht="12" customHeight="1" thickBot="1">
      <c r="A54" s="430" t="s">
        <v>290</v>
      </c>
      <c r="B54" s="411" t="s">
        <v>295</v>
      </c>
      <c r="C54" s="396"/>
      <c r="D54" s="396"/>
      <c r="E54" s="701">
        <f t="shared" si="3"/>
        <v>0</v>
      </c>
      <c r="F54" s="396"/>
      <c r="G54" s="701">
        <f t="shared" si="4"/>
        <v>0</v>
      </c>
      <c r="H54" s="396"/>
      <c r="I54" s="701">
        <f t="shared" si="5"/>
        <v>0</v>
      </c>
      <c r="J54" s="396"/>
      <c r="K54" s="701">
        <f t="shared" si="6"/>
        <v>0</v>
      </c>
    </row>
    <row r="55" spans="1:11" s="89" customFormat="1" ht="12" customHeight="1" thickBot="1">
      <c r="A55" s="32" t="s">
        <v>180</v>
      </c>
      <c r="B55" s="21" t="s">
        <v>296</v>
      </c>
      <c r="C55" s="290">
        <f>SUM(C56:C58)</f>
        <v>0</v>
      </c>
      <c r="D55" s="290">
        <f>SUM(D56:D58)</f>
        <v>0</v>
      </c>
      <c r="E55" s="701">
        <f t="shared" si="3"/>
        <v>0</v>
      </c>
      <c r="F55" s="290">
        <f>SUM(F56:F58)</f>
        <v>0</v>
      </c>
      <c r="G55" s="701">
        <f t="shared" si="4"/>
        <v>0</v>
      </c>
      <c r="H55" s="290">
        <f>SUM(H56:H58)</f>
        <v>0</v>
      </c>
      <c r="I55" s="701">
        <f t="shared" si="5"/>
        <v>0</v>
      </c>
      <c r="J55" s="290">
        <f>SUM(J56:J58)</f>
        <v>0</v>
      </c>
      <c r="K55" s="701">
        <f t="shared" si="6"/>
        <v>0</v>
      </c>
    </row>
    <row r="56" spans="1:11" s="89" customFormat="1" ht="12" customHeight="1">
      <c r="A56" s="428" t="s">
        <v>96</v>
      </c>
      <c r="B56" s="409" t="s">
        <v>297</v>
      </c>
      <c r="C56" s="293"/>
      <c r="D56" s="293"/>
      <c r="E56" s="701">
        <f t="shared" si="3"/>
        <v>0</v>
      </c>
      <c r="F56" s="293"/>
      <c r="G56" s="701">
        <f t="shared" si="4"/>
        <v>0</v>
      </c>
      <c r="H56" s="293"/>
      <c r="I56" s="701">
        <f t="shared" si="5"/>
        <v>0</v>
      </c>
      <c r="J56" s="293"/>
      <c r="K56" s="701">
        <f t="shared" si="6"/>
        <v>0</v>
      </c>
    </row>
    <row r="57" spans="1:11" s="89" customFormat="1" ht="12" customHeight="1">
      <c r="A57" s="429" t="s">
        <v>97</v>
      </c>
      <c r="B57" s="410" t="s">
        <v>426</v>
      </c>
      <c r="C57" s="292"/>
      <c r="D57" s="292"/>
      <c r="E57" s="701">
        <f t="shared" si="3"/>
        <v>0</v>
      </c>
      <c r="F57" s="292"/>
      <c r="G57" s="701">
        <f t="shared" si="4"/>
        <v>0</v>
      </c>
      <c r="H57" s="292"/>
      <c r="I57" s="701">
        <f t="shared" si="5"/>
        <v>0</v>
      </c>
      <c r="J57" s="292"/>
      <c r="K57" s="701">
        <f t="shared" si="6"/>
        <v>0</v>
      </c>
    </row>
    <row r="58" spans="1:11" s="89" customFormat="1" ht="12" customHeight="1">
      <c r="A58" s="429" t="s">
        <v>300</v>
      </c>
      <c r="B58" s="410" t="s">
        <v>298</v>
      </c>
      <c r="C58" s="292"/>
      <c r="D58" s="292"/>
      <c r="E58" s="701">
        <f t="shared" si="3"/>
        <v>0</v>
      </c>
      <c r="F58" s="292"/>
      <c r="G58" s="701">
        <f t="shared" si="4"/>
        <v>0</v>
      </c>
      <c r="H58" s="292"/>
      <c r="I58" s="701">
        <f t="shared" si="5"/>
        <v>0</v>
      </c>
      <c r="J58" s="292"/>
      <c r="K58" s="701">
        <f t="shared" si="6"/>
        <v>0</v>
      </c>
    </row>
    <row r="59" spans="1:11" s="89" customFormat="1" ht="12" customHeight="1" thickBot="1">
      <c r="A59" s="430" t="s">
        <v>301</v>
      </c>
      <c r="B59" s="411" t="s">
        <v>299</v>
      </c>
      <c r="C59" s="294"/>
      <c r="D59" s="294"/>
      <c r="E59" s="702"/>
      <c r="F59" s="294"/>
      <c r="G59" s="702"/>
      <c r="H59" s="294"/>
      <c r="I59" s="702"/>
      <c r="J59" s="294"/>
      <c r="K59" s="702"/>
    </row>
    <row r="60" spans="1:11" s="89" customFormat="1" ht="12" customHeight="1" thickBot="1">
      <c r="A60" s="32" t="s">
        <v>25</v>
      </c>
      <c r="B60" s="285" t="s">
        <v>302</v>
      </c>
      <c r="C60" s="290">
        <f>SUM(C61:C63)</f>
        <v>50000000</v>
      </c>
      <c r="D60" s="290">
        <f>SUM(D61:D63)</f>
        <v>0</v>
      </c>
      <c r="E60" s="290">
        <f t="shared" si="3"/>
        <v>50000000</v>
      </c>
      <c r="F60" s="290">
        <f>SUM(F61:F63)</f>
        <v>0</v>
      </c>
      <c r="G60" s="290">
        <f t="shared" ref="G60:G90" si="7">SUM(E60:F60)</f>
        <v>50000000</v>
      </c>
      <c r="H60" s="290">
        <f>SUM(H61:H63)</f>
        <v>2000000</v>
      </c>
      <c r="I60" s="290">
        <f t="shared" ref="I60:I90" si="8">SUM(G60:H60)</f>
        <v>52000000</v>
      </c>
      <c r="J60" s="290">
        <f>SUM(J61:J63)</f>
        <v>10000000</v>
      </c>
      <c r="K60" s="290">
        <f t="shared" ref="K60:K90" si="9">SUM(I60:J60)</f>
        <v>62000000</v>
      </c>
    </row>
    <row r="61" spans="1:11" s="89" customFormat="1" ht="12" customHeight="1">
      <c r="A61" s="428" t="s">
        <v>181</v>
      </c>
      <c r="B61" s="409" t="s">
        <v>304</v>
      </c>
      <c r="C61" s="295"/>
      <c r="D61" s="295"/>
      <c r="E61" s="700">
        <f t="shared" si="3"/>
        <v>0</v>
      </c>
      <c r="F61" s="295"/>
      <c r="G61" s="700">
        <f t="shared" si="7"/>
        <v>0</v>
      </c>
      <c r="H61" s="295"/>
      <c r="I61" s="700">
        <f t="shared" si="8"/>
        <v>0</v>
      </c>
      <c r="J61" s="295"/>
      <c r="K61" s="700">
        <f t="shared" si="9"/>
        <v>0</v>
      </c>
    </row>
    <row r="62" spans="1:11" s="89" customFormat="1" ht="12" customHeight="1">
      <c r="A62" s="429" t="s">
        <v>182</v>
      </c>
      <c r="B62" s="410" t="s">
        <v>427</v>
      </c>
      <c r="C62" s="295"/>
      <c r="D62" s="295"/>
      <c r="E62" s="701">
        <f t="shared" si="3"/>
        <v>0</v>
      </c>
      <c r="F62" s="295"/>
      <c r="G62" s="701">
        <f t="shared" si="7"/>
        <v>0</v>
      </c>
      <c r="H62" s="295"/>
      <c r="I62" s="701">
        <f t="shared" si="8"/>
        <v>0</v>
      </c>
      <c r="J62" s="295"/>
      <c r="K62" s="701">
        <f t="shared" si="9"/>
        <v>0</v>
      </c>
    </row>
    <row r="63" spans="1:11" s="89" customFormat="1" ht="12" customHeight="1">
      <c r="A63" s="429" t="s">
        <v>231</v>
      </c>
      <c r="B63" s="410" t="s">
        <v>305</v>
      </c>
      <c r="C63" s="295">
        <v>50000000</v>
      </c>
      <c r="D63" s="295"/>
      <c r="E63" s="701">
        <f t="shared" si="3"/>
        <v>50000000</v>
      </c>
      <c r="F63" s="295"/>
      <c r="G63" s="701">
        <f t="shared" si="7"/>
        <v>50000000</v>
      </c>
      <c r="H63" s="295">
        <v>2000000</v>
      </c>
      <c r="I63" s="701">
        <f t="shared" si="8"/>
        <v>52000000</v>
      </c>
      <c r="J63" s="295">
        <v>10000000</v>
      </c>
      <c r="K63" s="701">
        <f t="shared" si="9"/>
        <v>62000000</v>
      </c>
    </row>
    <row r="64" spans="1:11" s="89" customFormat="1" ht="12" customHeight="1" thickBot="1">
      <c r="A64" s="430" t="s">
        <v>303</v>
      </c>
      <c r="B64" s="411" t="s">
        <v>306</v>
      </c>
      <c r="C64" s="295"/>
      <c r="D64" s="295"/>
      <c r="E64" s="702">
        <f t="shared" si="3"/>
        <v>0</v>
      </c>
      <c r="F64" s="295"/>
      <c r="G64" s="702">
        <f t="shared" si="7"/>
        <v>0</v>
      </c>
      <c r="H64" s="295"/>
      <c r="I64" s="702">
        <f t="shared" si="8"/>
        <v>0</v>
      </c>
      <c r="J64" s="295"/>
      <c r="K64" s="702">
        <f t="shared" si="9"/>
        <v>0</v>
      </c>
    </row>
    <row r="65" spans="1:11" s="89" customFormat="1" ht="12" customHeight="1" thickBot="1">
      <c r="A65" s="32" t="s">
        <v>26</v>
      </c>
      <c r="B65" s="21" t="s">
        <v>307</v>
      </c>
      <c r="C65" s="296">
        <f>+C8+C15+C22+C29+C37+C49+C55+C60</f>
        <v>2733548384</v>
      </c>
      <c r="D65" s="296">
        <f>+D8+D15+D22+D29+D37+D49+D55+D60</f>
        <v>6335494</v>
      </c>
      <c r="E65" s="290">
        <f t="shared" si="3"/>
        <v>2739883878</v>
      </c>
      <c r="F65" s="296">
        <f>+F8+F15+F22+F29+F37+F49+F55+F60</f>
        <v>84072328</v>
      </c>
      <c r="G65" s="290">
        <f t="shared" si="7"/>
        <v>2823956206</v>
      </c>
      <c r="H65" s="296">
        <f>+H8+H15+H22+H29+H37+H49+H55+H60</f>
        <v>-249798822</v>
      </c>
      <c r="I65" s="290">
        <f t="shared" si="8"/>
        <v>2574157384</v>
      </c>
      <c r="J65" s="296">
        <f>+J8+J15+J22+J29+J37+J49+J55+J60</f>
        <v>117620178</v>
      </c>
      <c r="K65" s="290">
        <f t="shared" si="9"/>
        <v>2691777562</v>
      </c>
    </row>
    <row r="66" spans="1:11" s="89" customFormat="1" ht="12" customHeight="1" thickBot="1">
      <c r="A66" s="431" t="s">
        <v>394</v>
      </c>
      <c r="B66" s="285" t="s">
        <v>309</v>
      </c>
      <c r="C66" s="290">
        <f>SUM(C67:C69)</f>
        <v>0</v>
      </c>
      <c r="D66" s="290">
        <f>SUM(D67:D69)</f>
        <v>0</v>
      </c>
      <c r="E66" s="700">
        <f t="shared" si="3"/>
        <v>0</v>
      </c>
      <c r="F66" s="290">
        <f>SUM(F67:F69)</f>
        <v>0</v>
      </c>
      <c r="G66" s="700">
        <f t="shared" si="7"/>
        <v>0</v>
      </c>
      <c r="H66" s="290">
        <f>SUM(H67:H69)</f>
        <v>0</v>
      </c>
      <c r="I66" s="700">
        <f t="shared" si="8"/>
        <v>0</v>
      </c>
      <c r="J66" s="290">
        <f>SUM(J67:J69)</f>
        <v>0</v>
      </c>
      <c r="K66" s="700">
        <f t="shared" si="9"/>
        <v>0</v>
      </c>
    </row>
    <row r="67" spans="1:11" s="89" customFormat="1" ht="12" customHeight="1">
      <c r="A67" s="428" t="s">
        <v>337</v>
      </c>
      <c r="B67" s="409" t="s">
        <v>310</v>
      </c>
      <c r="C67" s="295"/>
      <c r="D67" s="295"/>
      <c r="E67" s="701">
        <f t="shared" si="3"/>
        <v>0</v>
      </c>
      <c r="F67" s="295"/>
      <c r="G67" s="701">
        <f t="shared" si="7"/>
        <v>0</v>
      </c>
      <c r="H67" s="295"/>
      <c r="I67" s="701">
        <f t="shared" si="8"/>
        <v>0</v>
      </c>
      <c r="J67" s="295"/>
      <c r="K67" s="701">
        <f t="shared" si="9"/>
        <v>0</v>
      </c>
    </row>
    <row r="68" spans="1:11" s="89" customFormat="1" ht="12" customHeight="1">
      <c r="A68" s="429" t="s">
        <v>346</v>
      </c>
      <c r="B68" s="410" t="s">
        <v>311</v>
      </c>
      <c r="C68" s="295"/>
      <c r="D68" s="295"/>
      <c r="E68" s="701">
        <f t="shared" si="3"/>
        <v>0</v>
      </c>
      <c r="F68" s="295"/>
      <c r="G68" s="701">
        <f t="shared" si="7"/>
        <v>0</v>
      </c>
      <c r="H68" s="295"/>
      <c r="I68" s="701">
        <f t="shared" si="8"/>
        <v>0</v>
      </c>
      <c r="J68" s="295"/>
      <c r="K68" s="701">
        <f t="shared" si="9"/>
        <v>0</v>
      </c>
    </row>
    <row r="69" spans="1:11" s="89" customFormat="1" ht="12" customHeight="1" thickBot="1">
      <c r="A69" s="430" t="s">
        <v>347</v>
      </c>
      <c r="B69" s="412" t="s">
        <v>461</v>
      </c>
      <c r="C69" s="295"/>
      <c r="D69" s="295"/>
      <c r="E69" s="701">
        <f t="shared" si="3"/>
        <v>0</v>
      </c>
      <c r="F69" s="295"/>
      <c r="G69" s="701">
        <f t="shared" si="7"/>
        <v>0</v>
      </c>
      <c r="H69" s="295"/>
      <c r="I69" s="701">
        <f t="shared" si="8"/>
        <v>0</v>
      </c>
      <c r="J69" s="295"/>
      <c r="K69" s="701">
        <f t="shared" si="9"/>
        <v>0</v>
      </c>
    </row>
    <row r="70" spans="1:11" s="89" customFormat="1" ht="12" customHeight="1" thickBot="1">
      <c r="A70" s="431" t="s">
        <v>313</v>
      </c>
      <c r="B70" s="285" t="s">
        <v>314</v>
      </c>
      <c r="C70" s="290">
        <f>SUM(C71:C74)</f>
        <v>0</v>
      </c>
      <c r="D70" s="290">
        <f>SUM(D71:D74)</f>
        <v>0</v>
      </c>
      <c r="E70" s="701">
        <f t="shared" si="3"/>
        <v>0</v>
      </c>
      <c r="F70" s="290">
        <f>SUM(F71:F74)</f>
        <v>0</v>
      </c>
      <c r="G70" s="701">
        <f t="shared" si="7"/>
        <v>0</v>
      </c>
      <c r="H70" s="290">
        <f>SUM(H71:H74)</f>
        <v>0</v>
      </c>
      <c r="I70" s="701">
        <f t="shared" si="8"/>
        <v>0</v>
      </c>
      <c r="J70" s="290">
        <f>SUM(J71:J74)</f>
        <v>0</v>
      </c>
      <c r="K70" s="701">
        <f t="shared" si="9"/>
        <v>0</v>
      </c>
    </row>
    <row r="71" spans="1:11" s="89" customFormat="1" ht="12" customHeight="1">
      <c r="A71" s="428" t="s">
        <v>149</v>
      </c>
      <c r="B71" s="409" t="s">
        <v>315</v>
      </c>
      <c r="C71" s="295"/>
      <c r="D71" s="295"/>
      <c r="E71" s="701">
        <f t="shared" si="3"/>
        <v>0</v>
      </c>
      <c r="F71" s="295"/>
      <c r="G71" s="701">
        <f t="shared" si="7"/>
        <v>0</v>
      </c>
      <c r="H71" s="295"/>
      <c r="I71" s="701">
        <f t="shared" si="8"/>
        <v>0</v>
      </c>
      <c r="J71" s="295"/>
      <c r="K71" s="701">
        <f t="shared" si="9"/>
        <v>0</v>
      </c>
    </row>
    <row r="72" spans="1:11" s="89" customFormat="1" ht="12" customHeight="1">
      <c r="A72" s="429" t="s">
        <v>150</v>
      </c>
      <c r="B72" s="410" t="s">
        <v>571</v>
      </c>
      <c r="C72" s="295"/>
      <c r="D72" s="295"/>
      <c r="E72" s="701">
        <f t="shared" si="3"/>
        <v>0</v>
      </c>
      <c r="F72" s="295"/>
      <c r="G72" s="701">
        <f t="shared" si="7"/>
        <v>0</v>
      </c>
      <c r="H72" s="295"/>
      <c r="I72" s="701">
        <f t="shared" si="8"/>
        <v>0</v>
      </c>
      <c r="J72" s="295"/>
      <c r="K72" s="701">
        <f t="shared" si="9"/>
        <v>0</v>
      </c>
    </row>
    <row r="73" spans="1:11" s="89" customFormat="1" ht="12" customHeight="1">
      <c r="A73" s="429" t="s">
        <v>338</v>
      </c>
      <c r="B73" s="410" t="s">
        <v>316</v>
      </c>
      <c r="C73" s="295"/>
      <c r="D73" s="295"/>
      <c r="E73" s="701">
        <f t="shared" ref="E73:E90" si="10">SUM(C73:D73)</f>
        <v>0</v>
      </c>
      <c r="F73" s="295"/>
      <c r="G73" s="701">
        <f t="shared" si="7"/>
        <v>0</v>
      </c>
      <c r="H73" s="295"/>
      <c r="I73" s="701">
        <f t="shared" si="8"/>
        <v>0</v>
      </c>
      <c r="J73" s="295"/>
      <c r="K73" s="701">
        <f t="shared" si="9"/>
        <v>0</v>
      </c>
    </row>
    <row r="74" spans="1:11" s="89" customFormat="1" ht="12" customHeight="1" thickBot="1">
      <c r="A74" s="430" t="s">
        <v>339</v>
      </c>
      <c r="B74" s="287" t="s">
        <v>572</v>
      </c>
      <c r="C74" s="295"/>
      <c r="D74" s="295"/>
      <c r="E74" s="702">
        <f t="shared" si="10"/>
        <v>0</v>
      </c>
      <c r="F74" s="295"/>
      <c r="G74" s="702">
        <f t="shared" si="7"/>
        <v>0</v>
      </c>
      <c r="H74" s="295"/>
      <c r="I74" s="702">
        <f t="shared" si="8"/>
        <v>0</v>
      </c>
      <c r="J74" s="295"/>
      <c r="K74" s="702">
        <f t="shared" si="9"/>
        <v>0</v>
      </c>
    </row>
    <row r="75" spans="1:11" s="89" customFormat="1" ht="12" customHeight="1" thickBot="1">
      <c r="A75" s="431" t="s">
        <v>317</v>
      </c>
      <c r="B75" s="285" t="s">
        <v>318</v>
      </c>
      <c r="C75" s="290">
        <f>SUM(C76:C77)</f>
        <v>350000000</v>
      </c>
      <c r="D75" s="290">
        <f>SUM(D76:D77)</f>
        <v>0</v>
      </c>
      <c r="E75" s="290">
        <f t="shared" si="10"/>
        <v>350000000</v>
      </c>
      <c r="F75" s="290">
        <f>SUM(F76:F77)</f>
        <v>424481864</v>
      </c>
      <c r="G75" s="290">
        <f t="shared" si="7"/>
        <v>774481864</v>
      </c>
      <c r="H75" s="290">
        <f>SUM(H76:H77)</f>
        <v>0</v>
      </c>
      <c r="I75" s="290">
        <f t="shared" si="8"/>
        <v>774481864</v>
      </c>
      <c r="J75" s="290">
        <f>SUM(J76:J77)</f>
        <v>0</v>
      </c>
      <c r="K75" s="290">
        <f t="shared" si="9"/>
        <v>774481864</v>
      </c>
    </row>
    <row r="76" spans="1:11" s="89" customFormat="1" ht="12" customHeight="1">
      <c r="A76" s="428" t="s">
        <v>340</v>
      </c>
      <c r="B76" s="409" t="s">
        <v>319</v>
      </c>
      <c r="C76" s="295">
        <v>350000000</v>
      </c>
      <c r="D76" s="295"/>
      <c r="E76" s="700">
        <f t="shared" si="10"/>
        <v>350000000</v>
      </c>
      <c r="F76" s="295">
        <v>424481864</v>
      </c>
      <c r="G76" s="700">
        <f t="shared" si="7"/>
        <v>774481864</v>
      </c>
      <c r="H76" s="295"/>
      <c r="I76" s="700">
        <f t="shared" si="8"/>
        <v>774481864</v>
      </c>
      <c r="J76" s="295"/>
      <c r="K76" s="700">
        <f t="shared" si="9"/>
        <v>774481864</v>
      </c>
    </row>
    <row r="77" spans="1:11" s="89" customFormat="1" ht="12" customHeight="1" thickBot="1">
      <c r="A77" s="430" t="s">
        <v>341</v>
      </c>
      <c r="B77" s="411" t="s">
        <v>320</v>
      </c>
      <c r="C77" s="295"/>
      <c r="D77" s="295"/>
      <c r="E77" s="701">
        <f t="shared" si="10"/>
        <v>0</v>
      </c>
      <c r="F77" s="295"/>
      <c r="G77" s="701">
        <f t="shared" si="7"/>
        <v>0</v>
      </c>
      <c r="H77" s="295"/>
      <c r="I77" s="701">
        <f t="shared" si="8"/>
        <v>0</v>
      </c>
      <c r="J77" s="295"/>
      <c r="K77" s="701">
        <f t="shared" si="9"/>
        <v>0</v>
      </c>
    </row>
    <row r="78" spans="1:11" s="88" customFormat="1" ht="12" customHeight="1" thickBot="1">
      <c r="A78" s="431" t="s">
        <v>321</v>
      </c>
      <c r="B78" s="285" t="s">
        <v>322</v>
      </c>
      <c r="C78" s="290">
        <f>SUM(C79:C81)</f>
        <v>0</v>
      </c>
      <c r="D78" s="290">
        <f>SUM(D79:D81)</f>
        <v>0</v>
      </c>
      <c r="E78" s="701">
        <f t="shared" si="10"/>
        <v>0</v>
      </c>
      <c r="F78" s="290">
        <f>SUM(F79:F81)</f>
        <v>0</v>
      </c>
      <c r="G78" s="701">
        <f t="shared" si="7"/>
        <v>0</v>
      </c>
      <c r="H78" s="290">
        <f>SUM(H79:H81)</f>
        <v>0</v>
      </c>
      <c r="I78" s="701">
        <f t="shared" si="8"/>
        <v>0</v>
      </c>
      <c r="J78" s="290">
        <f>SUM(J79:J81)</f>
        <v>0</v>
      </c>
      <c r="K78" s="701">
        <f t="shared" si="9"/>
        <v>0</v>
      </c>
    </row>
    <row r="79" spans="1:11" s="89" customFormat="1" ht="12" customHeight="1">
      <c r="A79" s="428" t="s">
        <v>342</v>
      </c>
      <c r="B79" s="409" t="s">
        <v>323</v>
      </c>
      <c r="C79" s="295"/>
      <c r="D79" s="295"/>
      <c r="E79" s="701">
        <f t="shared" si="10"/>
        <v>0</v>
      </c>
      <c r="F79" s="295"/>
      <c r="G79" s="701">
        <f t="shared" si="7"/>
        <v>0</v>
      </c>
      <c r="H79" s="295"/>
      <c r="I79" s="701">
        <f t="shared" si="8"/>
        <v>0</v>
      </c>
      <c r="J79" s="295"/>
      <c r="K79" s="701">
        <f t="shared" si="9"/>
        <v>0</v>
      </c>
    </row>
    <row r="80" spans="1:11" s="89" customFormat="1" ht="12" customHeight="1">
      <c r="A80" s="429" t="s">
        <v>343</v>
      </c>
      <c r="B80" s="410" t="s">
        <v>324</v>
      </c>
      <c r="C80" s="295"/>
      <c r="D80" s="295"/>
      <c r="E80" s="701">
        <f t="shared" si="10"/>
        <v>0</v>
      </c>
      <c r="F80" s="295"/>
      <c r="G80" s="701">
        <f t="shared" si="7"/>
        <v>0</v>
      </c>
      <c r="H80" s="295"/>
      <c r="I80" s="701">
        <f t="shared" si="8"/>
        <v>0</v>
      </c>
      <c r="J80" s="295"/>
      <c r="K80" s="701">
        <f t="shared" si="9"/>
        <v>0</v>
      </c>
    </row>
    <row r="81" spans="1:11" s="89" customFormat="1" ht="12" customHeight="1" thickBot="1">
      <c r="A81" s="430" t="s">
        <v>344</v>
      </c>
      <c r="B81" s="411" t="s">
        <v>573</v>
      </c>
      <c r="C81" s="295"/>
      <c r="D81" s="295"/>
      <c r="E81" s="702">
        <f t="shared" si="10"/>
        <v>0</v>
      </c>
      <c r="F81" s="295"/>
      <c r="G81" s="702">
        <f t="shared" si="7"/>
        <v>0</v>
      </c>
      <c r="H81" s="295"/>
      <c r="I81" s="702">
        <f t="shared" si="8"/>
        <v>0</v>
      </c>
      <c r="J81" s="295"/>
      <c r="K81" s="702">
        <f t="shared" si="9"/>
        <v>0</v>
      </c>
    </row>
    <row r="82" spans="1:11" s="89" customFormat="1" ht="12" customHeight="1" thickBot="1">
      <c r="A82" s="431" t="s">
        <v>325</v>
      </c>
      <c r="B82" s="285" t="s">
        <v>345</v>
      </c>
      <c r="C82" s="290">
        <f>SUM(C83:C86)</f>
        <v>0</v>
      </c>
      <c r="D82" s="290">
        <f>SUM(D83:D86)</f>
        <v>0</v>
      </c>
      <c r="E82" s="290">
        <f t="shared" si="10"/>
        <v>0</v>
      </c>
      <c r="F82" s="290">
        <f>SUM(F83:F86)</f>
        <v>0</v>
      </c>
      <c r="G82" s="290">
        <f t="shared" si="7"/>
        <v>0</v>
      </c>
      <c r="H82" s="290">
        <f>SUM(H83:H86)</f>
        <v>0</v>
      </c>
      <c r="I82" s="290">
        <f t="shared" si="8"/>
        <v>0</v>
      </c>
      <c r="J82" s="290">
        <f>SUM(J83:J86)</f>
        <v>0</v>
      </c>
      <c r="K82" s="290">
        <f t="shared" si="9"/>
        <v>0</v>
      </c>
    </row>
    <row r="83" spans="1:11" s="89" customFormat="1" ht="12" customHeight="1">
      <c r="A83" s="432" t="s">
        <v>326</v>
      </c>
      <c r="B83" s="409" t="s">
        <v>327</v>
      </c>
      <c r="C83" s="295"/>
      <c r="D83" s="295"/>
      <c r="E83" s="700">
        <f t="shared" si="10"/>
        <v>0</v>
      </c>
      <c r="F83" s="295"/>
      <c r="G83" s="700">
        <f t="shared" si="7"/>
        <v>0</v>
      </c>
      <c r="H83" s="295"/>
      <c r="I83" s="700">
        <f t="shared" si="8"/>
        <v>0</v>
      </c>
      <c r="J83" s="295"/>
      <c r="K83" s="700">
        <f t="shared" si="9"/>
        <v>0</v>
      </c>
    </row>
    <row r="84" spans="1:11" s="89" customFormat="1" ht="12" customHeight="1">
      <c r="A84" s="433" t="s">
        <v>328</v>
      </c>
      <c r="B84" s="410" t="s">
        <v>329</v>
      </c>
      <c r="C84" s="295"/>
      <c r="D84" s="295"/>
      <c r="E84" s="701">
        <f t="shared" si="10"/>
        <v>0</v>
      </c>
      <c r="F84" s="295"/>
      <c r="G84" s="701">
        <f t="shared" si="7"/>
        <v>0</v>
      </c>
      <c r="H84" s="295"/>
      <c r="I84" s="701">
        <f t="shared" si="8"/>
        <v>0</v>
      </c>
      <c r="J84" s="295"/>
      <c r="K84" s="701">
        <f t="shared" si="9"/>
        <v>0</v>
      </c>
    </row>
    <row r="85" spans="1:11" s="89" customFormat="1" ht="12" customHeight="1">
      <c r="A85" s="433" t="s">
        <v>330</v>
      </c>
      <c r="B85" s="410" t="s">
        <v>331</v>
      </c>
      <c r="C85" s="295"/>
      <c r="D85" s="295"/>
      <c r="E85" s="701">
        <f t="shared" si="10"/>
        <v>0</v>
      </c>
      <c r="F85" s="295"/>
      <c r="G85" s="701">
        <f t="shared" si="7"/>
        <v>0</v>
      </c>
      <c r="H85" s="295"/>
      <c r="I85" s="701">
        <f t="shared" si="8"/>
        <v>0</v>
      </c>
      <c r="J85" s="295"/>
      <c r="K85" s="701">
        <f t="shared" si="9"/>
        <v>0</v>
      </c>
    </row>
    <row r="86" spans="1:11" s="88" customFormat="1" ht="12" customHeight="1" thickBot="1">
      <c r="A86" s="434" t="s">
        <v>332</v>
      </c>
      <c r="B86" s="411" t="s">
        <v>333</v>
      </c>
      <c r="C86" s="295"/>
      <c r="D86" s="295"/>
      <c r="E86" s="702">
        <f t="shared" si="10"/>
        <v>0</v>
      </c>
      <c r="F86" s="295"/>
      <c r="G86" s="702">
        <f t="shared" si="7"/>
        <v>0</v>
      </c>
      <c r="H86" s="295"/>
      <c r="I86" s="702">
        <f t="shared" si="8"/>
        <v>0</v>
      </c>
      <c r="J86" s="295"/>
      <c r="K86" s="702">
        <f t="shared" si="9"/>
        <v>0</v>
      </c>
    </row>
    <row r="87" spans="1:11" s="88" customFormat="1" ht="12" customHeight="1" thickBot="1">
      <c r="A87" s="431" t="s">
        <v>334</v>
      </c>
      <c r="B87" s="285" t="s">
        <v>475</v>
      </c>
      <c r="C87" s="454"/>
      <c r="D87" s="454"/>
      <c r="E87" s="290">
        <f t="shared" si="10"/>
        <v>0</v>
      </c>
      <c r="F87" s="454"/>
      <c r="G87" s="290">
        <f t="shared" si="7"/>
        <v>0</v>
      </c>
      <c r="H87" s="454"/>
      <c r="I87" s="290">
        <f t="shared" si="8"/>
        <v>0</v>
      </c>
      <c r="J87" s="454"/>
      <c r="K87" s="290">
        <f t="shared" si="9"/>
        <v>0</v>
      </c>
    </row>
    <row r="88" spans="1:11" s="88" customFormat="1" ht="12" customHeight="1" thickBot="1">
      <c r="A88" s="431" t="s">
        <v>507</v>
      </c>
      <c r="B88" s="285" t="s">
        <v>335</v>
      </c>
      <c r="C88" s="454"/>
      <c r="D88" s="454"/>
      <c r="E88" s="290">
        <f t="shared" si="10"/>
        <v>0</v>
      </c>
      <c r="F88" s="454"/>
      <c r="G88" s="290">
        <f t="shared" si="7"/>
        <v>0</v>
      </c>
      <c r="H88" s="454"/>
      <c r="I88" s="290">
        <f t="shared" si="8"/>
        <v>0</v>
      </c>
      <c r="J88" s="454"/>
      <c r="K88" s="290">
        <f t="shared" si="9"/>
        <v>0</v>
      </c>
    </row>
    <row r="89" spans="1:11" s="88" customFormat="1" ht="12" customHeight="1" thickBot="1">
      <c r="A89" s="431" t="s">
        <v>508</v>
      </c>
      <c r="B89" s="416" t="s">
        <v>478</v>
      </c>
      <c r="C89" s="296">
        <f>+C66+C70+C75+C78+C82+C88+C87</f>
        <v>350000000</v>
      </c>
      <c r="D89" s="296">
        <f>+D66+D70+D75+D78+D82+D88+D87</f>
        <v>0</v>
      </c>
      <c r="E89" s="290">
        <f t="shared" si="10"/>
        <v>350000000</v>
      </c>
      <c r="F89" s="296">
        <f>+F66+F70+F75+F78+F82+F88+F87</f>
        <v>424481864</v>
      </c>
      <c r="G89" s="290">
        <f t="shared" si="7"/>
        <v>774481864</v>
      </c>
      <c r="H89" s="296">
        <f>+H66+H70+H75+H78+H82+H88+H87</f>
        <v>0</v>
      </c>
      <c r="I89" s="290">
        <f t="shared" si="8"/>
        <v>774481864</v>
      </c>
      <c r="J89" s="296">
        <f>+J66+J70+J75+J78+J82+J88+J87</f>
        <v>0</v>
      </c>
      <c r="K89" s="290">
        <f t="shared" si="9"/>
        <v>774481864</v>
      </c>
    </row>
    <row r="90" spans="1:11" s="88" customFormat="1" ht="12" customHeight="1" thickBot="1">
      <c r="A90" s="435" t="s">
        <v>509</v>
      </c>
      <c r="B90" s="417" t="s">
        <v>510</v>
      </c>
      <c r="C90" s="296">
        <f>+C65+C89</f>
        <v>3083548384</v>
      </c>
      <c r="D90" s="296">
        <f>+D65+D89</f>
        <v>6335494</v>
      </c>
      <c r="E90" s="290">
        <f t="shared" si="10"/>
        <v>3089883878</v>
      </c>
      <c r="F90" s="296">
        <f>+F65+F89</f>
        <v>508554192</v>
      </c>
      <c r="G90" s="290">
        <f t="shared" si="7"/>
        <v>3598438070</v>
      </c>
      <c r="H90" s="296">
        <f>+H65+H89</f>
        <v>-249798822</v>
      </c>
      <c r="I90" s="290">
        <f t="shared" si="8"/>
        <v>3348639248</v>
      </c>
      <c r="J90" s="296">
        <f>+J65+J89</f>
        <v>117620178</v>
      </c>
      <c r="K90" s="290">
        <f t="shared" si="9"/>
        <v>3466259426</v>
      </c>
    </row>
    <row r="91" spans="1:11" s="89" customFormat="1" ht="15.2" customHeight="1" thickBot="1">
      <c r="A91" s="229"/>
      <c r="B91" s="230"/>
      <c r="C91" s="355"/>
      <c r="D91" s="355"/>
      <c r="E91" s="355"/>
      <c r="F91" s="355"/>
      <c r="G91" s="355"/>
      <c r="H91" s="355"/>
      <c r="I91" s="355"/>
      <c r="J91" s="355"/>
      <c r="K91" s="355"/>
    </row>
    <row r="92" spans="1:11" s="60" customFormat="1" ht="16.5" customHeight="1" thickBot="1">
      <c r="A92" s="233"/>
      <c r="B92" s="234" t="s">
        <v>57</v>
      </c>
      <c r="C92" s="357"/>
      <c r="D92" s="357"/>
      <c r="E92" s="357"/>
      <c r="F92" s="357"/>
      <c r="G92" s="357"/>
      <c r="H92" s="357"/>
      <c r="I92" s="357"/>
      <c r="J92" s="357"/>
      <c r="K92" s="357"/>
    </row>
    <row r="93" spans="1:11" s="90" customFormat="1" ht="12" customHeight="1" thickBot="1">
      <c r="A93" s="402" t="s">
        <v>18</v>
      </c>
      <c r="B93" s="28" t="s">
        <v>514</v>
      </c>
      <c r="C93" s="289">
        <f t="shared" ref="C93:I93" si="11">+C94+C95+C96+C97+C98+C111</f>
        <v>911027768</v>
      </c>
      <c r="D93" s="289">
        <f t="shared" si="11"/>
        <v>-7403071</v>
      </c>
      <c r="E93" s="289">
        <f t="shared" si="11"/>
        <v>903624697</v>
      </c>
      <c r="F93" s="289">
        <f t="shared" si="11"/>
        <v>331570316</v>
      </c>
      <c r="G93" s="289">
        <f t="shared" si="11"/>
        <v>1235195013</v>
      </c>
      <c r="H93" s="289">
        <f t="shared" si="11"/>
        <v>59222369</v>
      </c>
      <c r="I93" s="289">
        <f t="shared" si="11"/>
        <v>1294417382</v>
      </c>
      <c r="J93" s="289">
        <f>+J94+J95+J96+J97+J98+J111</f>
        <v>93336545</v>
      </c>
      <c r="K93" s="289">
        <f>+K94+K95+K96+K97+K98+K111</f>
        <v>1387753927</v>
      </c>
    </row>
    <row r="94" spans="1:11" ht="12" customHeight="1">
      <c r="A94" s="436" t="s">
        <v>98</v>
      </c>
      <c r="B94" s="10" t="s">
        <v>49</v>
      </c>
      <c r="C94" s="291">
        <v>134270710</v>
      </c>
      <c r="D94" s="291">
        <v>2000000</v>
      </c>
      <c r="E94" s="703">
        <f>SUM(C94+D94)</f>
        <v>136270710</v>
      </c>
      <c r="F94" s="291">
        <v>83700</v>
      </c>
      <c r="G94" s="703">
        <f>SUM(E94+F94)</f>
        <v>136354410</v>
      </c>
      <c r="H94" s="291">
        <v>16668593</v>
      </c>
      <c r="I94" s="703">
        <f>SUM(G94+H94)</f>
        <v>153023003</v>
      </c>
      <c r="J94" s="291">
        <v>43826081</v>
      </c>
      <c r="K94" s="703">
        <f>SUM(I94+J94)</f>
        <v>196849084</v>
      </c>
    </row>
    <row r="95" spans="1:11" ht="12" customHeight="1">
      <c r="A95" s="429" t="s">
        <v>99</v>
      </c>
      <c r="B95" s="8" t="s">
        <v>183</v>
      </c>
      <c r="C95" s="292">
        <v>26182789</v>
      </c>
      <c r="D95" s="292">
        <v>1577250</v>
      </c>
      <c r="E95" s="704">
        <f>SUM(C95+D95)</f>
        <v>27760039</v>
      </c>
      <c r="F95" s="292">
        <v>16321</v>
      </c>
      <c r="G95" s="704">
        <f>SUM(E95+F95)</f>
        <v>27776360</v>
      </c>
      <c r="H95" s="292">
        <v>2402322</v>
      </c>
      <c r="I95" s="704">
        <f>SUM(G95+H95)</f>
        <v>30178682</v>
      </c>
      <c r="J95" s="292">
        <v>5586243</v>
      </c>
      <c r="K95" s="704">
        <f>SUM(I95+J95)</f>
        <v>35764925</v>
      </c>
    </row>
    <row r="96" spans="1:11" ht="12" customHeight="1">
      <c r="A96" s="429" t="s">
        <v>100</v>
      </c>
      <c r="B96" s="8" t="s">
        <v>140</v>
      </c>
      <c r="C96" s="294">
        <v>319470205</v>
      </c>
      <c r="D96" s="294">
        <v>26960061</v>
      </c>
      <c r="E96" s="704">
        <f>SUM(C96+D96)</f>
        <v>346430266</v>
      </c>
      <c r="F96" s="294">
        <v>16077790</v>
      </c>
      <c r="G96" s="704">
        <f>SUM(E96+F96)</f>
        <v>362508056</v>
      </c>
      <c r="H96" s="294">
        <v>42720302</v>
      </c>
      <c r="I96" s="704">
        <f>SUM(G96+H96)</f>
        <v>405228358</v>
      </c>
      <c r="J96" s="294">
        <v>81424412</v>
      </c>
      <c r="K96" s="704">
        <f>SUM(I96+J96)</f>
        <v>486652770</v>
      </c>
    </row>
    <row r="97" spans="1:11" ht="12" customHeight="1">
      <c r="A97" s="429" t="s">
        <v>101</v>
      </c>
      <c r="B97" s="11" t="s">
        <v>184</v>
      </c>
      <c r="C97" s="294">
        <v>61500000</v>
      </c>
      <c r="D97" s="294"/>
      <c r="E97" s="704">
        <f>SUM(C97+D97)</f>
        <v>61500000</v>
      </c>
      <c r="F97" s="294">
        <v>3147000</v>
      </c>
      <c r="G97" s="704">
        <f>SUM(E97+F97)</f>
        <v>64647000</v>
      </c>
      <c r="H97" s="294">
        <v>-4199000</v>
      </c>
      <c r="I97" s="704">
        <f>SUM(G97+H97)</f>
        <v>60448000</v>
      </c>
      <c r="J97" s="294">
        <v>389000</v>
      </c>
      <c r="K97" s="704">
        <f>SUM(I97+J97)</f>
        <v>60837000</v>
      </c>
    </row>
    <row r="98" spans="1:11" ht="12" customHeight="1">
      <c r="A98" s="429" t="s">
        <v>112</v>
      </c>
      <c r="B98" s="19" t="s">
        <v>185</v>
      </c>
      <c r="C98" s="294">
        <v>265441006</v>
      </c>
      <c r="D98" s="294"/>
      <c r="E98" s="704">
        <f>SUM(C98+D98)</f>
        <v>265441006</v>
      </c>
      <c r="F98" s="294">
        <v>29767946</v>
      </c>
      <c r="G98" s="704">
        <f>SUM(E98+F98)</f>
        <v>295208952</v>
      </c>
      <c r="H98" s="294">
        <v>-586580</v>
      </c>
      <c r="I98" s="704">
        <f>SUM(G98+H98)</f>
        <v>294622372</v>
      </c>
      <c r="J98" s="294">
        <v>22620177</v>
      </c>
      <c r="K98" s="704">
        <f>SUM(I98+J98)</f>
        <v>317242549</v>
      </c>
    </row>
    <row r="99" spans="1:11" ht="12" customHeight="1">
      <c r="A99" s="429" t="s">
        <v>102</v>
      </c>
      <c r="B99" s="8" t="s">
        <v>511</v>
      </c>
      <c r="C99" s="294"/>
      <c r="D99" s="294"/>
      <c r="E99" s="294"/>
      <c r="F99" s="294"/>
      <c r="G99" s="294"/>
      <c r="H99" s="294"/>
      <c r="I99" s="294"/>
      <c r="J99" s="294"/>
      <c r="K99" s="294"/>
    </row>
    <row r="100" spans="1:11" ht="12" customHeight="1">
      <c r="A100" s="429" t="s">
        <v>103</v>
      </c>
      <c r="B100" s="136" t="s">
        <v>441</v>
      </c>
      <c r="C100" s="294"/>
      <c r="D100" s="294"/>
      <c r="E100" s="294"/>
      <c r="F100" s="294"/>
      <c r="G100" s="294"/>
      <c r="H100" s="294"/>
      <c r="I100" s="294"/>
      <c r="J100" s="294"/>
      <c r="K100" s="294"/>
    </row>
    <row r="101" spans="1:11" ht="12" customHeight="1">
      <c r="A101" s="429" t="s">
        <v>113</v>
      </c>
      <c r="B101" s="136" t="s">
        <v>440</v>
      </c>
      <c r="C101" s="294"/>
      <c r="D101" s="294"/>
      <c r="E101" s="294"/>
      <c r="F101" s="294"/>
      <c r="G101" s="294"/>
      <c r="H101" s="294"/>
      <c r="I101" s="294"/>
      <c r="J101" s="294"/>
      <c r="K101" s="294"/>
    </row>
    <row r="102" spans="1:11" ht="12" customHeight="1">
      <c r="A102" s="429" t="s">
        <v>114</v>
      </c>
      <c r="B102" s="136" t="s">
        <v>351</v>
      </c>
      <c r="C102" s="294"/>
      <c r="D102" s="294"/>
      <c r="E102" s="294"/>
      <c r="F102" s="294"/>
      <c r="G102" s="294"/>
      <c r="H102" s="294"/>
      <c r="I102" s="294"/>
      <c r="J102" s="294"/>
      <c r="K102" s="294"/>
    </row>
    <row r="103" spans="1:11" ht="12" customHeight="1">
      <c r="A103" s="429" t="s">
        <v>115</v>
      </c>
      <c r="B103" s="137" t="s">
        <v>352</v>
      </c>
      <c r="C103" s="294"/>
      <c r="D103" s="294"/>
      <c r="E103" s="294"/>
      <c r="F103" s="294"/>
      <c r="G103" s="294"/>
      <c r="H103" s="294"/>
      <c r="I103" s="294"/>
      <c r="J103" s="294"/>
      <c r="K103" s="294"/>
    </row>
    <row r="104" spans="1:11" ht="12" customHeight="1">
      <c r="A104" s="429" t="s">
        <v>116</v>
      </c>
      <c r="B104" s="137" t="s">
        <v>353</v>
      </c>
      <c r="C104" s="294"/>
      <c r="D104" s="294"/>
      <c r="E104" s="294"/>
      <c r="F104" s="294"/>
      <c r="G104" s="294"/>
      <c r="H104" s="294"/>
      <c r="I104" s="294"/>
      <c r="J104" s="294"/>
      <c r="K104" s="294"/>
    </row>
    <row r="105" spans="1:11" ht="12" customHeight="1">
      <c r="A105" s="429" t="s">
        <v>118</v>
      </c>
      <c r="B105" s="136" t="s">
        <v>354</v>
      </c>
      <c r="C105" s="294"/>
      <c r="D105" s="294"/>
      <c r="E105" s="294"/>
      <c r="F105" s="294"/>
      <c r="G105" s="294"/>
      <c r="H105" s="294"/>
      <c r="I105" s="294"/>
      <c r="J105" s="294"/>
      <c r="K105" s="294"/>
    </row>
    <row r="106" spans="1:11" ht="12" customHeight="1">
      <c r="A106" s="429" t="s">
        <v>186</v>
      </c>
      <c r="B106" s="136" t="s">
        <v>355</v>
      </c>
      <c r="C106" s="294"/>
      <c r="D106" s="294"/>
      <c r="E106" s="294"/>
      <c r="F106" s="294"/>
      <c r="G106" s="294"/>
      <c r="H106" s="294"/>
      <c r="I106" s="294"/>
      <c r="J106" s="294"/>
      <c r="K106" s="294"/>
    </row>
    <row r="107" spans="1:11" ht="12" customHeight="1">
      <c r="A107" s="429" t="s">
        <v>349</v>
      </c>
      <c r="B107" s="137" t="s">
        <v>356</v>
      </c>
      <c r="C107" s="294"/>
      <c r="D107" s="294"/>
      <c r="E107" s="294"/>
      <c r="F107" s="294"/>
      <c r="G107" s="294"/>
      <c r="H107" s="294"/>
      <c r="I107" s="294"/>
      <c r="J107" s="294"/>
      <c r="K107" s="294"/>
    </row>
    <row r="108" spans="1:11" ht="12" customHeight="1">
      <c r="A108" s="437" t="s">
        <v>350</v>
      </c>
      <c r="B108" s="138" t="s">
        <v>357</v>
      </c>
      <c r="C108" s="294"/>
      <c r="D108" s="294"/>
      <c r="E108" s="294"/>
      <c r="F108" s="294"/>
      <c r="G108" s="294"/>
      <c r="H108" s="294"/>
      <c r="I108" s="294"/>
      <c r="J108" s="294"/>
      <c r="K108" s="294"/>
    </row>
    <row r="109" spans="1:11" ht="12" customHeight="1">
      <c r="A109" s="429" t="s">
        <v>438</v>
      </c>
      <c r="B109" s="138" t="s">
        <v>358</v>
      </c>
      <c r="C109" s="294"/>
      <c r="D109" s="294"/>
      <c r="E109" s="294"/>
      <c r="F109" s="294"/>
      <c r="G109" s="294"/>
      <c r="H109" s="294"/>
      <c r="I109" s="294"/>
      <c r="J109" s="294"/>
      <c r="K109" s="294"/>
    </row>
    <row r="110" spans="1:11" ht="12" customHeight="1">
      <c r="A110" s="429" t="s">
        <v>439</v>
      </c>
      <c r="B110" s="137" t="s">
        <v>359</v>
      </c>
      <c r="C110" s="292"/>
      <c r="D110" s="292"/>
      <c r="E110" s="292"/>
      <c r="F110" s="292"/>
      <c r="G110" s="292"/>
      <c r="H110" s="292"/>
      <c r="I110" s="292"/>
      <c r="J110" s="292"/>
      <c r="K110" s="292"/>
    </row>
    <row r="111" spans="1:11" ht="12" customHeight="1">
      <c r="A111" s="429" t="s">
        <v>443</v>
      </c>
      <c r="B111" s="11" t="s">
        <v>50</v>
      </c>
      <c r="C111" s="292">
        <v>104163058</v>
      </c>
      <c r="D111" s="292">
        <f>SUM(D112:D113)</f>
        <v>-37940382</v>
      </c>
      <c r="E111" s="292">
        <f>SUM(C111+D111)</f>
        <v>66222676</v>
      </c>
      <c r="F111" s="292">
        <f>SUM(F112:F113)</f>
        <v>282477559</v>
      </c>
      <c r="G111" s="292">
        <f>SUM(E111+F111)</f>
        <v>348700235</v>
      </c>
      <c r="H111" s="292">
        <f>SUM(H112:H113)</f>
        <v>2216732</v>
      </c>
      <c r="I111" s="795">
        <f>SUM(G111+H111)</f>
        <v>350916967</v>
      </c>
      <c r="J111" s="292">
        <f>SUM(J112:J113)</f>
        <v>-60509368</v>
      </c>
      <c r="K111" s="795">
        <f>SUM(I111+J111)</f>
        <v>290407599</v>
      </c>
    </row>
    <row r="112" spans="1:11" ht="12" customHeight="1">
      <c r="A112" s="430" t="s">
        <v>444</v>
      </c>
      <c r="B112" s="8" t="s">
        <v>512</v>
      </c>
      <c r="C112" s="294">
        <v>44166704</v>
      </c>
      <c r="D112" s="294"/>
      <c r="E112" s="292">
        <f>SUM(C112+D112)</f>
        <v>44166704</v>
      </c>
      <c r="F112" s="294">
        <v>2091701</v>
      </c>
      <c r="G112" s="292">
        <f>SUM(E112+F112)</f>
        <v>46258405</v>
      </c>
      <c r="H112" s="294">
        <v>14246732</v>
      </c>
      <c r="I112" s="292">
        <f>SUM(G112+H112)</f>
        <v>60505137</v>
      </c>
      <c r="J112" s="294">
        <v>-55069368</v>
      </c>
      <c r="K112" s="292">
        <f>SUM(I112+J112)</f>
        <v>5435769</v>
      </c>
    </row>
    <row r="113" spans="1:11" ht="12" customHeight="1" thickBot="1">
      <c r="A113" s="438" t="s">
        <v>445</v>
      </c>
      <c r="B113" s="139" t="s">
        <v>513</v>
      </c>
      <c r="C113" s="298">
        <v>59996354</v>
      </c>
      <c r="D113" s="298">
        <v>-37940382</v>
      </c>
      <c r="E113" s="292">
        <f>SUM(C113+D113)</f>
        <v>22055972</v>
      </c>
      <c r="F113" s="298">
        <v>280385858</v>
      </c>
      <c r="G113" s="292">
        <f>SUM(E113+F113)</f>
        <v>302441830</v>
      </c>
      <c r="H113" s="298">
        <v>-12030000</v>
      </c>
      <c r="I113" s="292">
        <f>SUM(G113+H113)</f>
        <v>290411830</v>
      </c>
      <c r="J113" s="298">
        <v>-5440000</v>
      </c>
      <c r="K113" s="292">
        <f>SUM(I113+J113)</f>
        <v>284971830</v>
      </c>
    </row>
    <row r="114" spans="1:11" ht="12" customHeight="1" thickBot="1">
      <c r="A114" s="32" t="s">
        <v>19</v>
      </c>
      <c r="B114" s="27" t="s">
        <v>360</v>
      </c>
      <c r="C114" s="290">
        <f t="shared" ref="C114:I114" si="12">+C115+C117+C119</f>
        <v>1154520927</v>
      </c>
      <c r="D114" s="290">
        <f t="shared" si="12"/>
        <v>-16556100</v>
      </c>
      <c r="E114" s="290">
        <f t="shared" si="12"/>
        <v>1137964827</v>
      </c>
      <c r="F114" s="290">
        <f t="shared" si="12"/>
        <v>159549016</v>
      </c>
      <c r="G114" s="290">
        <f t="shared" si="12"/>
        <v>1297513843</v>
      </c>
      <c r="H114" s="290">
        <f t="shared" si="12"/>
        <v>-320239674</v>
      </c>
      <c r="I114" s="290">
        <f t="shared" si="12"/>
        <v>977274169</v>
      </c>
      <c r="J114" s="290">
        <f>+J115+J117+J119</f>
        <v>10821004</v>
      </c>
      <c r="K114" s="290">
        <f>+K115+K117+K119</f>
        <v>988095173</v>
      </c>
    </row>
    <row r="115" spans="1:11" ht="12" customHeight="1">
      <c r="A115" s="428" t="s">
        <v>104</v>
      </c>
      <c r="B115" s="8" t="s">
        <v>230</v>
      </c>
      <c r="C115" s="293">
        <v>942781949</v>
      </c>
      <c r="D115" s="293">
        <v>-140329700</v>
      </c>
      <c r="E115" s="293">
        <f>SUM(C115+D115)</f>
        <v>802452249</v>
      </c>
      <c r="F115" s="293">
        <v>69154911</v>
      </c>
      <c r="G115" s="293">
        <f>SUM(E115+F115)</f>
        <v>871607160</v>
      </c>
      <c r="H115" s="293">
        <v>-323612254</v>
      </c>
      <c r="I115" s="293">
        <f>SUM(G115+H115)</f>
        <v>547994906</v>
      </c>
      <c r="J115" s="293">
        <v>-54147686</v>
      </c>
      <c r="K115" s="293">
        <f>SUM(I115+J115)</f>
        <v>493847220</v>
      </c>
    </row>
    <row r="116" spans="1:11" ht="12" customHeight="1">
      <c r="A116" s="428" t="s">
        <v>105</v>
      </c>
      <c r="B116" s="12" t="s">
        <v>364</v>
      </c>
      <c r="C116" s="293"/>
      <c r="D116" s="293"/>
      <c r="E116" s="293"/>
      <c r="F116" s="293"/>
      <c r="G116" s="293"/>
      <c r="H116" s="293"/>
      <c r="I116" s="293"/>
      <c r="J116" s="293"/>
      <c r="K116" s="293"/>
    </row>
    <row r="117" spans="1:11" ht="12" customHeight="1">
      <c r="A117" s="428" t="s">
        <v>106</v>
      </c>
      <c r="B117" s="12" t="s">
        <v>187</v>
      </c>
      <c r="C117" s="292">
        <v>211738978</v>
      </c>
      <c r="D117" s="292"/>
      <c r="E117" s="293">
        <f t="shared" ref="E117:E127" si="13">SUM(C117+D117)</f>
        <v>211738978</v>
      </c>
      <c r="F117" s="292">
        <v>90394105</v>
      </c>
      <c r="G117" s="293">
        <f t="shared" ref="G117:G127" si="14">SUM(E117+F117)</f>
        <v>302133083</v>
      </c>
      <c r="H117" s="292">
        <v>1016000</v>
      </c>
      <c r="I117" s="293">
        <f t="shared" ref="I117:I127" si="15">SUM(G117+H117)</f>
        <v>303149083</v>
      </c>
      <c r="J117" s="292">
        <v>45568690</v>
      </c>
      <c r="K117" s="293">
        <f t="shared" ref="K117:K127" si="16">SUM(I117+J117)</f>
        <v>348717773</v>
      </c>
    </row>
    <row r="118" spans="1:11" ht="12" customHeight="1">
      <c r="A118" s="428" t="s">
        <v>107</v>
      </c>
      <c r="B118" s="12" t="s">
        <v>365</v>
      </c>
      <c r="C118" s="257"/>
      <c r="D118" s="257"/>
      <c r="E118" s="293">
        <f t="shared" si="13"/>
        <v>0</v>
      </c>
      <c r="F118" s="257"/>
      <c r="G118" s="293">
        <f t="shared" si="14"/>
        <v>0</v>
      </c>
      <c r="H118" s="257"/>
      <c r="I118" s="293">
        <f t="shared" si="15"/>
        <v>0</v>
      </c>
      <c r="J118" s="257"/>
      <c r="K118" s="293">
        <f t="shared" si="16"/>
        <v>0</v>
      </c>
    </row>
    <row r="119" spans="1:11" ht="12" customHeight="1">
      <c r="A119" s="428" t="s">
        <v>108</v>
      </c>
      <c r="B119" s="287" t="s">
        <v>232</v>
      </c>
      <c r="C119" s="257"/>
      <c r="D119" s="257">
        <f>SUM(D120:D127)</f>
        <v>123773600</v>
      </c>
      <c r="E119" s="293">
        <f t="shared" si="13"/>
        <v>123773600</v>
      </c>
      <c r="F119" s="257"/>
      <c r="G119" s="293">
        <f t="shared" si="14"/>
        <v>123773600</v>
      </c>
      <c r="H119" s="257">
        <v>2356580</v>
      </c>
      <c r="I119" s="293">
        <f t="shared" si="15"/>
        <v>126130180</v>
      </c>
      <c r="J119" s="257">
        <v>19400000</v>
      </c>
      <c r="K119" s="293">
        <f t="shared" si="16"/>
        <v>145530180</v>
      </c>
    </row>
    <row r="120" spans="1:11" ht="12" customHeight="1">
      <c r="A120" s="428" t="s">
        <v>117</v>
      </c>
      <c r="B120" s="286" t="s">
        <v>428</v>
      </c>
      <c r="C120" s="257"/>
      <c r="D120" s="257"/>
      <c r="E120" s="293">
        <f t="shared" si="13"/>
        <v>0</v>
      </c>
      <c r="F120" s="257"/>
      <c r="G120" s="293">
        <f t="shared" si="14"/>
        <v>0</v>
      </c>
      <c r="H120" s="257"/>
      <c r="I120" s="293">
        <f t="shared" si="15"/>
        <v>0</v>
      </c>
      <c r="J120" s="257"/>
      <c r="K120" s="293">
        <f t="shared" si="16"/>
        <v>0</v>
      </c>
    </row>
    <row r="121" spans="1:11" ht="12" customHeight="1">
      <c r="A121" s="428" t="s">
        <v>119</v>
      </c>
      <c r="B121" s="405" t="s">
        <v>370</v>
      </c>
      <c r="C121" s="257"/>
      <c r="D121" s="257"/>
      <c r="E121" s="293">
        <f t="shared" si="13"/>
        <v>0</v>
      </c>
      <c r="F121" s="257"/>
      <c r="G121" s="293">
        <f t="shared" si="14"/>
        <v>0</v>
      </c>
      <c r="H121" s="257"/>
      <c r="I121" s="293">
        <f t="shared" si="15"/>
        <v>0</v>
      </c>
      <c r="J121" s="257"/>
      <c r="K121" s="293">
        <f t="shared" si="16"/>
        <v>0</v>
      </c>
    </row>
    <row r="122" spans="1:11" ht="12" customHeight="1">
      <c r="A122" s="428" t="s">
        <v>188</v>
      </c>
      <c r="B122" s="137" t="s">
        <v>353</v>
      </c>
      <c r="C122" s="257"/>
      <c r="D122" s="257"/>
      <c r="E122" s="293">
        <f t="shared" si="13"/>
        <v>0</v>
      </c>
      <c r="F122" s="257"/>
      <c r="G122" s="293">
        <f t="shared" si="14"/>
        <v>0</v>
      </c>
      <c r="H122" s="257"/>
      <c r="I122" s="293">
        <f t="shared" si="15"/>
        <v>0</v>
      </c>
      <c r="J122" s="257"/>
      <c r="K122" s="293">
        <f t="shared" si="16"/>
        <v>0</v>
      </c>
    </row>
    <row r="123" spans="1:11" ht="12" customHeight="1">
      <c r="A123" s="428" t="s">
        <v>189</v>
      </c>
      <c r="B123" s="137" t="s">
        <v>369</v>
      </c>
      <c r="C123" s="257"/>
      <c r="D123" s="257"/>
      <c r="E123" s="293">
        <f t="shared" si="13"/>
        <v>0</v>
      </c>
      <c r="F123" s="257"/>
      <c r="G123" s="293">
        <f t="shared" si="14"/>
        <v>0</v>
      </c>
      <c r="H123" s="257"/>
      <c r="I123" s="293">
        <f t="shared" si="15"/>
        <v>0</v>
      </c>
      <c r="J123" s="257"/>
      <c r="K123" s="293">
        <f t="shared" si="16"/>
        <v>0</v>
      </c>
    </row>
    <row r="124" spans="1:11" ht="12" customHeight="1">
      <c r="A124" s="428" t="s">
        <v>190</v>
      </c>
      <c r="B124" s="137" t="s">
        <v>368</v>
      </c>
      <c r="C124" s="257"/>
      <c r="D124" s="257"/>
      <c r="E124" s="293">
        <f t="shared" si="13"/>
        <v>0</v>
      </c>
      <c r="F124" s="257"/>
      <c r="G124" s="293">
        <f t="shared" si="14"/>
        <v>0</v>
      </c>
      <c r="H124" s="257"/>
      <c r="I124" s="293">
        <f t="shared" si="15"/>
        <v>0</v>
      </c>
      <c r="J124" s="257"/>
      <c r="K124" s="293">
        <f t="shared" si="16"/>
        <v>0</v>
      </c>
    </row>
    <row r="125" spans="1:11" ht="12" customHeight="1">
      <c r="A125" s="428" t="s">
        <v>361</v>
      </c>
      <c r="B125" s="137" t="s">
        <v>356</v>
      </c>
      <c r="C125" s="257"/>
      <c r="D125" s="257"/>
      <c r="E125" s="293">
        <f t="shared" si="13"/>
        <v>0</v>
      </c>
      <c r="F125" s="257"/>
      <c r="G125" s="293">
        <f t="shared" si="14"/>
        <v>0</v>
      </c>
      <c r="H125" s="257"/>
      <c r="I125" s="293">
        <f t="shared" si="15"/>
        <v>0</v>
      </c>
      <c r="J125" s="257"/>
      <c r="K125" s="293">
        <f t="shared" si="16"/>
        <v>0</v>
      </c>
    </row>
    <row r="126" spans="1:11" ht="12" customHeight="1">
      <c r="A126" s="428" t="s">
        <v>362</v>
      </c>
      <c r="B126" s="137" t="s">
        <v>367</v>
      </c>
      <c r="C126" s="257"/>
      <c r="D126" s="257"/>
      <c r="E126" s="293">
        <f t="shared" si="13"/>
        <v>0</v>
      </c>
      <c r="F126" s="257"/>
      <c r="G126" s="293">
        <f t="shared" si="14"/>
        <v>0</v>
      </c>
      <c r="H126" s="257"/>
      <c r="I126" s="293">
        <f t="shared" si="15"/>
        <v>0</v>
      </c>
      <c r="J126" s="257"/>
      <c r="K126" s="293">
        <f t="shared" si="16"/>
        <v>0</v>
      </c>
    </row>
    <row r="127" spans="1:11" ht="12" customHeight="1" thickBot="1">
      <c r="A127" s="437" t="s">
        <v>363</v>
      </c>
      <c r="B127" s="137" t="s">
        <v>366</v>
      </c>
      <c r="C127" s="259"/>
      <c r="D127" s="259">
        <v>123773600</v>
      </c>
      <c r="E127" s="293">
        <f t="shared" si="13"/>
        <v>123773600</v>
      </c>
      <c r="F127" s="259"/>
      <c r="G127" s="293">
        <f t="shared" si="14"/>
        <v>123773600</v>
      </c>
      <c r="H127" s="259"/>
      <c r="I127" s="293">
        <f t="shared" si="15"/>
        <v>123773600</v>
      </c>
      <c r="J127" s="259"/>
      <c r="K127" s="293">
        <f t="shared" si="16"/>
        <v>123773600</v>
      </c>
    </row>
    <row r="128" spans="1:11" ht="12" customHeight="1" thickBot="1">
      <c r="A128" s="32" t="s">
        <v>20</v>
      </c>
      <c r="B128" s="118" t="s">
        <v>448</v>
      </c>
      <c r="C128" s="290">
        <f t="shared" ref="C128:I128" si="17">+C93+C114</f>
        <v>2065548695</v>
      </c>
      <c r="D128" s="290">
        <f t="shared" si="17"/>
        <v>-23959171</v>
      </c>
      <c r="E128" s="290">
        <f t="shared" si="17"/>
        <v>2041589524</v>
      </c>
      <c r="F128" s="290">
        <f t="shared" si="17"/>
        <v>491119332</v>
      </c>
      <c r="G128" s="290">
        <f t="shared" si="17"/>
        <v>2532708856</v>
      </c>
      <c r="H128" s="290">
        <f t="shared" si="17"/>
        <v>-261017305</v>
      </c>
      <c r="I128" s="290">
        <f t="shared" si="17"/>
        <v>2271691551</v>
      </c>
      <c r="J128" s="290">
        <f>+J93+J114</f>
        <v>104157549</v>
      </c>
      <c r="K128" s="290">
        <f>+K93+K114</f>
        <v>2375849100</v>
      </c>
    </row>
    <row r="129" spans="1:11" ht="12" customHeight="1" thickBot="1">
      <c r="A129" s="32" t="s">
        <v>21</v>
      </c>
      <c r="B129" s="118" t="s">
        <v>449</v>
      </c>
      <c r="C129" s="290">
        <f t="shared" ref="C129:I129" si="18">+C130+C131+C132</f>
        <v>0</v>
      </c>
      <c r="D129" s="290">
        <f t="shared" si="18"/>
        <v>0</v>
      </c>
      <c r="E129" s="290">
        <f t="shared" si="18"/>
        <v>0</v>
      </c>
      <c r="F129" s="290">
        <f t="shared" si="18"/>
        <v>0</v>
      </c>
      <c r="G129" s="290">
        <f t="shared" si="18"/>
        <v>0</v>
      </c>
      <c r="H129" s="290">
        <f t="shared" si="18"/>
        <v>0</v>
      </c>
      <c r="I129" s="290">
        <f t="shared" si="18"/>
        <v>0</v>
      </c>
      <c r="J129" s="290">
        <f>+J130+J131+J132</f>
        <v>0</v>
      </c>
      <c r="K129" s="290">
        <f>+K130+K131+K132</f>
        <v>0</v>
      </c>
    </row>
    <row r="130" spans="1:11" s="90" customFormat="1" ht="12" customHeight="1">
      <c r="A130" s="428" t="s">
        <v>268</v>
      </c>
      <c r="B130" s="9" t="s">
        <v>517</v>
      </c>
      <c r="C130" s="257"/>
      <c r="D130" s="257"/>
      <c r="E130" s="257"/>
      <c r="F130" s="257"/>
      <c r="G130" s="257"/>
      <c r="H130" s="257"/>
      <c r="I130" s="257"/>
      <c r="J130" s="257"/>
      <c r="K130" s="257"/>
    </row>
    <row r="131" spans="1:11" ht="12" customHeight="1">
      <c r="A131" s="428" t="s">
        <v>269</v>
      </c>
      <c r="B131" s="9" t="s">
        <v>457</v>
      </c>
      <c r="C131" s="257"/>
      <c r="D131" s="257"/>
      <c r="E131" s="257"/>
      <c r="F131" s="257"/>
      <c r="G131" s="257"/>
      <c r="H131" s="257"/>
      <c r="I131" s="257"/>
      <c r="J131" s="257"/>
      <c r="K131" s="257"/>
    </row>
    <row r="132" spans="1:11" ht="12" customHeight="1" thickBot="1">
      <c r="A132" s="437" t="s">
        <v>270</v>
      </c>
      <c r="B132" s="7" t="s">
        <v>516</v>
      </c>
      <c r="C132" s="257"/>
      <c r="D132" s="257"/>
      <c r="E132" s="257"/>
      <c r="F132" s="257"/>
      <c r="G132" s="257"/>
      <c r="H132" s="257"/>
      <c r="I132" s="257"/>
      <c r="J132" s="257"/>
      <c r="K132" s="257"/>
    </row>
    <row r="133" spans="1:11" ht="12" customHeight="1" thickBot="1">
      <c r="A133" s="32" t="s">
        <v>22</v>
      </c>
      <c r="B133" s="118" t="s">
        <v>450</v>
      </c>
      <c r="C133" s="290">
        <f t="shared" ref="C133:I133" si="19">+C134+C135+C136+C137+C138+C139</f>
        <v>0</v>
      </c>
      <c r="D133" s="290">
        <f t="shared" si="19"/>
        <v>0</v>
      </c>
      <c r="E133" s="290">
        <f t="shared" si="19"/>
        <v>0</v>
      </c>
      <c r="F133" s="290">
        <f t="shared" si="19"/>
        <v>0</v>
      </c>
      <c r="G133" s="290">
        <f t="shared" si="19"/>
        <v>0</v>
      </c>
      <c r="H133" s="290">
        <f t="shared" si="19"/>
        <v>0</v>
      </c>
      <c r="I133" s="290">
        <f t="shared" si="19"/>
        <v>0</v>
      </c>
      <c r="J133" s="290">
        <f>+J134+J135+J136+J137+J138+J139</f>
        <v>0</v>
      </c>
      <c r="K133" s="290">
        <f>+K134+K135+K136+K137+K138+K139</f>
        <v>0</v>
      </c>
    </row>
    <row r="134" spans="1:11" ht="12" customHeight="1">
      <c r="A134" s="428" t="s">
        <v>91</v>
      </c>
      <c r="B134" s="9" t="s">
        <v>459</v>
      </c>
      <c r="C134" s="257"/>
      <c r="D134" s="257"/>
      <c r="E134" s="257"/>
      <c r="F134" s="257"/>
      <c r="G134" s="257"/>
      <c r="H134" s="257"/>
      <c r="I134" s="257"/>
      <c r="J134" s="257"/>
      <c r="K134" s="257"/>
    </row>
    <row r="135" spans="1:11" ht="12" customHeight="1">
      <c r="A135" s="428" t="s">
        <v>92</v>
      </c>
      <c r="B135" s="9" t="s">
        <v>451</v>
      </c>
      <c r="C135" s="257"/>
      <c r="D135" s="257"/>
      <c r="E135" s="257"/>
      <c r="F135" s="257"/>
      <c r="G135" s="257"/>
      <c r="H135" s="257"/>
      <c r="I135" s="257"/>
      <c r="J135" s="257"/>
      <c r="K135" s="257"/>
    </row>
    <row r="136" spans="1:11" ht="12" customHeight="1">
      <c r="A136" s="428" t="s">
        <v>93</v>
      </c>
      <c r="B136" s="9" t="s">
        <v>452</v>
      </c>
      <c r="C136" s="257"/>
      <c r="D136" s="257"/>
      <c r="E136" s="257"/>
      <c r="F136" s="257"/>
      <c r="G136" s="257"/>
      <c r="H136" s="257"/>
      <c r="I136" s="257"/>
      <c r="J136" s="257"/>
      <c r="K136" s="257"/>
    </row>
    <row r="137" spans="1:11" ht="12" customHeight="1">
      <c r="A137" s="428" t="s">
        <v>175</v>
      </c>
      <c r="B137" s="9" t="s">
        <v>515</v>
      </c>
      <c r="C137" s="257"/>
      <c r="D137" s="257"/>
      <c r="E137" s="257"/>
      <c r="F137" s="257"/>
      <c r="G137" s="257"/>
      <c r="H137" s="257"/>
      <c r="I137" s="257"/>
      <c r="J137" s="257"/>
      <c r="K137" s="257"/>
    </row>
    <row r="138" spans="1:11" ht="12" customHeight="1">
      <c r="A138" s="428" t="s">
        <v>176</v>
      </c>
      <c r="B138" s="9" t="s">
        <v>454</v>
      </c>
      <c r="C138" s="257"/>
      <c r="D138" s="257"/>
      <c r="E138" s="257"/>
      <c r="F138" s="257"/>
      <c r="G138" s="257"/>
      <c r="H138" s="257"/>
      <c r="I138" s="257"/>
      <c r="J138" s="257"/>
      <c r="K138" s="257"/>
    </row>
    <row r="139" spans="1:11" s="90" customFormat="1" ht="12" customHeight="1" thickBot="1">
      <c r="A139" s="437" t="s">
        <v>177</v>
      </c>
      <c r="B139" s="7" t="s">
        <v>455</v>
      </c>
      <c r="C139" s="257"/>
      <c r="D139" s="257"/>
      <c r="E139" s="257"/>
      <c r="F139" s="257"/>
      <c r="G139" s="257"/>
      <c r="H139" s="257"/>
      <c r="I139" s="257"/>
      <c r="J139" s="257"/>
      <c r="K139" s="257"/>
    </row>
    <row r="140" spans="1:11" ht="12" customHeight="1" thickBot="1">
      <c r="A140" s="32" t="s">
        <v>23</v>
      </c>
      <c r="B140" s="118" t="s">
        <v>541</v>
      </c>
      <c r="C140" s="296">
        <f t="shared" ref="C140:I140" si="20">+C141+C142+C144+C145+C143</f>
        <v>1017999689</v>
      </c>
      <c r="D140" s="296">
        <f t="shared" si="20"/>
        <v>30294665</v>
      </c>
      <c r="E140" s="296">
        <f t="shared" si="20"/>
        <v>1048294354</v>
      </c>
      <c r="F140" s="296">
        <f t="shared" si="20"/>
        <v>17434860</v>
      </c>
      <c r="G140" s="296">
        <f t="shared" si="20"/>
        <v>1065729214</v>
      </c>
      <c r="H140" s="296">
        <f t="shared" si="20"/>
        <v>11218483</v>
      </c>
      <c r="I140" s="296">
        <f t="shared" si="20"/>
        <v>1076947697</v>
      </c>
      <c r="J140" s="296">
        <f>+J141+J142+J144+J145+J143</f>
        <v>13462629</v>
      </c>
      <c r="K140" s="296">
        <f>+K141+K142+K144+K145+K143</f>
        <v>1090410326</v>
      </c>
    </row>
    <row r="141" spans="1:11">
      <c r="A141" s="428" t="s">
        <v>94</v>
      </c>
      <c r="B141" s="9" t="s">
        <v>371</v>
      </c>
      <c r="C141" s="257"/>
      <c r="D141" s="257"/>
      <c r="E141" s="257"/>
      <c r="F141" s="257"/>
      <c r="G141" s="257"/>
      <c r="H141" s="257"/>
      <c r="I141" s="257"/>
      <c r="J141" s="257"/>
      <c r="K141" s="257"/>
    </row>
    <row r="142" spans="1:11" ht="12" customHeight="1">
      <c r="A142" s="428" t="s">
        <v>95</v>
      </c>
      <c r="B142" s="9" t="s">
        <v>372</v>
      </c>
      <c r="C142" s="257"/>
      <c r="D142" s="257">
        <v>30294665</v>
      </c>
      <c r="E142" s="257">
        <f>SUM(C142+D142)</f>
        <v>30294665</v>
      </c>
      <c r="F142" s="257"/>
      <c r="G142" s="257">
        <f>SUM(E142+F142)</f>
        <v>30294665</v>
      </c>
      <c r="H142" s="257"/>
      <c r="I142" s="257">
        <f>SUM(G142+H142)</f>
        <v>30294665</v>
      </c>
      <c r="J142" s="257"/>
      <c r="K142" s="257">
        <f>SUM(I142+J142)</f>
        <v>30294665</v>
      </c>
    </row>
    <row r="143" spans="1:11" ht="12" customHeight="1">
      <c r="A143" s="428" t="s">
        <v>288</v>
      </c>
      <c r="B143" s="9" t="s">
        <v>540</v>
      </c>
      <c r="C143" s="257">
        <v>1017999689</v>
      </c>
      <c r="D143" s="257"/>
      <c r="E143" s="257">
        <f>SUM(C143+D143)</f>
        <v>1017999689</v>
      </c>
      <c r="F143" s="257">
        <v>17434860</v>
      </c>
      <c r="G143" s="257">
        <f>SUM(E143+F143)</f>
        <v>1035434549</v>
      </c>
      <c r="H143" s="257">
        <v>11218483</v>
      </c>
      <c r="I143" s="257">
        <f>SUM(G143+H143)</f>
        <v>1046653032</v>
      </c>
      <c r="J143" s="257">
        <v>13462629</v>
      </c>
      <c r="K143" s="257">
        <f>SUM(I143+J143)</f>
        <v>1060115661</v>
      </c>
    </row>
    <row r="144" spans="1:11" s="90" customFormat="1" ht="12" customHeight="1">
      <c r="A144" s="428" t="s">
        <v>289</v>
      </c>
      <c r="B144" s="9" t="s">
        <v>464</v>
      </c>
      <c r="C144" s="257"/>
      <c r="D144" s="257"/>
      <c r="E144" s="257">
        <f>SUM(C144+D144)</f>
        <v>0</v>
      </c>
      <c r="F144" s="257"/>
      <c r="G144" s="257">
        <f>SUM(E144+F144)</f>
        <v>0</v>
      </c>
      <c r="H144" s="257"/>
      <c r="I144" s="257">
        <f>SUM(G144+H144)</f>
        <v>0</v>
      </c>
      <c r="J144" s="257"/>
      <c r="K144" s="257">
        <f>SUM(I144+J144)</f>
        <v>0</v>
      </c>
    </row>
    <row r="145" spans="1:11" s="90" customFormat="1" ht="12" customHeight="1" thickBot="1">
      <c r="A145" s="437" t="s">
        <v>290</v>
      </c>
      <c r="B145" s="7" t="s">
        <v>390</v>
      </c>
      <c r="C145" s="257"/>
      <c r="D145" s="257"/>
      <c r="E145" s="257">
        <f>SUM(C145+D145)</f>
        <v>0</v>
      </c>
      <c r="F145" s="257"/>
      <c r="G145" s="257">
        <f>SUM(E145+F145)</f>
        <v>0</v>
      </c>
      <c r="H145" s="257"/>
      <c r="I145" s="257">
        <f>SUM(G145+H145)</f>
        <v>0</v>
      </c>
      <c r="J145" s="257"/>
      <c r="K145" s="257">
        <f>SUM(I145+J145)</f>
        <v>0</v>
      </c>
    </row>
    <row r="146" spans="1:11" s="90" customFormat="1" ht="12" customHeight="1" thickBot="1">
      <c r="A146" s="32" t="s">
        <v>24</v>
      </c>
      <c r="B146" s="118" t="s">
        <v>465</v>
      </c>
      <c r="C146" s="299">
        <f t="shared" ref="C146:I146" si="21">+C147+C148+C149+C150+C151</f>
        <v>0</v>
      </c>
      <c r="D146" s="299">
        <f t="shared" si="21"/>
        <v>0</v>
      </c>
      <c r="E146" s="299">
        <f t="shared" si="21"/>
        <v>0</v>
      </c>
      <c r="F146" s="299">
        <f t="shared" si="21"/>
        <v>0</v>
      </c>
      <c r="G146" s="299">
        <f t="shared" si="21"/>
        <v>0</v>
      </c>
      <c r="H146" s="299">
        <f t="shared" si="21"/>
        <v>0</v>
      </c>
      <c r="I146" s="299">
        <f t="shared" si="21"/>
        <v>0</v>
      </c>
      <c r="J146" s="299">
        <f>+J147+J148+J149+J150+J151</f>
        <v>0</v>
      </c>
      <c r="K146" s="299">
        <f>+K147+K148+K149+K150+K151</f>
        <v>0</v>
      </c>
    </row>
    <row r="147" spans="1:11" s="90" customFormat="1" ht="12" customHeight="1">
      <c r="A147" s="428" t="s">
        <v>96</v>
      </c>
      <c r="B147" s="9" t="s">
        <v>460</v>
      </c>
      <c r="C147" s="257"/>
      <c r="D147" s="257"/>
      <c r="E147" s="257"/>
      <c r="F147" s="257"/>
      <c r="G147" s="257"/>
      <c r="H147" s="257"/>
      <c r="I147" s="257"/>
      <c r="J147" s="257"/>
      <c r="K147" s="257"/>
    </row>
    <row r="148" spans="1:11" s="90" customFormat="1" ht="12" customHeight="1">
      <c r="A148" s="428" t="s">
        <v>97</v>
      </c>
      <c r="B148" s="9" t="s">
        <v>467</v>
      </c>
      <c r="C148" s="257"/>
      <c r="D148" s="257"/>
      <c r="E148" s="257"/>
      <c r="F148" s="257"/>
      <c r="G148" s="257"/>
      <c r="H148" s="257"/>
      <c r="I148" s="257"/>
      <c r="J148" s="257"/>
      <c r="K148" s="257"/>
    </row>
    <row r="149" spans="1:11" s="90" customFormat="1" ht="12" customHeight="1">
      <c r="A149" s="428" t="s">
        <v>300</v>
      </c>
      <c r="B149" s="9" t="s">
        <v>462</v>
      </c>
      <c r="C149" s="257"/>
      <c r="D149" s="257"/>
      <c r="E149" s="257"/>
      <c r="F149" s="257"/>
      <c r="G149" s="257"/>
      <c r="H149" s="257"/>
      <c r="I149" s="257"/>
      <c r="J149" s="257"/>
      <c r="K149" s="257"/>
    </row>
    <row r="150" spans="1:11" s="90" customFormat="1" ht="12" customHeight="1">
      <c r="A150" s="428" t="s">
        <v>301</v>
      </c>
      <c r="B150" s="9" t="s">
        <v>518</v>
      </c>
      <c r="C150" s="257"/>
      <c r="D150" s="257"/>
      <c r="E150" s="257"/>
      <c r="F150" s="257"/>
      <c r="G150" s="257"/>
      <c r="H150" s="257"/>
      <c r="I150" s="257"/>
      <c r="J150" s="257"/>
      <c r="K150" s="257"/>
    </row>
    <row r="151" spans="1:11" ht="12.75" customHeight="1" thickBot="1">
      <c r="A151" s="437" t="s">
        <v>466</v>
      </c>
      <c r="B151" s="7" t="s">
        <v>469</v>
      </c>
      <c r="C151" s="259"/>
      <c r="D151" s="259"/>
      <c r="E151" s="259"/>
      <c r="F151" s="259"/>
      <c r="G151" s="259"/>
      <c r="H151" s="259"/>
      <c r="I151" s="259"/>
      <c r="J151" s="259"/>
      <c r="K151" s="259"/>
    </row>
    <row r="152" spans="1:11" ht="12.75" customHeight="1" thickBot="1">
      <c r="A152" s="479" t="s">
        <v>25</v>
      </c>
      <c r="B152" s="118" t="s">
        <v>470</v>
      </c>
      <c r="C152" s="299"/>
      <c r="D152" s="299"/>
      <c r="E152" s="299"/>
      <c r="F152" s="299"/>
      <c r="G152" s="299"/>
      <c r="H152" s="299"/>
      <c r="I152" s="299"/>
      <c r="J152" s="299"/>
      <c r="K152" s="299"/>
    </row>
    <row r="153" spans="1:11" ht="12.75" customHeight="1" thickBot="1">
      <c r="A153" s="479" t="s">
        <v>26</v>
      </c>
      <c r="B153" s="118" t="s">
        <v>471</v>
      </c>
      <c r="C153" s="299"/>
      <c r="D153" s="299"/>
      <c r="E153" s="299"/>
      <c r="F153" s="299"/>
      <c r="G153" s="299"/>
      <c r="H153" s="299"/>
      <c r="I153" s="299"/>
      <c r="J153" s="299"/>
      <c r="K153" s="299"/>
    </row>
    <row r="154" spans="1:11" ht="12" customHeight="1" thickBot="1">
      <c r="A154" s="32" t="s">
        <v>27</v>
      </c>
      <c r="B154" s="118" t="s">
        <v>473</v>
      </c>
      <c r="C154" s="419">
        <f t="shared" ref="C154:I154" si="22">+C129+C133+C140+C146+C152+C153</f>
        <v>1017999689</v>
      </c>
      <c r="D154" s="419">
        <f t="shared" si="22"/>
        <v>30294665</v>
      </c>
      <c r="E154" s="419">
        <f t="shared" si="22"/>
        <v>1048294354</v>
      </c>
      <c r="F154" s="419">
        <f t="shared" si="22"/>
        <v>17434860</v>
      </c>
      <c r="G154" s="419">
        <f t="shared" si="22"/>
        <v>1065729214</v>
      </c>
      <c r="H154" s="419">
        <f t="shared" si="22"/>
        <v>11218483</v>
      </c>
      <c r="I154" s="419">
        <f t="shared" si="22"/>
        <v>1076947697</v>
      </c>
      <c r="J154" s="419">
        <f>+J129+J133+J140+J146+J152+J153</f>
        <v>13462629</v>
      </c>
      <c r="K154" s="419">
        <f>+K129+K133+K140+K146+K152+K153</f>
        <v>1090410326</v>
      </c>
    </row>
    <row r="155" spans="1:11" ht="15.2" customHeight="1" thickBot="1">
      <c r="A155" s="439" t="s">
        <v>28</v>
      </c>
      <c r="B155" s="373" t="s">
        <v>472</v>
      </c>
      <c r="C155" s="419">
        <f t="shared" ref="C155:I155" si="23">+C128+C154</f>
        <v>3083548384</v>
      </c>
      <c r="D155" s="419">
        <f t="shared" si="23"/>
        <v>6335494</v>
      </c>
      <c r="E155" s="419">
        <f t="shared" si="23"/>
        <v>3089883878</v>
      </c>
      <c r="F155" s="419">
        <f t="shared" si="23"/>
        <v>508554192</v>
      </c>
      <c r="G155" s="419">
        <f t="shared" si="23"/>
        <v>3598438070</v>
      </c>
      <c r="H155" s="419">
        <f t="shared" si="23"/>
        <v>-249798822</v>
      </c>
      <c r="I155" s="419">
        <f t="shared" si="23"/>
        <v>3348639248</v>
      </c>
      <c r="J155" s="419">
        <f>+J128+J154</f>
        <v>117620178</v>
      </c>
      <c r="K155" s="419">
        <f>+K128+K154</f>
        <v>3466259426</v>
      </c>
    </row>
    <row r="156" spans="1:11" ht="13.5" thickBot="1">
      <c r="A156" s="381"/>
      <c r="B156" s="382"/>
      <c r="C156" s="615">
        <f t="shared" ref="C156:I156" si="24">C90-C155</f>
        <v>0</v>
      </c>
      <c r="D156" s="615">
        <f t="shared" si="24"/>
        <v>0</v>
      </c>
      <c r="E156" s="615">
        <f t="shared" si="24"/>
        <v>0</v>
      </c>
      <c r="F156" s="615">
        <f t="shared" si="24"/>
        <v>0</v>
      </c>
      <c r="G156" s="615">
        <f t="shared" si="24"/>
        <v>0</v>
      </c>
      <c r="H156" s="615">
        <f t="shared" si="24"/>
        <v>0</v>
      </c>
      <c r="I156" s="615">
        <f t="shared" si="24"/>
        <v>0</v>
      </c>
      <c r="J156" s="615">
        <f>J90-J155</f>
        <v>0</v>
      </c>
      <c r="K156" s="615">
        <f>K90-K155</f>
        <v>0</v>
      </c>
    </row>
    <row r="157" spans="1:11" ht="15.2" customHeight="1" thickBot="1">
      <c r="A157" s="238" t="s">
        <v>519</v>
      </c>
      <c r="B157" s="239"/>
      <c r="C157" s="115">
        <v>40</v>
      </c>
      <c r="D157" s="115"/>
      <c r="E157" s="115">
        <v>40</v>
      </c>
      <c r="F157" s="115"/>
      <c r="G157" s="115">
        <v>40</v>
      </c>
      <c r="H157" s="115">
        <v>3</v>
      </c>
      <c r="I157" s="115">
        <v>43</v>
      </c>
      <c r="J157" s="115"/>
      <c r="K157" s="115">
        <v>43</v>
      </c>
    </row>
    <row r="158" spans="1:11" ht="14.45" customHeight="1" thickBot="1">
      <c r="A158" s="238" t="s">
        <v>206</v>
      </c>
      <c r="B158" s="239"/>
      <c r="C158" s="115"/>
      <c r="D158" s="115"/>
      <c r="E158" s="115"/>
      <c r="F158" s="115"/>
      <c r="G158" s="115"/>
      <c r="H158" s="115"/>
      <c r="I158" s="115"/>
      <c r="J158" s="115"/>
      <c r="K158" s="115"/>
    </row>
    <row r="159" spans="1:11">
      <c r="A159" s="612"/>
      <c r="B159" s="613"/>
      <c r="C159" s="670"/>
      <c r="D159" s="670"/>
      <c r="E159" s="670"/>
    </row>
    <row r="160" spans="1:11">
      <c r="A160" s="612"/>
      <c r="B160" s="613"/>
    </row>
    <row r="161" spans="1:5">
      <c r="A161" s="612"/>
      <c r="B161" s="613"/>
      <c r="C161" s="614"/>
      <c r="D161" s="614"/>
      <c r="E161" s="614"/>
    </row>
    <row r="162" spans="1:5">
      <c r="A162" s="612"/>
      <c r="B162" s="613"/>
      <c r="C162" s="614"/>
      <c r="D162" s="614"/>
      <c r="E162" s="614"/>
    </row>
    <row r="163" spans="1:5">
      <c r="A163" s="612"/>
      <c r="B163" s="613"/>
      <c r="C163" s="614"/>
      <c r="D163" s="614"/>
      <c r="E163" s="614"/>
    </row>
    <row r="164" spans="1:5">
      <c r="A164" s="612"/>
      <c r="B164" s="613"/>
      <c r="C164" s="614"/>
      <c r="D164" s="614"/>
      <c r="E164" s="614"/>
    </row>
    <row r="165" spans="1:5">
      <c r="A165" s="612"/>
      <c r="B165" s="613"/>
      <c r="C165" s="614"/>
      <c r="D165" s="614"/>
      <c r="E165" s="614"/>
    </row>
    <row r="166" spans="1:5">
      <c r="A166" s="612"/>
      <c r="B166" s="613"/>
      <c r="C166" s="614"/>
      <c r="D166" s="614"/>
      <c r="E166" s="614"/>
    </row>
    <row r="167" spans="1:5">
      <c r="A167" s="612"/>
      <c r="B167" s="613"/>
      <c r="C167" s="614"/>
      <c r="D167" s="614"/>
      <c r="E167" s="614"/>
    </row>
    <row r="168" spans="1:5">
      <c r="A168" s="612"/>
      <c r="B168" s="613"/>
      <c r="C168" s="614"/>
      <c r="D168" s="614"/>
      <c r="E168" s="614"/>
    </row>
    <row r="169" spans="1:5">
      <c r="A169" s="612"/>
      <c r="B169" s="613"/>
      <c r="C169" s="614"/>
      <c r="D169" s="614"/>
      <c r="E169" s="614"/>
    </row>
    <row r="170" spans="1:5">
      <c r="A170" s="612"/>
      <c r="B170" s="613"/>
      <c r="C170" s="614"/>
      <c r="D170" s="614"/>
      <c r="E170" s="614"/>
    </row>
    <row r="171" spans="1:5">
      <c r="A171" s="612"/>
      <c r="B171" s="613"/>
      <c r="C171" s="614"/>
      <c r="D171" s="614"/>
      <c r="E171" s="614"/>
    </row>
    <row r="172" spans="1:5">
      <c r="A172" s="612"/>
      <c r="B172" s="613"/>
      <c r="C172" s="614"/>
      <c r="D172" s="614"/>
      <c r="E172" s="614"/>
    </row>
    <row r="173" spans="1:5">
      <c r="A173" s="612"/>
      <c r="B173" s="613"/>
      <c r="C173" s="614"/>
      <c r="D173" s="614"/>
      <c r="E173" s="614"/>
    </row>
    <row r="174" spans="1:5">
      <c r="A174" s="612"/>
      <c r="B174" s="613"/>
      <c r="C174" s="614"/>
      <c r="D174" s="614"/>
      <c r="E174" s="614"/>
    </row>
    <row r="175" spans="1:5">
      <c r="A175" s="612"/>
      <c r="B175" s="613"/>
      <c r="C175" s="614"/>
      <c r="D175" s="614"/>
      <c r="E175" s="614"/>
    </row>
    <row r="176" spans="1:5">
      <c r="A176" s="612"/>
      <c r="B176" s="613"/>
      <c r="C176" s="614"/>
      <c r="D176" s="614"/>
      <c r="E176" s="614"/>
    </row>
    <row r="177" spans="1:5">
      <c r="A177" s="612"/>
      <c r="B177" s="613"/>
      <c r="C177" s="614"/>
      <c r="D177" s="614"/>
      <c r="E177" s="614"/>
    </row>
    <row r="178" spans="1:5">
      <c r="A178" s="612"/>
      <c r="B178" s="613"/>
      <c r="C178" s="614"/>
      <c r="D178" s="614"/>
      <c r="E178" s="614"/>
    </row>
    <row r="179" spans="1:5">
      <c r="A179" s="612"/>
      <c r="B179" s="613"/>
      <c r="C179" s="614"/>
      <c r="D179" s="614"/>
      <c r="E179" s="614"/>
    </row>
  </sheetData>
  <sheetProtection formatCells="0"/>
  <phoneticPr fontId="0" type="noConversion"/>
  <printOptions horizontalCentered="1"/>
  <pageMargins left="0.78740157480314965" right="0.78740157480314965" top="0.98425196850393704" bottom="0.98425196850393704" header="0.78740157480314965" footer="0.78740157480314965"/>
  <pageSetup paperSize="8" scale="75" orientation="landscape" verticalDpi="300" r:id="rId1"/>
  <headerFooter alignWithMargins="0"/>
  <rowBreaks count="1" manualBreakCount="1">
    <brk id="9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>
  <sheetPr>
    <tabColor rgb="FF92D050"/>
  </sheetPr>
  <dimension ref="A1:K178"/>
  <sheetViews>
    <sheetView zoomScale="120" zoomScaleNormal="120" zoomScaleSheetLayoutView="85" workbookViewId="0">
      <selection activeCell="C39" sqref="C39"/>
    </sheetView>
  </sheetViews>
  <sheetFormatPr defaultRowHeight="12.75"/>
  <cols>
    <col min="1" max="1" width="19.5" style="383" customWidth="1"/>
    <col min="2" max="2" width="72" style="384" customWidth="1"/>
    <col min="3" max="3" width="25" style="385" customWidth="1"/>
    <col min="4" max="16384" width="9.33203125" style="3"/>
  </cols>
  <sheetData>
    <row r="1" spans="1:3" s="2" customFormat="1" ht="16.5" customHeight="1" thickBot="1">
      <c r="A1" s="593"/>
      <c r="B1" s="594"/>
      <c r="C1" s="588" t="str">
        <f ca="1">CONCATENATE("9.1.1. melléklet ",ALAPADATOK!A7," ",ALAPADATOK!B7," ",ALAPADATOK!C7," ",ALAPADATOK!D7," ",ALAPADATOK!E7," ",ALAPADATOK!F7," ",ALAPADATOK!G7," ",ALAPADATOK!H7)</f>
        <v>9.1.1. melléklet a … / 2019 ( … ) önkormányzati rendelethez</v>
      </c>
    </row>
    <row r="2" spans="1:3" s="86" customFormat="1" ht="21.2" customHeight="1">
      <c r="A2" s="595" t="s">
        <v>61</v>
      </c>
      <c r="B2" s="596" t="str">
        <f ca="1">CONCATENATE(ALAPADATOK!A3)</f>
        <v>DABAS ÖNKORMÁNYZATA</v>
      </c>
      <c r="C2" s="597" t="s">
        <v>54</v>
      </c>
    </row>
    <row r="3" spans="1:3" s="86" customFormat="1" ht="16.5" thickBot="1">
      <c r="A3" s="598" t="s">
        <v>203</v>
      </c>
      <c r="B3" s="599" t="s">
        <v>429</v>
      </c>
      <c r="C3" s="600" t="s">
        <v>59</v>
      </c>
    </row>
    <row r="4" spans="1:3" s="87" customFormat="1" ht="15.95" customHeight="1" thickBot="1">
      <c r="A4" s="601"/>
      <c r="B4" s="601"/>
      <c r="C4" s="602" t="str">
        <f ca="1">KV_9.1.sz.mell!C4</f>
        <v/>
      </c>
    </row>
    <row r="5" spans="1:3" ht="13.5" thickBot="1">
      <c r="A5" s="603" t="s">
        <v>205</v>
      </c>
      <c r="B5" s="604" t="s">
        <v>563</v>
      </c>
      <c r="C5" s="605" t="s">
        <v>55</v>
      </c>
    </row>
    <row r="6" spans="1:3" s="60" customFormat="1" ht="12.95" customHeight="1" thickBot="1">
      <c r="A6" s="606"/>
      <c r="B6" s="607" t="s">
        <v>493</v>
      </c>
      <c r="C6" s="608" t="s">
        <v>494</v>
      </c>
    </row>
    <row r="7" spans="1:3" s="60" customFormat="1" ht="15.95" customHeight="1" thickBot="1">
      <c r="A7" s="223"/>
      <c r="B7" s="224" t="s">
        <v>56</v>
      </c>
      <c r="C7" s="350"/>
    </row>
    <row r="8" spans="1:3" s="60" customFormat="1" ht="12" customHeight="1" thickBot="1">
      <c r="A8" s="32" t="s">
        <v>18</v>
      </c>
      <c r="B8" s="21" t="s">
        <v>252</v>
      </c>
      <c r="C8" s="290">
        <f>+C9+C10+C11+C12+C13+C14</f>
        <v>0</v>
      </c>
    </row>
    <row r="9" spans="1:3" s="88" customFormat="1" ht="12" customHeight="1">
      <c r="A9" s="428" t="s">
        <v>98</v>
      </c>
      <c r="B9" s="409" t="s">
        <v>253</v>
      </c>
      <c r="C9" s="293"/>
    </row>
    <row r="10" spans="1:3" s="89" customFormat="1" ht="12" customHeight="1">
      <c r="A10" s="429" t="s">
        <v>99</v>
      </c>
      <c r="B10" s="410" t="s">
        <v>254</v>
      </c>
      <c r="C10" s="292"/>
    </row>
    <row r="11" spans="1:3" s="89" customFormat="1" ht="12" customHeight="1">
      <c r="A11" s="429" t="s">
        <v>100</v>
      </c>
      <c r="B11" s="410" t="s">
        <v>550</v>
      </c>
      <c r="C11" s="292"/>
    </row>
    <row r="12" spans="1:3" s="89" customFormat="1" ht="12" customHeight="1">
      <c r="A12" s="429" t="s">
        <v>101</v>
      </c>
      <c r="B12" s="410" t="s">
        <v>256</v>
      </c>
      <c r="C12" s="292"/>
    </row>
    <row r="13" spans="1:3" s="89" customFormat="1" ht="12" customHeight="1">
      <c r="A13" s="429" t="s">
        <v>148</v>
      </c>
      <c r="B13" s="410" t="s">
        <v>506</v>
      </c>
      <c r="C13" s="292"/>
    </row>
    <row r="14" spans="1:3" s="88" customFormat="1" ht="12" customHeight="1" thickBot="1">
      <c r="A14" s="430" t="s">
        <v>102</v>
      </c>
      <c r="B14" s="411" t="s">
        <v>433</v>
      </c>
      <c r="C14" s="292"/>
    </row>
    <row r="15" spans="1:3" s="88" customFormat="1" ht="12" customHeight="1" thickBot="1">
      <c r="A15" s="32" t="s">
        <v>19</v>
      </c>
      <c r="B15" s="285" t="s">
        <v>257</v>
      </c>
      <c r="C15" s="290">
        <f>+C16+C17+C18+C19+C20</f>
        <v>0</v>
      </c>
    </row>
    <row r="16" spans="1:3" s="88" customFormat="1" ht="12" customHeight="1">
      <c r="A16" s="428" t="s">
        <v>104</v>
      </c>
      <c r="B16" s="409" t="s">
        <v>258</v>
      </c>
      <c r="C16" s="293"/>
    </row>
    <row r="17" spans="1:3" s="88" customFormat="1" ht="12" customHeight="1">
      <c r="A17" s="429" t="s">
        <v>105</v>
      </c>
      <c r="B17" s="410" t="s">
        <v>259</v>
      </c>
      <c r="C17" s="292"/>
    </row>
    <row r="18" spans="1:3" s="88" customFormat="1" ht="12" customHeight="1">
      <c r="A18" s="429" t="s">
        <v>106</v>
      </c>
      <c r="B18" s="410" t="s">
        <v>422</v>
      </c>
      <c r="C18" s="292"/>
    </row>
    <row r="19" spans="1:3" s="88" customFormat="1" ht="12" customHeight="1">
      <c r="A19" s="429" t="s">
        <v>107</v>
      </c>
      <c r="B19" s="410" t="s">
        <v>423</v>
      </c>
      <c r="C19" s="292"/>
    </row>
    <row r="20" spans="1:3" s="88" customFormat="1" ht="12" customHeight="1">
      <c r="A20" s="429" t="s">
        <v>108</v>
      </c>
      <c r="B20" s="410" t="s">
        <v>260</v>
      </c>
      <c r="C20" s="292"/>
    </row>
    <row r="21" spans="1:3" s="89" customFormat="1" ht="12" customHeight="1" thickBot="1">
      <c r="A21" s="430" t="s">
        <v>117</v>
      </c>
      <c r="B21" s="411" t="s">
        <v>261</v>
      </c>
      <c r="C21" s="294"/>
    </row>
    <row r="22" spans="1:3" s="89" customFormat="1" ht="12" customHeight="1" thickBot="1">
      <c r="A22" s="32" t="s">
        <v>20</v>
      </c>
      <c r="B22" s="21" t="s">
        <v>262</v>
      </c>
      <c r="C22" s="290">
        <f>+C23+C24+C25+C26+C27</f>
        <v>0</v>
      </c>
    </row>
    <row r="23" spans="1:3" s="89" customFormat="1" ht="12" customHeight="1">
      <c r="A23" s="428" t="s">
        <v>87</v>
      </c>
      <c r="B23" s="409" t="s">
        <v>263</v>
      </c>
      <c r="C23" s="293"/>
    </row>
    <row r="24" spans="1:3" s="88" customFormat="1" ht="12" customHeight="1">
      <c r="A24" s="429" t="s">
        <v>88</v>
      </c>
      <c r="B24" s="410" t="s">
        <v>264</v>
      </c>
      <c r="C24" s="292"/>
    </row>
    <row r="25" spans="1:3" s="89" customFormat="1" ht="12" customHeight="1">
      <c r="A25" s="429" t="s">
        <v>89</v>
      </c>
      <c r="B25" s="410" t="s">
        <v>424</v>
      </c>
      <c r="C25" s="292"/>
    </row>
    <row r="26" spans="1:3" s="89" customFormat="1" ht="12" customHeight="1">
      <c r="A26" s="429" t="s">
        <v>90</v>
      </c>
      <c r="B26" s="410" t="s">
        <v>425</v>
      </c>
      <c r="C26" s="292"/>
    </row>
    <row r="27" spans="1:3" s="89" customFormat="1" ht="12" customHeight="1">
      <c r="A27" s="429" t="s">
        <v>171</v>
      </c>
      <c r="B27" s="410" t="s">
        <v>265</v>
      </c>
      <c r="C27" s="292"/>
    </row>
    <row r="28" spans="1:3" s="89" customFormat="1" ht="12" customHeight="1" thickBot="1">
      <c r="A28" s="430" t="s">
        <v>172</v>
      </c>
      <c r="B28" s="411" t="s">
        <v>266</v>
      </c>
      <c r="C28" s="294"/>
    </row>
    <row r="29" spans="1:3" s="89" customFormat="1" ht="12" customHeight="1" thickBot="1">
      <c r="A29" s="32" t="s">
        <v>173</v>
      </c>
      <c r="B29" s="21" t="s">
        <v>560</v>
      </c>
      <c r="C29" s="296">
        <f>SUM(C30:C36)</f>
        <v>0</v>
      </c>
    </row>
    <row r="30" spans="1:3" s="89" customFormat="1" ht="12" customHeight="1">
      <c r="A30" s="428" t="s">
        <v>268</v>
      </c>
      <c r="B30" s="409" t="s">
        <v>555</v>
      </c>
      <c r="C30" s="293"/>
    </row>
    <row r="31" spans="1:3" s="89" customFormat="1" ht="12" customHeight="1">
      <c r="A31" s="429" t="s">
        <v>269</v>
      </c>
      <c r="B31" s="410" t="s">
        <v>556</v>
      </c>
      <c r="C31" s="292"/>
    </row>
    <row r="32" spans="1:3" s="89" customFormat="1" ht="12" customHeight="1">
      <c r="A32" s="429" t="s">
        <v>270</v>
      </c>
      <c r="B32" s="410" t="s">
        <v>557</v>
      </c>
      <c r="C32" s="292"/>
    </row>
    <row r="33" spans="1:3" s="89" customFormat="1" ht="12" customHeight="1">
      <c r="A33" s="429" t="s">
        <v>271</v>
      </c>
      <c r="B33" s="410" t="s">
        <v>558</v>
      </c>
      <c r="C33" s="292"/>
    </row>
    <row r="34" spans="1:3" s="89" customFormat="1" ht="12" customHeight="1">
      <c r="A34" s="429" t="s">
        <v>552</v>
      </c>
      <c r="B34" s="410" t="s">
        <v>272</v>
      </c>
      <c r="C34" s="292"/>
    </row>
    <row r="35" spans="1:3" s="89" customFormat="1" ht="12" customHeight="1">
      <c r="A35" s="429" t="s">
        <v>553</v>
      </c>
      <c r="B35" s="410" t="s">
        <v>273</v>
      </c>
      <c r="C35" s="292"/>
    </row>
    <row r="36" spans="1:3" s="89" customFormat="1" ht="12" customHeight="1" thickBot="1">
      <c r="A36" s="430" t="s">
        <v>554</v>
      </c>
      <c r="B36" s="504" t="s">
        <v>274</v>
      </c>
      <c r="C36" s="294"/>
    </row>
    <row r="37" spans="1:3" s="89" customFormat="1" ht="12" customHeight="1" thickBot="1">
      <c r="A37" s="32" t="s">
        <v>22</v>
      </c>
      <c r="B37" s="21" t="s">
        <v>434</v>
      </c>
      <c r="C37" s="290">
        <f>SUM(C38:C48)</f>
        <v>0</v>
      </c>
    </row>
    <row r="38" spans="1:3" s="89" customFormat="1" ht="12" customHeight="1">
      <c r="A38" s="428" t="s">
        <v>91</v>
      </c>
      <c r="B38" s="409" t="s">
        <v>277</v>
      </c>
      <c r="C38" s="293"/>
    </row>
    <row r="39" spans="1:3" s="89" customFormat="1" ht="12" customHeight="1">
      <c r="A39" s="429" t="s">
        <v>92</v>
      </c>
      <c r="B39" s="410" t="s">
        <v>278</v>
      </c>
      <c r="C39" s="292"/>
    </row>
    <row r="40" spans="1:3" s="89" customFormat="1" ht="12" customHeight="1">
      <c r="A40" s="429" t="s">
        <v>93</v>
      </c>
      <c r="B40" s="410" t="s">
        <v>279</v>
      </c>
      <c r="C40" s="292"/>
    </row>
    <row r="41" spans="1:3" s="89" customFormat="1" ht="12" customHeight="1">
      <c r="A41" s="429" t="s">
        <v>175</v>
      </c>
      <c r="B41" s="410" t="s">
        <v>280</v>
      </c>
      <c r="C41" s="292"/>
    </row>
    <row r="42" spans="1:3" s="89" customFormat="1" ht="12" customHeight="1">
      <c r="A42" s="429" t="s">
        <v>176</v>
      </c>
      <c r="B42" s="410" t="s">
        <v>281</v>
      </c>
      <c r="C42" s="292"/>
    </row>
    <row r="43" spans="1:3" s="89" customFormat="1" ht="12" customHeight="1">
      <c r="A43" s="429" t="s">
        <v>177</v>
      </c>
      <c r="B43" s="410" t="s">
        <v>282</v>
      </c>
      <c r="C43" s="292"/>
    </row>
    <row r="44" spans="1:3" s="89" customFormat="1" ht="12" customHeight="1">
      <c r="A44" s="429" t="s">
        <v>178</v>
      </c>
      <c r="B44" s="410" t="s">
        <v>283</v>
      </c>
      <c r="C44" s="292"/>
    </row>
    <row r="45" spans="1:3" s="89" customFormat="1" ht="12" customHeight="1">
      <c r="A45" s="429" t="s">
        <v>179</v>
      </c>
      <c r="B45" s="410" t="s">
        <v>559</v>
      </c>
      <c r="C45" s="292"/>
    </row>
    <row r="46" spans="1:3" s="89" customFormat="1" ht="12" customHeight="1">
      <c r="A46" s="429" t="s">
        <v>275</v>
      </c>
      <c r="B46" s="410" t="s">
        <v>285</v>
      </c>
      <c r="C46" s="295"/>
    </row>
    <row r="47" spans="1:3" s="89" customFormat="1" ht="12" customHeight="1">
      <c r="A47" s="430" t="s">
        <v>276</v>
      </c>
      <c r="B47" s="411" t="s">
        <v>436</v>
      </c>
      <c r="C47" s="396"/>
    </row>
    <row r="48" spans="1:3" s="89" customFormat="1" ht="12" customHeight="1" thickBot="1">
      <c r="A48" s="430" t="s">
        <v>435</v>
      </c>
      <c r="B48" s="411" t="s">
        <v>286</v>
      </c>
      <c r="C48" s="396"/>
    </row>
    <row r="49" spans="1:3" s="89" customFormat="1" ht="12" customHeight="1" thickBot="1">
      <c r="A49" s="32" t="s">
        <v>23</v>
      </c>
      <c r="B49" s="21" t="s">
        <v>287</v>
      </c>
      <c r="C49" s="290">
        <f>SUM(C50:C54)</f>
        <v>0</v>
      </c>
    </row>
    <row r="50" spans="1:3" s="89" customFormat="1" ht="12" customHeight="1">
      <c r="A50" s="428" t="s">
        <v>94</v>
      </c>
      <c r="B50" s="409" t="s">
        <v>291</v>
      </c>
      <c r="C50" s="453"/>
    </row>
    <row r="51" spans="1:3" s="89" customFormat="1" ht="12" customHeight="1">
      <c r="A51" s="429" t="s">
        <v>95</v>
      </c>
      <c r="B51" s="410" t="s">
        <v>292</v>
      </c>
      <c r="C51" s="295"/>
    </row>
    <row r="52" spans="1:3" s="89" customFormat="1" ht="12" customHeight="1">
      <c r="A52" s="429" t="s">
        <v>288</v>
      </c>
      <c r="B52" s="410" t="s">
        <v>293</v>
      </c>
      <c r="C52" s="295"/>
    </row>
    <row r="53" spans="1:3" s="89" customFormat="1" ht="12" customHeight="1">
      <c r="A53" s="429" t="s">
        <v>289</v>
      </c>
      <c r="B53" s="410" t="s">
        <v>294</v>
      </c>
      <c r="C53" s="295"/>
    </row>
    <row r="54" spans="1:3" s="89" customFormat="1" ht="12" customHeight="1" thickBot="1">
      <c r="A54" s="430" t="s">
        <v>290</v>
      </c>
      <c r="B54" s="411" t="s">
        <v>295</v>
      </c>
      <c r="C54" s="396"/>
    </row>
    <row r="55" spans="1:3" s="89" customFormat="1" ht="12" customHeight="1" thickBot="1">
      <c r="A55" s="32" t="s">
        <v>180</v>
      </c>
      <c r="B55" s="21" t="s">
        <v>296</v>
      </c>
      <c r="C55" s="290">
        <f>SUM(C56:C58)</f>
        <v>0</v>
      </c>
    </row>
    <row r="56" spans="1:3" s="89" customFormat="1" ht="12" customHeight="1">
      <c r="A56" s="428" t="s">
        <v>96</v>
      </c>
      <c r="B56" s="409" t="s">
        <v>297</v>
      </c>
      <c r="C56" s="293"/>
    </row>
    <row r="57" spans="1:3" s="89" customFormat="1" ht="12" customHeight="1">
      <c r="A57" s="429" t="s">
        <v>97</v>
      </c>
      <c r="B57" s="410" t="s">
        <v>426</v>
      </c>
      <c r="C57" s="292"/>
    </row>
    <row r="58" spans="1:3" s="89" customFormat="1" ht="12" customHeight="1">
      <c r="A58" s="429" t="s">
        <v>300</v>
      </c>
      <c r="B58" s="410" t="s">
        <v>298</v>
      </c>
      <c r="C58" s="292"/>
    </row>
    <row r="59" spans="1:3" s="89" customFormat="1" ht="12" customHeight="1" thickBot="1">
      <c r="A59" s="430" t="s">
        <v>301</v>
      </c>
      <c r="B59" s="411" t="s">
        <v>299</v>
      </c>
      <c r="C59" s="294"/>
    </row>
    <row r="60" spans="1:3" s="89" customFormat="1" ht="12" customHeight="1" thickBot="1">
      <c r="A60" s="32" t="s">
        <v>25</v>
      </c>
      <c r="B60" s="285" t="s">
        <v>302</v>
      </c>
      <c r="C60" s="290">
        <f>SUM(C61:C63)</f>
        <v>0</v>
      </c>
    </row>
    <row r="61" spans="1:3" s="89" customFormat="1" ht="12" customHeight="1">
      <c r="A61" s="428" t="s">
        <v>181</v>
      </c>
      <c r="B61" s="409" t="s">
        <v>304</v>
      </c>
      <c r="C61" s="295"/>
    </row>
    <row r="62" spans="1:3" s="89" customFormat="1" ht="12" customHeight="1">
      <c r="A62" s="429" t="s">
        <v>182</v>
      </c>
      <c r="B62" s="410" t="s">
        <v>427</v>
      </c>
      <c r="C62" s="295"/>
    </row>
    <row r="63" spans="1:3" s="89" customFormat="1" ht="12" customHeight="1">
      <c r="A63" s="429" t="s">
        <v>231</v>
      </c>
      <c r="B63" s="410" t="s">
        <v>305</v>
      </c>
      <c r="C63" s="295"/>
    </row>
    <row r="64" spans="1:3" s="89" customFormat="1" ht="12" customHeight="1" thickBot="1">
      <c r="A64" s="430" t="s">
        <v>303</v>
      </c>
      <c r="B64" s="411" t="s">
        <v>306</v>
      </c>
      <c r="C64" s="295"/>
    </row>
    <row r="65" spans="1:3" s="89" customFormat="1" ht="12" customHeight="1" thickBot="1">
      <c r="A65" s="32" t="s">
        <v>26</v>
      </c>
      <c r="B65" s="21" t="s">
        <v>307</v>
      </c>
      <c r="C65" s="296">
        <f>+C8+C15+C22+C29+C37+C49+C55+C60</f>
        <v>0</v>
      </c>
    </row>
    <row r="66" spans="1:3" s="89" customFormat="1" ht="12" customHeight="1" thickBot="1">
      <c r="A66" s="431" t="s">
        <v>394</v>
      </c>
      <c r="B66" s="285" t="s">
        <v>309</v>
      </c>
      <c r="C66" s="290">
        <f>SUM(C67:C69)</f>
        <v>0</v>
      </c>
    </row>
    <row r="67" spans="1:3" s="89" customFormat="1" ht="12" customHeight="1">
      <c r="A67" s="428" t="s">
        <v>337</v>
      </c>
      <c r="B67" s="409" t="s">
        <v>310</v>
      </c>
      <c r="C67" s="295"/>
    </row>
    <row r="68" spans="1:3" s="89" customFormat="1" ht="12" customHeight="1">
      <c r="A68" s="429" t="s">
        <v>346</v>
      </c>
      <c r="B68" s="410" t="s">
        <v>311</v>
      </c>
      <c r="C68" s="295"/>
    </row>
    <row r="69" spans="1:3" s="89" customFormat="1" ht="12" customHeight="1" thickBot="1">
      <c r="A69" s="430" t="s">
        <v>347</v>
      </c>
      <c r="B69" s="412" t="s">
        <v>312</v>
      </c>
      <c r="C69" s="295"/>
    </row>
    <row r="70" spans="1:3" s="89" customFormat="1" ht="12" customHeight="1" thickBot="1">
      <c r="A70" s="431" t="s">
        <v>313</v>
      </c>
      <c r="B70" s="285" t="s">
        <v>314</v>
      </c>
      <c r="C70" s="290">
        <f>SUM(C71:C74)</f>
        <v>0</v>
      </c>
    </row>
    <row r="71" spans="1:3" s="89" customFormat="1" ht="12" customHeight="1">
      <c r="A71" s="428" t="s">
        <v>149</v>
      </c>
      <c r="B71" s="409" t="s">
        <v>315</v>
      </c>
      <c r="C71" s="295"/>
    </row>
    <row r="72" spans="1:3" s="89" customFormat="1" ht="12" customHeight="1">
      <c r="A72" s="429" t="s">
        <v>150</v>
      </c>
      <c r="B72" s="410" t="s">
        <v>571</v>
      </c>
      <c r="C72" s="295"/>
    </row>
    <row r="73" spans="1:3" s="89" customFormat="1" ht="12" customHeight="1">
      <c r="A73" s="429" t="s">
        <v>338</v>
      </c>
      <c r="B73" s="410" t="s">
        <v>316</v>
      </c>
      <c r="C73" s="295"/>
    </row>
    <row r="74" spans="1:3" s="89" customFormat="1" ht="12" customHeight="1" thickBot="1">
      <c r="A74" s="430" t="s">
        <v>339</v>
      </c>
      <c r="B74" s="287" t="s">
        <v>572</v>
      </c>
      <c r="C74" s="295"/>
    </row>
    <row r="75" spans="1:3" s="89" customFormat="1" ht="12" customHeight="1" thickBot="1">
      <c r="A75" s="431" t="s">
        <v>317</v>
      </c>
      <c r="B75" s="285" t="s">
        <v>318</v>
      </c>
      <c r="C75" s="290">
        <f>SUM(C76:C77)</f>
        <v>0</v>
      </c>
    </row>
    <row r="76" spans="1:3" s="89" customFormat="1" ht="12" customHeight="1">
      <c r="A76" s="428" t="s">
        <v>340</v>
      </c>
      <c r="B76" s="409" t="s">
        <v>319</v>
      </c>
      <c r="C76" s="295"/>
    </row>
    <row r="77" spans="1:3" s="89" customFormat="1" ht="12" customHeight="1" thickBot="1">
      <c r="A77" s="430" t="s">
        <v>341</v>
      </c>
      <c r="B77" s="411" t="s">
        <v>320</v>
      </c>
      <c r="C77" s="295"/>
    </row>
    <row r="78" spans="1:3" s="88" customFormat="1" ht="12" customHeight="1" thickBot="1">
      <c r="A78" s="431" t="s">
        <v>321</v>
      </c>
      <c r="B78" s="285" t="s">
        <v>322</v>
      </c>
      <c r="C78" s="290">
        <f>SUM(C79:C81)</f>
        <v>0</v>
      </c>
    </row>
    <row r="79" spans="1:3" s="89" customFormat="1" ht="12" customHeight="1">
      <c r="A79" s="428" t="s">
        <v>342</v>
      </c>
      <c r="B79" s="409" t="s">
        <v>323</v>
      </c>
      <c r="C79" s="295"/>
    </row>
    <row r="80" spans="1:3" s="89" customFormat="1" ht="12" customHeight="1">
      <c r="A80" s="429" t="s">
        <v>343</v>
      </c>
      <c r="B80" s="410" t="s">
        <v>324</v>
      </c>
      <c r="C80" s="295"/>
    </row>
    <row r="81" spans="1:3" s="89" customFormat="1" ht="12" customHeight="1" thickBot="1">
      <c r="A81" s="430" t="s">
        <v>344</v>
      </c>
      <c r="B81" s="411" t="s">
        <v>573</v>
      </c>
      <c r="C81" s="295"/>
    </row>
    <row r="82" spans="1:3" s="89" customFormat="1" ht="12" customHeight="1" thickBot="1">
      <c r="A82" s="431" t="s">
        <v>325</v>
      </c>
      <c r="B82" s="285" t="s">
        <v>345</v>
      </c>
      <c r="C82" s="290">
        <f>SUM(C83:C86)</f>
        <v>0</v>
      </c>
    </row>
    <row r="83" spans="1:3" s="89" customFormat="1" ht="12" customHeight="1">
      <c r="A83" s="432" t="s">
        <v>326</v>
      </c>
      <c r="B83" s="409" t="s">
        <v>327</v>
      </c>
      <c r="C83" s="295"/>
    </row>
    <row r="84" spans="1:3" s="89" customFormat="1" ht="12" customHeight="1">
      <c r="A84" s="433" t="s">
        <v>328</v>
      </c>
      <c r="B84" s="410" t="s">
        <v>329</v>
      </c>
      <c r="C84" s="295"/>
    </row>
    <row r="85" spans="1:3" s="89" customFormat="1" ht="12" customHeight="1">
      <c r="A85" s="433" t="s">
        <v>330</v>
      </c>
      <c r="B85" s="410" t="s">
        <v>331</v>
      </c>
      <c r="C85" s="295"/>
    </row>
    <row r="86" spans="1:3" s="88" customFormat="1" ht="12" customHeight="1" thickBot="1">
      <c r="A86" s="434" t="s">
        <v>332</v>
      </c>
      <c r="B86" s="411" t="s">
        <v>333</v>
      </c>
      <c r="C86" s="295"/>
    </row>
    <row r="87" spans="1:3" s="88" customFormat="1" ht="12" customHeight="1" thickBot="1">
      <c r="A87" s="431" t="s">
        <v>334</v>
      </c>
      <c r="B87" s="285" t="s">
        <v>475</v>
      </c>
      <c r="C87" s="454"/>
    </row>
    <row r="88" spans="1:3" s="88" customFormat="1" ht="12" customHeight="1" thickBot="1">
      <c r="A88" s="431" t="s">
        <v>507</v>
      </c>
      <c r="B88" s="285" t="s">
        <v>335</v>
      </c>
      <c r="C88" s="454"/>
    </row>
    <row r="89" spans="1:3" s="88" customFormat="1" ht="12" customHeight="1" thickBot="1">
      <c r="A89" s="431" t="s">
        <v>508</v>
      </c>
      <c r="B89" s="416" t="s">
        <v>478</v>
      </c>
      <c r="C89" s="296">
        <f>+C66+C70+C75+C78+C82+C88+C87</f>
        <v>0</v>
      </c>
    </row>
    <row r="90" spans="1:3" s="88" customFormat="1" ht="12" customHeight="1" thickBot="1">
      <c r="A90" s="435" t="s">
        <v>509</v>
      </c>
      <c r="B90" s="417" t="s">
        <v>510</v>
      </c>
      <c r="C90" s="296">
        <f>+C65+C89</f>
        <v>0</v>
      </c>
    </row>
    <row r="91" spans="1:3" s="89" customFormat="1" ht="15.2" customHeight="1" thickBot="1">
      <c r="A91" s="229"/>
      <c r="B91" s="230"/>
      <c r="C91" s="355"/>
    </row>
    <row r="92" spans="1:3" s="60" customFormat="1" ht="16.5" customHeight="1" thickBot="1">
      <c r="A92" s="233"/>
      <c r="B92" s="234" t="s">
        <v>57</v>
      </c>
      <c r="C92" s="357"/>
    </row>
    <row r="93" spans="1:3" s="90" customFormat="1" ht="12" customHeight="1" thickBot="1">
      <c r="A93" s="402" t="s">
        <v>18</v>
      </c>
      <c r="B93" s="28" t="s">
        <v>514</v>
      </c>
      <c r="C93" s="289">
        <f>+C94+C95+C96+C97+C98+C111</f>
        <v>0</v>
      </c>
    </row>
    <row r="94" spans="1:3" ht="12" customHeight="1">
      <c r="A94" s="436" t="s">
        <v>98</v>
      </c>
      <c r="B94" s="10" t="s">
        <v>49</v>
      </c>
      <c r="C94" s="291"/>
    </row>
    <row r="95" spans="1:3" ht="12" customHeight="1">
      <c r="A95" s="429" t="s">
        <v>99</v>
      </c>
      <c r="B95" s="8" t="s">
        <v>183</v>
      </c>
      <c r="C95" s="292"/>
    </row>
    <row r="96" spans="1:3" ht="12" customHeight="1">
      <c r="A96" s="429" t="s">
        <v>100</v>
      </c>
      <c r="B96" s="8" t="s">
        <v>140</v>
      </c>
      <c r="C96" s="294"/>
    </row>
    <row r="97" spans="1:3" ht="12" customHeight="1">
      <c r="A97" s="429" t="s">
        <v>101</v>
      </c>
      <c r="B97" s="11" t="s">
        <v>184</v>
      </c>
      <c r="C97" s="294"/>
    </row>
    <row r="98" spans="1:3" ht="12" customHeight="1">
      <c r="A98" s="429" t="s">
        <v>112</v>
      </c>
      <c r="B98" s="19" t="s">
        <v>185</v>
      </c>
      <c r="C98" s="294"/>
    </row>
    <row r="99" spans="1:3" ht="12" customHeight="1">
      <c r="A99" s="429" t="s">
        <v>102</v>
      </c>
      <c r="B99" s="8" t="s">
        <v>511</v>
      </c>
      <c r="C99" s="294"/>
    </row>
    <row r="100" spans="1:3" ht="12" customHeight="1">
      <c r="A100" s="429" t="s">
        <v>103</v>
      </c>
      <c r="B100" s="136" t="s">
        <v>441</v>
      </c>
      <c r="C100" s="294"/>
    </row>
    <row r="101" spans="1:3" ht="12" customHeight="1">
      <c r="A101" s="429" t="s">
        <v>113</v>
      </c>
      <c r="B101" s="136" t="s">
        <v>440</v>
      </c>
      <c r="C101" s="294"/>
    </row>
    <row r="102" spans="1:3" ht="12" customHeight="1">
      <c r="A102" s="429" t="s">
        <v>114</v>
      </c>
      <c r="B102" s="136" t="s">
        <v>351</v>
      </c>
      <c r="C102" s="294"/>
    </row>
    <row r="103" spans="1:3" ht="12" customHeight="1">
      <c r="A103" s="429" t="s">
        <v>115</v>
      </c>
      <c r="B103" s="137" t="s">
        <v>352</v>
      </c>
      <c r="C103" s="294"/>
    </row>
    <row r="104" spans="1:3" ht="12" customHeight="1">
      <c r="A104" s="429" t="s">
        <v>116</v>
      </c>
      <c r="B104" s="137" t="s">
        <v>353</v>
      </c>
      <c r="C104" s="294"/>
    </row>
    <row r="105" spans="1:3" ht="12" customHeight="1">
      <c r="A105" s="429" t="s">
        <v>118</v>
      </c>
      <c r="B105" s="136" t="s">
        <v>354</v>
      </c>
      <c r="C105" s="294"/>
    </row>
    <row r="106" spans="1:3" ht="12" customHeight="1">
      <c r="A106" s="429" t="s">
        <v>186</v>
      </c>
      <c r="B106" s="136" t="s">
        <v>355</v>
      </c>
      <c r="C106" s="294"/>
    </row>
    <row r="107" spans="1:3" ht="12" customHeight="1">
      <c r="A107" s="429" t="s">
        <v>349</v>
      </c>
      <c r="B107" s="137" t="s">
        <v>356</v>
      </c>
      <c r="C107" s="294"/>
    </row>
    <row r="108" spans="1:3" ht="12" customHeight="1">
      <c r="A108" s="437" t="s">
        <v>350</v>
      </c>
      <c r="B108" s="138" t="s">
        <v>357</v>
      </c>
      <c r="C108" s="294"/>
    </row>
    <row r="109" spans="1:3" ht="12" customHeight="1">
      <c r="A109" s="429" t="s">
        <v>438</v>
      </c>
      <c r="B109" s="138" t="s">
        <v>358</v>
      </c>
      <c r="C109" s="294"/>
    </row>
    <row r="110" spans="1:3" ht="12" customHeight="1">
      <c r="A110" s="429" t="s">
        <v>439</v>
      </c>
      <c r="B110" s="137" t="s">
        <v>359</v>
      </c>
      <c r="C110" s="292"/>
    </row>
    <row r="111" spans="1:3" ht="12" customHeight="1">
      <c r="A111" s="429" t="s">
        <v>443</v>
      </c>
      <c r="B111" s="11" t="s">
        <v>50</v>
      </c>
      <c r="C111" s="292"/>
    </row>
    <row r="112" spans="1:3" ht="12" customHeight="1">
      <c r="A112" s="430" t="s">
        <v>444</v>
      </c>
      <c r="B112" s="8" t="s">
        <v>512</v>
      </c>
      <c r="C112" s="294"/>
    </row>
    <row r="113" spans="1:3" ht="12" customHeight="1" thickBot="1">
      <c r="A113" s="438" t="s">
        <v>445</v>
      </c>
      <c r="B113" s="139" t="s">
        <v>513</v>
      </c>
      <c r="C113" s="298"/>
    </row>
    <row r="114" spans="1:3" ht="12" customHeight="1" thickBot="1">
      <c r="A114" s="32" t="s">
        <v>19</v>
      </c>
      <c r="B114" s="27" t="s">
        <v>360</v>
      </c>
      <c r="C114" s="290">
        <f>+C115+C117+C119</f>
        <v>0</v>
      </c>
    </row>
    <row r="115" spans="1:3" ht="12" customHeight="1">
      <c r="A115" s="428" t="s">
        <v>104</v>
      </c>
      <c r="B115" s="8" t="s">
        <v>230</v>
      </c>
      <c r="C115" s="293"/>
    </row>
    <row r="116" spans="1:3" ht="12" customHeight="1">
      <c r="A116" s="428" t="s">
        <v>105</v>
      </c>
      <c r="B116" s="12" t="s">
        <v>364</v>
      </c>
      <c r="C116" s="293"/>
    </row>
    <row r="117" spans="1:3" ht="12" customHeight="1">
      <c r="A117" s="428" t="s">
        <v>106</v>
      </c>
      <c r="B117" s="12" t="s">
        <v>187</v>
      </c>
      <c r="C117" s="292"/>
    </row>
    <row r="118" spans="1:3" ht="12" customHeight="1">
      <c r="A118" s="428" t="s">
        <v>107</v>
      </c>
      <c r="B118" s="12" t="s">
        <v>365</v>
      </c>
      <c r="C118" s="257"/>
    </row>
    <row r="119" spans="1:3" ht="12" customHeight="1">
      <c r="A119" s="428" t="s">
        <v>108</v>
      </c>
      <c r="B119" s="287" t="s">
        <v>232</v>
      </c>
      <c r="C119" s="257"/>
    </row>
    <row r="120" spans="1:3" ht="12" customHeight="1">
      <c r="A120" s="428" t="s">
        <v>117</v>
      </c>
      <c r="B120" s="286" t="s">
        <v>428</v>
      </c>
      <c r="C120" s="257"/>
    </row>
    <row r="121" spans="1:3" ht="12" customHeight="1">
      <c r="A121" s="428" t="s">
        <v>119</v>
      </c>
      <c r="B121" s="405" t="s">
        <v>370</v>
      </c>
      <c r="C121" s="257"/>
    </row>
    <row r="122" spans="1:3" ht="12" customHeight="1">
      <c r="A122" s="428" t="s">
        <v>188</v>
      </c>
      <c r="B122" s="137" t="s">
        <v>353</v>
      </c>
      <c r="C122" s="257"/>
    </row>
    <row r="123" spans="1:3" ht="12" customHeight="1">
      <c r="A123" s="428" t="s">
        <v>189</v>
      </c>
      <c r="B123" s="137" t="s">
        <v>369</v>
      </c>
      <c r="C123" s="257"/>
    </row>
    <row r="124" spans="1:3" ht="12" customHeight="1">
      <c r="A124" s="428" t="s">
        <v>190</v>
      </c>
      <c r="B124" s="137" t="s">
        <v>368</v>
      </c>
      <c r="C124" s="257"/>
    </row>
    <row r="125" spans="1:3" ht="12" customHeight="1">
      <c r="A125" s="428" t="s">
        <v>361</v>
      </c>
      <c r="B125" s="137" t="s">
        <v>356</v>
      </c>
      <c r="C125" s="257"/>
    </row>
    <row r="126" spans="1:3" ht="12" customHeight="1">
      <c r="A126" s="428" t="s">
        <v>362</v>
      </c>
      <c r="B126" s="137" t="s">
        <v>367</v>
      </c>
      <c r="C126" s="257"/>
    </row>
    <row r="127" spans="1:3" ht="12" customHeight="1" thickBot="1">
      <c r="A127" s="437" t="s">
        <v>363</v>
      </c>
      <c r="B127" s="137" t="s">
        <v>366</v>
      </c>
      <c r="C127" s="259"/>
    </row>
    <row r="128" spans="1:3" ht="12" customHeight="1" thickBot="1">
      <c r="A128" s="32" t="s">
        <v>20</v>
      </c>
      <c r="B128" s="118" t="s">
        <v>448</v>
      </c>
      <c r="C128" s="290">
        <f>+C93+C114</f>
        <v>0</v>
      </c>
    </row>
    <row r="129" spans="1:11" ht="12" customHeight="1" thickBot="1">
      <c r="A129" s="32" t="s">
        <v>21</v>
      </c>
      <c r="B129" s="118" t="s">
        <v>449</v>
      </c>
      <c r="C129" s="290">
        <f>+C130+C131+C132</f>
        <v>0</v>
      </c>
    </row>
    <row r="130" spans="1:11" s="90" customFormat="1" ht="12" customHeight="1">
      <c r="A130" s="428" t="s">
        <v>268</v>
      </c>
      <c r="B130" s="9" t="s">
        <v>517</v>
      </c>
      <c r="C130" s="257"/>
    </row>
    <row r="131" spans="1:11" ht="12" customHeight="1">
      <c r="A131" s="428" t="s">
        <v>269</v>
      </c>
      <c r="B131" s="9" t="s">
        <v>457</v>
      </c>
      <c r="C131" s="257"/>
    </row>
    <row r="132" spans="1:11" ht="12" customHeight="1" thickBot="1">
      <c r="A132" s="437" t="s">
        <v>270</v>
      </c>
      <c r="B132" s="7" t="s">
        <v>516</v>
      </c>
      <c r="C132" s="257"/>
    </row>
    <row r="133" spans="1:11" ht="12" customHeight="1" thickBot="1">
      <c r="A133" s="32" t="s">
        <v>22</v>
      </c>
      <c r="B133" s="118" t="s">
        <v>450</v>
      </c>
      <c r="C133" s="290">
        <f>+C134+C135+C136+C137+C138+C139</f>
        <v>0</v>
      </c>
    </row>
    <row r="134" spans="1:11" ht="12" customHeight="1">
      <c r="A134" s="428" t="s">
        <v>91</v>
      </c>
      <c r="B134" s="9" t="s">
        <v>459</v>
      </c>
      <c r="C134" s="257"/>
    </row>
    <row r="135" spans="1:11" ht="12" customHeight="1">
      <c r="A135" s="428" t="s">
        <v>92</v>
      </c>
      <c r="B135" s="9" t="s">
        <v>451</v>
      </c>
      <c r="C135" s="257"/>
    </row>
    <row r="136" spans="1:11" ht="12" customHeight="1">
      <c r="A136" s="428" t="s">
        <v>93</v>
      </c>
      <c r="B136" s="9" t="s">
        <v>452</v>
      </c>
      <c r="C136" s="257"/>
    </row>
    <row r="137" spans="1:11" ht="12" customHeight="1">
      <c r="A137" s="428" t="s">
        <v>175</v>
      </c>
      <c r="B137" s="9" t="s">
        <v>515</v>
      </c>
      <c r="C137" s="257"/>
    </row>
    <row r="138" spans="1:11" ht="12" customHeight="1">
      <c r="A138" s="428" t="s">
        <v>176</v>
      </c>
      <c r="B138" s="9" t="s">
        <v>454</v>
      </c>
      <c r="C138" s="257"/>
    </row>
    <row r="139" spans="1:11" s="90" customFormat="1" ht="12" customHeight="1" thickBot="1">
      <c r="A139" s="437" t="s">
        <v>177</v>
      </c>
      <c r="B139" s="7" t="s">
        <v>455</v>
      </c>
      <c r="C139" s="257"/>
    </row>
    <row r="140" spans="1:11" ht="12" customHeight="1" thickBot="1">
      <c r="A140" s="32" t="s">
        <v>23</v>
      </c>
      <c r="B140" s="118" t="s">
        <v>541</v>
      </c>
      <c r="C140" s="296">
        <f>+C141+C142+C144+C145+C143</f>
        <v>0</v>
      </c>
      <c r="K140" s="240"/>
    </row>
    <row r="141" spans="1:11">
      <c r="A141" s="428" t="s">
        <v>94</v>
      </c>
      <c r="B141" s="9" t="s">
        <v>371</v>
      </c>
      <c r="C141" s="257"/>
    </row>
    <row r="142" spans="1:11" ht="12" customHeight="1">
      <c r="A142" s="428" t="s">
        <v>95</v>
      </c>
      <c r="B142" s="9" t="s">
        <v>372</v>
      </c>
      <c r="C142" s="257"/>
    </row>
    <row r="143" spans="1:11" s="90" customFormat="1" ht="12" customHeight="1">
      <c r="A143" s="428" t="s">
        <v>288</v>
      </c>
      <c r="B143" s="9" t="s">
        <v>540</v>
      </c>
      <c r="C143" s="257"/>
    </row>
    <row r="144" spans="1:11" s="90" customFormat="1" ht="12" customHeight="1">
      <c r="A144" s="428" t="s">
        <v>289</v>
      </c>
      <c r="B144" s="9" t="s">
        <v>464</v>
      </c>
      <c r="C144" s="257"/>
    </row>
    <row r="145" spans="1:3" s="90" customFormat="1" ht="12" customHeight="1" thickBot="1">
      <c r="A145" s="437" t="s">
        <v>290</v>
      </c>
      <c r="B145" s="7" t="s">
        <v>390</v>
      </c>
      <c r="C145" s="257"/>
    </row>
    <row r="146" spans="1:3" s="90" customFormat="1" ht="12" customHeight="1" thickBot="1">
      <c r="A146" s="32" t="s">
        <v>24</v>
      </c>
      <c r="B146" s="118" t="s">
        <v>465</v>
      </c>
      <c r="C146" s="299">
        <f>+C147+C148+C149+C150+C151</f>
        <v>0</v>
      </c>
    </row>
    <row r="147" spans="1:3" s="90" customFormat="1" ht="12" customHeight="1">
      <c r="A147" s="428" t="s">
        <v>96</v>
      </c>
      <c r="B147" s="9" t="s">
        <v>460</v>
      </c>
      <c r="C147" s="257"/>
    </row>
    <row r="148" spans="1:3" s="90" customFormat="1" ht="12" customHeight="1">
      <c r="A148" s="428" t="s">
        <v>97</v>
      </c>
      <c r="B148" s="9" t="s">
        <v>467</v>
      </c>
      <c r="C148" s="257"/>
    </row>
    <row r="149" spans="1:3" s="90" customFormat="1" ht="12" customHeight="1">
      <c r="A149" s="428" t="s">
        <v>300</v>
      </c>
      <c r="B149" s="9" t="s">
        <v>462</v>
      </c>
      <c r="C149" s="257"/>
    </row>
    <row r="150" spans="1:3" ht="12.75" customHeight="1">
      <c r="A150" s="428" t="s">
        <v>301</v>
      </c>
      <c r="B150" s="9" t="s">
        <v>518</v>
      </c>
      <c r="C150" s="257"/>
    </row>
    <row r="151" spans="1:3" ht="12.75" customHeight="1" thickBot="1">
      <c r="A151" s="437" t="s">
        <v>466</v>
      </c>
      <c r="B151" s="7" t="s">
        <v>469</v>
      </c>
      <c r="C151" s="259"/>
    </row>
    <row r="152" spans="1:3" ht="12.75" customHeight="1" thickBot="1">
      <c r="A152" s="479" t="s">
        <v>25</v>
      </c>
      <c r="B152" s="118" t="s">
        <v>470</v>
      </c>
      <c r="C152" s="299"/>
    </row>
    <row r="153" spans="1:3" ht="12" customHeight="1" thickBot="1">
      <c r="A153" s="479" t="s">
        <v>26</v>
      </c>
      <c r="B153" s="118" t="s">
        <v>471</v>
      </c>
      <c r="C153" s="299"/>
    </row>
    <row r="154" spans="1:3" ht="15.2" customHeight="1" thickBot="1">
      <c r="A154" s="32" t="s">
        <v>27</v>
      </c>
      <c r="B154" s="118" t="s">
        <v>473</v>
      </c>
      <c r="C154" s="419">
        <f>+C129+C133+C140+C146+C152+C153</f>
        <v>0</v>
      </c>
    </row>
    <row r="155" spans="1:3" ht="13.5" thickBot="1">
      <c r="A155" s="439" t="s">
        <v>28</v>
      </c>
      <c r="B155" s="373" t="s">
        <v>472</v>
      </c>
      <c r="C155" s="419">
        <f>+C128+C154</f>
        <v>0</v>
      </c>
    </row>
    <row r="156" spans="1:3" ht="15.2" customHeight="1" thickBot="1">
      <c r="A156" s="381"/>
      <c r="B156" s="382"/>
      <c r="C156" s="615">
        <f>C90-C155</f>
        <v>0</v>
      </c>
    </row>
    <row r="157" spans="1:3" ht="14.45" customHeight="1" thickBot="1">
      <c r="A157" s="238" t="s">
        <v>519</v>
      </c>
      <c r="B157" s="239"/>
      <c r="C157" s="115"/>
    </row>
    <row r="158" spans="1:3" ht="13.5" thickBot="1">
      <c r="A158" s="238" t="s">
        <v>206</v>
      </c>
      <c r="B158" s="239"/>
      <c r="C158" s="115"/>
    </row>
    <row r="159" spans="1:3">
      <c r="A159" s="612"/>
      <c r="B159" s="613"/>
      <c r="C159" s="614"/>
    </row>
    <row r="160" spans="1:3">
      <c r="A160" s="612"/>
      <c r="B160" s="613"/>
    </row>
    <row r="161" spans="1:3">
      <c r="A161" s="612"/>
      <c r="B161" s="613"/>
      <c r="C161" s="614"/>
    </row>
    <row r="162" spans="1:3">
      <c r="A162" s="612"/>
      <c r="B162" s="613"/>
      <c r="C162" s="614"/>
    </row>
    <row r="163" spans="1:3">
      <c r="A163" s="612"/>
      <c r="B163" s="613"/>
      <c r="C163" s="614"/>
    </row>
    <row r="164" spans="1:3">
      <c r="A164" s="612"/>
      <c r="B164" s="613"/>
      <c r="C164" s="614"/>
    </row>
    <row r="165" spans="1:3">
      <c r="A165" s="612"/>
      <c r="B165" s="613"/>
      <c r="C165" s="614"/>
    </row>
    <row r="166" spans="1:3">
      <c r="A166" s="612"/>
      <c r="B166" s="613"/>
      <c r="C166" s="614"/>
    </row>
    <row r="167" spans="1:3">
      <c r="A167" s="612"/>
      <c r="B167" s="613"/>
      <c r="C167" s="614"/>
    </row>
    <row r="168" spans="1:3">
      <c r="A168" s="612"/>
      <c r="B168" s="613"/>
      <c r="C168" s="614"/>
    </row>
    <row r="169" spans="1:3">
      <c r="A169" s="612"/>
      <c r="B169" s="613"/>
      <c r="C169" s="614"/>
    </row>
    <row r="170" spans="1:3">
      <c r="A170" s="612"/>
      <c r="B170" s="613"/>
      <c r="C170" s="614"/>
    </row>
    <row r="171" spans="1:3">
      <c r="A171" s="612"/>
      <c r="B171" s="613"/>
      <c r="C171" s="614"/>
    </row>
    <row r="172" spans="1:3">
      <c r="A172" s="612"/>
      <c r="B172" s="613"/>
      <c r="C172" s="614"/>
    </row>
    <row r="173" spans="1:3">
      <c r="A173" s="612"/>
      <c r="B173" s="613"/>
      <c r="C173" s="614"/>
    </row>
    <row r="174" spans="1:3">
      <c r="A174" s="612"/>
      <c r="B174" s="613"/>
      <c r="C174" s="614"/>
    </row>
    <row r="175" spans="1:3">
      <c r="A175" s="612"/>
      <c r="B175" s="613"/>
      <c r="C175" s="614"/>
    </row>
    <row r="176" spans="1:3">
      <c r="A176" s="612"/>
      <c r="B176" s="613"/>
      <c r="C176" s="614"/>
    </row>
    <row r="177" spans="1:3">
      <c r="A177" s="612"/>
      <c r="B177" s="613"/>
      <c r="C177" s="614"/>
    </row>
    <row r="178" spans="1:3">
      <c r="A178" s="612"/>
      <c r="B178" s="613"/>
      <c r="C178" s="614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  <rowBreaks count="1" manualBreakCount="1">
    <brk id="9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>
  <sheetPr>
    <tabColor rgb="FF92D050"/>
  </sheetPr>
  <dimension ref="A1:K178"/>
  <sheetViews>
    <sheetView zoomScale="120" zoomScaleNormal="120" zoomScaleSheetLayoutView="85" workbookViewId="0">
      <selection activeCell="C39" sqref="C39"/>
    </sheetView>
  </sheetViews>
  <sheetFormatPr defaultRowHeight="12.75"/>
  <cols>
    <col min="1" max="1" width="19.5" style="383" customWidth="1"/>
    <col min="2" max="2" width="72" style="384" customWidth="1"/>
    <col min="3" max="3" width="25" style="385" customWidth="1"/>
    <col min="4" max="16384" width="9.33203125" style="3"/>
  </cols>
  <sheetData>
    <row r="1" spans="1:3" s="2" customFormat="1" ht="16.5" customHeight="1" thickBot="1">
      <c r="A1" s="593"/>
      <c r="B1" s="594"/>
      <c r="C1" s="588" t="str">
        <f ca="1">CONCATENATE("9.1.2. melléklet ",ALAPADATOK!A7," ",ALAPADATOK!B7," ",ALAPADATOK!C7," ",ALAPADATOK!D7," ",ALAPADATOK!E7," ",ALAPADATOK!F7," ",ALAPADATOK!G7," ",ALAPADATOK!H7)</f>
        <v>9.1.2. melléklet a … / 2019 ( … ) önkormányzati rendelethez</v>
      </c>
    </row>
    <row r="2" spans="1:3" s="86" customFormat="1" ht="21.2" customHeight="1">
      <c r="A2" s="595" t="s">
        <v>61</v>
      </c>
      <c r="B2" s="596" t="str">
        <f ca="1">CONCATENATE(ALAPADATOK!A3)</f>
        <v>DABAS ÖNKORMÁNYZATA</v>
      </c>
      <c r="C2" s="597" t="s">
        <v>54</v>
      </c>
    </row>
    <row r="3" spans="1:3" s="86" customFormat="1" ht="16.5" thickBot="1">
      <c r="A3" s="598" t="s">
        <v>203</v>
      </c>
      <c r="B3" s="599" t="s">
        <v>430</v>
      </c>
      <c r="C3" s="600" t="s">
        <v>60</v>
      </c>
    </row>
    <row r="4" spans="1:3" s="87" customFormat="1" ht="15.95" customHeight="1" thickBot="1">
      <c r="A4" s="601"/>
      <c r="B4" s="601"/>
      <c r="C4" s="602" t="str">
        <f ca="1">KV_9.1.1.sz.mell!C4</f>
        <v/>
      </c>
    </row>
    <row r="5" spans="1:3" ht="13.5" thickBot="1">
      <c r="A5" s="603" t="s">
        <v>205</v>
      </c>
      <c r="B5" s="604" t="s">
        <v>563</v>
      </c>
      <c r="C5" s="605" t="s">
        <v>55</v>
      </c>
    </row>
    <row r="6" spans="1:3" s="60" customFormat="1" ht="12.95" customHeight="1" thickBot="1">
      <c r="A6" s="606"/>
      <c r="B6" s="607" t="s">
        <v>493</v>
      </c>
      <c r="C6" s="608" t="s">
        <v>494</v>
      </c>
    </row>
    <row r="7" spans="1:3" s="60" customFormat="1" ht="15.95" customHeight="1" thickBot="1">
      <c r="A7" s="223"/>
      <c r="B7" s="224" t="s">
        <v>56</v>
      </c>
      <c r="C7" s="350"/>
    </row>
    <row r="8" spans="1:3" s="60" customFormat="1" ht="12" customHeight="1" thickBot="1">
      <c r="A8" s="32" t="s">
        <v>18</v>
      </c>
      <c r="B8" s="21" t="s">
        <v>252</v>
      </c>
      <c r="C8" s="290">
        <f>+C9+C10+C11+C12+C13+C14</f>
        <v>0</v>
      </c>
    </row>
    <row r="9" spans="1:3" s="88" customFormat="1" ht="12" customHeight="1">
      <c r="A9" s="428" t="s">
        <v>98</v>
      </c>
      <c r="B9" s="409" t="s">
        <v>253</v>
      </c>
      <c r="C9" s="293"/>
    </row>
    <row r="10" spans="1:3" s="89" customFormat="1" ht="12" customHeight="1">
      <c r="A10" s="429" t="s">
        <v>99</v>
      </c>
      <c r="B10" s="410" t="s">
        <v>254</v>
      </c>
      <c r="C10" s="292"/>
    </row>
    <row r="11" spans="1:3" s="89" customFormat="1" ht="12" customHeight="1">
      <c r="A11" s="429" t="s">
        <v>100</v>
      </c>
      <c r="B11" s="410" t="s">
        <v>550</v>
      </c>
      <c r="C11" s="292"/>
    </row>
    <row r="12" spans="1:3" s="89" customFormat="1" ht="12" customHeight="1">
      <c r="A12" s="429" t="s">
        <v>101</v>
      </c>
      <c r="B12" s="410" t="s">
        <v>256</v>
      </c>
      <c r="C12" s="292"/>
    </row>
    <row r="13" spans="1:3" s="89" customFormat="1" ht="12" customHeight="1">
      <c r="A13" s="429" t="s">
        <v>148</v>
      </c>
      <c r="B13" s="410" t="s">
        <v>506</v>
      </c>
      <c r="C13" s="292"/>
    </row>
    <row r="14" spans="1:3" s="88" customFormat="1" ht="12" customHeight="1" thickBot="1">
      <c r="A14" s="430" t="s">
        <v>102</v>
      </c>
      <c r="B14" s="411" t="s">
        <v>433</v>
      </c>
      <c r="C14" s="292"/>
    </row>
    <row r="15" spans="1:3" s="88" customFormat="1" ht="12" customHeight="1" thickBot="1">
      <c r="A15" s="32" t="s">
        <v>19</v>
      </c>
      <c r="B15" s="285" t="s">
        <v>257</v>
      </c>
      <c r="C15" s="290">
        <f>+C16+C17+C18+C19+C20</f>
        <v>0</v>
      </c>
    </row>
    <row r="16" spans="1:3" s="88" customFormat="1" ht="12" customHeight="1">
      <c r="A16" s="428" t="s">
        <v>104</v>
      </c>
      <c r="B16" s="409" t="s">
        <v>258</v>
      </c>
      <c r="C16" s="293"/>
    </row>
    <row r="17" spans="1:3" s="88" customFormat="1" ht="12" customHeight="1">
      <c r="A17" s="429" t="s">
        <v>105</v>
      </c>
      <c r="B17" s="410" t="s">
        <v>259</v>
      </c>
      <c r="C17" s="292"/>
    </row>
    <row r="18" spans="1:3" s="88" customFormat="1" ht="12" customHeight="1">
      <c r="A18" s="429" t="s">
        <v>106</v>
      </c>
      <c r="B18" s="410" t="s">
        <v>422</v>
      </c>
      <c r="C18" s="292"/>
    </row>
    <row r="19" spans="1:3" s="88" customFormat="1" ht="12" customHeight="1">
      <c r="A19" s="429" t="s">
        <v>107</v>
      </c>
      <c r="B19" s="410" t="s">
        <v>423</v>
      </c>
      <c r="C19" s="292"/>
    </row>
    <row r="20" spans="1:3" s="88" customFormat="1" ht="12" customHeight="1">
      <c r="A20" s="429" t="s">
        <v>108</v>
      </c>
      <c r="B20" s="410" t="s">
        <v>260</v>
      </c>
      <c r="C20" s="292"/>
    </row>
    <row r="21" spans="1:3" s="89" customFormat="1" ht="12" customHeight="1" thickBot="1">
      <c r="A21" s="430" t="s">
        <v>117</v>
      </c>
      <c r="B21" s="411" t="s">
        <v>261</v>
      </c>
      <c r="C21" s="294"/>
    </row>
    <row r="22" spans="1:3" s="89" customFormat="1" ht="12" customHeight="1" thickBot="1">
      <c r="A22" s="32" t="s">
        <v>20</v>
      </c>
      <c r="B22" s="21" t="s">
        <v>262</v>
      </c>
      <c r="C22" s="290">
        <f>+C23+C24+C25+C26+C27</f>
        <v>0</v>
      </c>
    </row>
    <row r="23" spans="1:3" s="89" customFormat="1" ht="12" customHeight="1">
      <c r="A23" s="428" t="s">
        <v>87</v>
      </c>
      <c r="B23" s="409" t="s">
        <v>263</v>
      </c>
      <c r="C23" s="293"/>
    </row>
    <row r="24" spans="1:3" s="88" customFormat="1" ht="12" customHeight="1">
      <c r="A24" s="429" t="s">
        <v>88</v>
      </c>
      <c r="B24" s="410" t="s">
        <v>264</v>
      </c>
      <c r="C24" s="292"/>
    </row>
    <row r="25" spans="1:3" s="89" customFormat="1" ht="12" customHeight="1">
      <c r="A25" s="429" t="s">
        <v>89</v>
      </c>
      <c r="B25" s="410" t="s">
        <v>424</v>
      </c>
      <c r="C25" s="292"/>
    </row>
    <row r="26" spans="1:3" s="89" customFormat="1" ht="12" customHeight="1">
      <c r="A26" s="429" t="s">
        <v>90</v>
      </c>
      <c r="B26" s="410" t="s">
        <v>425</v>
      </c>
      <c r="C26" s="292"/>
    </row>
    <row r="27" spans="1:3" s="89" customFormat="1" ht="12" customHeight="1">
      <c r="A27" s="429" t="s">
        <v>171</v>
      </c>
      <c r="B27" s="410" t="s">
        <v>265</v>
      </c>
      <c r="C27" s="292"/>
    </row>
    <row r="28" spans="1:3" s="89" customFormat="1" ht="12" customHeight="1" thickBot="1">
      <c r="A28" s="430" t="s">
        <v>172</v>
      </c>
      <c r="B28" s="411" t="s">
        <v>266</v>
      </c>
      <c r="C28" s="294"/>
    </row>
    <row r="29" spans="1:3" s="89" customFormat="1" ht="12" customHeight="1" thickBot="1">
      <c r="A29" s="32" t="s">
        <v>173</v>
      </c>
      <c r="B29" s="21" t="s">
        <v>267</v>
      </c>
      <c r="C29" s="296">
        <f>SUM(C30:C36)</f>
        <v>0</v>
      </c>
    </row>
    <row r="30" spans="1:3" s="89" customFormat="1" ht="12" customHeight="1">
      <c r="A30" s="428" t="s">
        <v>268</v>
      </c>
      <c r="B30" s="409" t="s">
        <v>555</v>
      </c>
      <c r="C30" s="293"/>
    </row>
    <row r="31" spans="1:3" s="89" customFormat="1" ht="12" customHeight="1">
      <c r="A31" s="429" t="s">
        <v>269</v>
      </c>
      <c r="B31" s="410" t="s">
        <v>556</v>
      </c>
      <c r="C31" s="292"/>
    </row>
    <row r="32" spans="1:3" s="89" customFormat="1" ht="12" customHeight="1">
      <c r="A32" s="429" t="s">
        <v>270</v>
      </c>
      <c r="B32" s="410" t="s">
        <v>557</v>
      </c>
      <c r="C32" s="292"/>
    </row>
    <row r="33" spans="1:3" s="89" customFormat="1" ht="12" customHeight="1">
      <c r="A33" s="429" t="s">
        <v>271</v>
      </c>
      <c r="B33" s="410" t="s">
        <v>558</v>
      </c>
      <c r="C33" s="292"/>
    </row>
    <row r="34" spans="1:3" s="89" customFormat="1" ht="12" customHeight="1">
      <c r="A34" s="429" t="s">
        <v>552</v>
      </c>
      <c r="B34" s="410" t="s">
        <v>272</v>
      </c>
      <c r="C34" s="292"/>
    </row>
    <row r="35" spans="1:3" s="89" customFormat="1" ht="12" customHeight="1">
      <c r="A35" s="429" t="s">
        <v>553</v>
      </c>
      <c r="B35" s="410" t="s">
        <v>273</v>
      </c>
      <c r="C35" s="292"/>
    </row>
    <row r="36" spans="1:3" s="89" customFormat="1" ht="12" customHeight="1" thickBot="1">
      <c r="A36" s="430" t="s">
        <v>554</v>
      </c>
      <c r="B36" s="411" t="s">
        <v>274</v>
      </c>
      <c r="C36" s="294"/>
    </row>
    <row r="37" spans="1:3" s="89" customFormat="1" ht="12" customHeight="1" thickBot="1">
      <c r="A37" s="32" t="s">
        <v>22</v>
      </c>
      <c r="B37" s="21" t="s">
        <v>434</v>
      </c>
      <c r="C37" s="290">
        <f>SUM(C38:C48)</f>
        <v>0</v>
      </c>
    </row>
    <row r="38" spans="1:3" s="89" customFormat="1" ht="12" customHeight="1">
      <c r="A38" s="428" t="s">
        <v>91</v>
      </c>
      <c r="B38" s="409" t="s">
        <v>277</v>
      </c>
      <c r="C38" s="293"/>
    </row>
    <row r="39" spans="1:3" s="89" customFormat="1" ht="12" customHeight="1">
      <c r="A39" s="429" t="s">
        <v>92</v>
      </c>
      <c r="B39" s="410" t="s">
        <v>278</v>
      </c>
      <c r="C39" s="292"/>
    </row>
    <row r="40" spans="1:3" s="89" customFormat="1" ht="12" customHeight="1">
      <c r="A40" s="429" t="s">
        <v>93</v>
      </c>
      <c r="B40" s="410" t="s">
        <v>279</v>
      </c>
      <c r="C40" s="292"/>
    </row>
    <row r="41" spans="1:3" s="89" customFormat="1" ht="12" customHeight="1">
      <c r="A41" s="429" t="s">
        <v>175</v>
      </c>
      <c r="B41" s="410" t="s">
        <v>280</v>
      </c>
      <c r="C41" s="292"/>
    </row>
    <row r="42" spans="1:3" s="89" customFormat="1" ht="12" customHeight="1">
      <c r="A42" s="429" t="s">
        <v>176</v>
      </c>
      <c r="B42" s="410" t="s">
        <v>281</v>
      </c>
      <c r="C42" s="292"/>
    </row>
    <row r="43" spans="1:3" s="89" customFormat="1" ht="12" customHeight="1">
      <c r="A43" s="429" t="s">
        <v>177</v>
      </c>
      <c r="B43" s="410" t="s">
        <v>282</v>
      </c>
      <c r="C43" s="292"/>
    </row>
    <row r="44" spans="1:3" s="89" customFormat="1" ht="12" customHeight="1">
      <c r="A44" s="429" t="s">
        <v>178</v>
      </c>
      <c r="B44" s="410" t="s">
        <v>283</v>
      </c>
      <c r="C44" s="292"/>
    </row>
    <row r="45" spans="1:3" s="89" customFormat="1" ht="12" customHeight="1">
      <c r="A45" s="429" t="s">
        <v>179</v>
      </c>
      <c r="B45" s="410" t="s">
        <v>561</v>
      </c>
      <c r="C45" s="292"/>
    </row>
    <row r="46" spans="1:3" s="89" customFormat="1" ht="12" customHeight="1">
      <c r="A46" s="429" t="s">
        <v>275</v>
      </c>
      <c r="B46" s="410" t="s">
        <v>285</v>
      </c>
      <c r="C46" s="295"/>
    </row>
    <row r="47" spans="1:3" s="89" customFormat="1" ht="12" customHeight="1">
      <c r="A47" s="430" t="s">
        <v>276</v>
      </c>
      <c r="B47" s="411" t="s">
        <v>436</v>
      </c>
      <c r="C47" s="396"/>
    </row>
    <row r="48" spans="1:3" s="89" customFormat="1" ht="12" customHeight="1" thickBot="1">
      <c r="A48" s="430" t="s">
        <v>435</v>
      </c>
      <c r="B48" s="411" t="s">
        <v>286</v>
      </c>
      <c r="C48" s="396"/>
    </row>
    <row r="49" spans="1:3" s="89" customFormat="1" ht="12" customHeight="1" thickBot="1">
      <c r="A49" s="32" t="s">
        <v>23</v>
      </c>
      <c r="B49" s="21" t="s">
        <v>287</v>
      </c>
      <c r="C49" s="290">
        <f>SUM(C50:C54)</f>
        <v>0</v>
      </c>
    </row>
    <row r="50" spans="1:3" s="89" customFormat="1" ht="12" customHeight="1">
      <c r="A50" s="428" t="s">
        <v>94</v>
      </c>
      <c r="B50" s="409" t="s">
        <v>291</v>
      </c>
      <c r="C50" s="453"/>
    </row>
    <row r="51" spans="1:3" s="89" customFormat="1" ht="12" customHeight="1">
      <c r="A51" s="429" t="s">
        <v>95</v>
      </c>
      <c r="B51" s="410" t="s">
        <v>292</v>
      </c>
      <c r="C51" s="295"/>
    </row>
    <row r="52" spans="1:3" s="89" customFormat="1" ht="12" customHeight="1">
      <c r="A52" s="429" t="s">
        <v>288</v>
      </c>
      <c r="B52" s="410" t="s">
        <v>293</v>
      </c>
      <c r="C52" s="295"/>
    </row>
    <row r="53" spans="1:3" s="89" customFormat="1" ht="12" customHeight="1">
      <c r="A53" s="429" t="s">
        <v>289</v>
      </c>
      <c r="B53" s="410" t="s">
        <v>294</v>
      </c>
      <c r="C53" s="295"/>
    </row>
    <row r="54" spans="1:3" s="89" customFormat="1" ht="12" customHeight="1" thickBot="1">
      <c r="A54" s="430" t="s">
        <v>290</v>
      </c>
      <c r="B54" s="411" t="s">
        <v>295</v>
      </c>
      <c r="C54" s="396"/>
    </row>
    <row r="55" spans="1:3" s="89" customFormat="1" ht="12" customHeight="1" thickBot="1">
      <c r="A55" s="32" t="s">
        <v>180</v>
      </c>
      <c r="B55" s="21" t="s">
        <v>296</v>
      </c>
      <c r="C55" s="290">
        <f>SUM(C56:C58)</f>
        <v>0</v>
      </c>
    </row>
    <row r="56" spans="1:3" s="89" customFormat="1" ht="12" customHeight="1">
      <c r="A56" s="428" t="s">
        <v>96</v>
      </c>
      <c r="B56" s="409" t="s">
        <v>297</v>
      </c>
      <c r="C56" s="293"/>
    </row>
    <row r="57" spans="1:3" s="89" customFormat="1" ht="12" customHeight="1">
      <c r="A57" s="429" t="s">
        <v>97</v>
      </c>
      <c r="B57" s="410" t="s">
        <v>426</v>
      </c>
      <c r="C57" s="292"/>
    </row>
    <row r="58" spans="1:3" s="89" customFormat="1" ht="12" customHeight="1">
      <c r="A58" s="429" t="s">
        <v>300</v>
      </c>
      <c r="B58" s="410" t="s">
        <v>298</v>
      </c>
      <c r="C58" s="292"/>
    </row>
    <row r="59" spans="1:3" s="89" customFormat="1" ht="12" customHeight="1" thickBot="1">
      <c r="A59" s="430" t="s">
        <v>301</v>
      </c>
      <c r="B59" s="411" t="s">
        <v>299</v>
      </c>
      <c r="C59" s="294"/>
    </row>
    <row r="60" spans="1:3" s="89" customFormat="1" ht="12" customHeight="1" thickBot="1">
      <c r="A60" s="32" t="s">
        <v>25</v>
      </c>
      <c r="B60" s="285" t="s">
        <v>302</v>
      </c>
      <c r="C60" s="290">
        <f>SUM(C61:C63)</f>
        <v>0</v>
      </c>
    </row>
    <row r="61" spans="1:3" s="89" customFormat="1" ht="12" customHeight="1">
      <c r="A61" s="428" t="s">
        <v>181</v>
      </c>
      <c r="B61" s="409" t="s">
        <v>304</v>
      </c>
      <c r="C61" s="295"/>
    </row>
    <row r="62" spans="1:3" s="89" customFormat="1" ht="12" customHeight="1">
      <c r="A62" s="429" t="s">
        <v>182</v>
      </c>
      <c r="B62" s="410" t="s">
        <v>427</v>
      </c>
      <c r="C62" s="295"/>
    </row>
    <row r="63" spans="1:3" s="89" customFormat="1" ht="12" customHeight="1">
      <c r="A63" s="429" t="s">
        <v>231</v>
      </c>
      <c r="B63" s="410" t="s">
        <v>305</v>
      </c>
      <c r="C63" s="295"/>
    </row>
    <row r="64" spans="1:3" s="89" customFormat="1" ht="12" customHeight="1" thickBot="1">
      <c r="A64" s="430" t="s">
        <v>303</v>
      </c>
      <c r="B64" s="411" t="s">
        <v>306</v>
      </c>
      <c r="C64" s="295"/>
    </row>
    <row r="65" spans="1:3" s="89" customFormat="1" ht="12" customHeight="1" thickBot="1">
      <c r="A65" s="32" t="s">
        <v>26</v>
      </c>
      <c r="B65" s="21" t="s">
        <v>307</v>
      </c>
      <c r="C65" s="296">
        <f>+C8+C15+C22+C29+C37+C49+C55+C60</f>
        <v>0</v>
      </c>
    </row>
    <row r="66" spans="1:3" s="89" customFormat="1" ht="12" customHeight="1" thickBot="1">
      <c r="A66" s="431" t="s">
        <v>394</v>
      </c>
      <c r="B66" s="285" t="s">
        <v>309</v>
      </c>
      <c r="C66" s="290">
        <f>SUM(C67:C69)</f>
        <v>0</v>
      </c>
    </row>
    <row r="67" spans="1:3" s="89" customFormat="1" ht="12" customHeight="1">
      <c r="A67" s="428" t="s">
        <v>337</v>
      </c>
      <c r="B67" s="409" t="s">
        <v>310</v>
      </c>
      <c r="C67" s="295"/>
    </row>
    <row r="68" spans="1:3" s="89" customFormat="1" ht="12" customHeight="1">
      <c r="A68" s="429" t="s">
        <v>346</v>
      </c>
      <c r="B68" s="410" t="s">
        <v>311</v>
      </c>
      <c r="C68" s="295"/>
    </row>
    <row r="69" spans="1:3" s="89" customFormat="1" ht="12" customHeight="1" thickBot="1">
      <c r="A69" s="430" t="s">
        <v>347</v>
      </c>
      <c r="B69" s="412" t="s">
        <v>312</v>
      </c>
      <c r="C69" s="295"/>
    </row>
    <row r="70" spans="1:3" s="89" customFormat="1" ht="12" customHeight="1" thickBot="1">
      <c r="A70" s="431" t="s">
        <v>313</v>
      </c>
      <c r="B70" s="285" t="s">
        <v>314</v>
      </c>
      <c r="C70" s="290">
        <f>SUM(C71:C74)</f>
        <v>0</v>
      </c>
    </row>
    <row r="71" spans="1:3" s="89" customFormat="1" ht="12" customHeight="1">
      <c r="A71" s="428" t="s">
        <v>149</v>
      </c>
      <c r="B71" s="409" t="s">
        <v>315</v>
      </c>
      <c r="C71" s="295"/>
    </row>
    <row r="72" spans="1:3" s="89" customFormat="1" ht="12" customHeight="1">
      <c r="A72" s="429" t="s">
        <v>150</v>
      </c>
      <c r="B72" s="410" t="s">
        <v>571</v>
      </c>
      <c r="C72" s="295"/>
    </row>
    <row r="73" spans="1:3" s="89" customFormat="1" ht="12" customHeight="1">
      <c r="A73" s="429" t="s">
        <v>338</v>
      </c>
      <c r="B73" s="410" t="s">
        <v>316</v>
      </c>
      <c r="C73" s="295"/>
    </row>
    <row r="74" spans="1:3" s="89" customFormat="1" ht="12" customHeight="1" thickBot="1">
      <c r="A74" s="430" t="s">
        <v>339</v>
      </c>
      <c r="B74" s="287" t="s">
        <v>572</v>
      </c>
      <c r="C74" s="295"/>
    </row>
    <row r="75" spans="1:3" s="89" customFormat="1" ht="12" customHeight="1" thickBot="1">
      <c r="A75" s="431" t="s">
        <v>317</v>
      </c>
      <c r="B75" s="285" t="s">
        <v>318</v>
      </c>
      <c r="C75" s="290">
        <f>SUM(C76:C77)</f>
        <v>0</v>
      </c>
    </row>
    <row r="76" spans="1:3" s="89" customFormat="1" ht="12" customHeight="1">
      <c r="A76" s="428" t="s">
        <v>340</v>
      </c>
      <c r="B76" s="409" t="s">
        <v>319</v>
      </c>
      <c r="C76" s="295"/>
    </row>
    <row r="77" spans="1:3" s="89" customFormat="1" ht="12" customHeight="1" thickBot="1">
      <c r="A77" s="430" t="s">
        <v>341</v>
      </c>
      <c r="B77" s="411" t="s">
        <v>320</v>
      </c>
      <c r="C77" s="295"/>
    </row>
    <row r="78" spans="1:3" s="88" customFormat="1" ht="12" customHeight="1" thickBot="1">
      <c r="A78" s="431" t="s">
        <v>321</v>
      </c>
      <c r="B78" s="285" t="s">
        <v>322</v>
      </c>
      <c r="C78" s="290">
        <f>SUM(C79:C81)</f>
        <v>0</v>
      </c>
    </row>
    <row r="79" spans="1:3" s="89" customFormat="1" ht="12" customHeight="1">
      <c r="A79" s="428" t="s">
        <v>342</v>
      </c>
      <c r="B79" s="409" t="s">
        <v>323</v>
      </c>
      <c r="C79" s="295"/>
    </row>
    <row r="80" spans="1:3" s="89" customFormat="1" ht="12" customHeight="1">
      <c r="A80" s="429" t="s">
        <v>343</v>
      </c>
      <c r="B80" s="410" t="s">
        <v>324</v>
      </c>
      <c r="C80" s="295"/>
    </row>
    <row r="81" spans="1:3" s="89" customFormat="1" ht="12" customHeight="1" thickBot="1">
      <c r="A81" s="430" t="s">
        <v>344</v>
      </c>
      <c r="B81" s="411" t="s">
        <v>573</v>
      </c>
      <c r="C81" s="295"/>
    </row>
    <row r="82" spans="1:3" s="89" customFormat="1" ht="12" customHeight="1" thickBot="1">
      <c r="A82" s="431" t="s">
        <v>325</v>
      </c>
      <c r="B82" s="285" t="s">
        <v>345</v>
      </c>
      <c r="C82" s="290">
        <f>SUM(C83:C86)</f>
        <v>0</v>
      </c>
    </row>
    <row r="83" spans="1:3" s="89" customFormat="1" ht="12" customHeight="1">
      <c r="A83" s="432" t="s">
        <v>326</v>
      </c>
      <c r="B83" s="409" t="s">
        <v>327</v>
      </c>
      <c r="C83" s="295"/>
    </row>
    <row r="84" spans="1:3" s="89" customFormat="1" ht="12" customHeight="1">
      <c r="A84" s="433" t="s">
        <v>328</v>
      </c>
      <c r="B84" s="410" t="s">
        <v>329</v>
      </c>
      <c r="C84" s="295"/>
    </row>
    <row r="85" spans="1:3" s="89" customFormat="1" ht="12" customHeight="1">
      <c r="A85" s="433" t="s">
        <v>330</v>
      </c>
      <c r="B85" s="410" t="s">
        <v>331</v>
      </c>
      <c r="C85" s="295"/>
    </row>
    <row r="86" spans="1:3" s="88" customFormat="1" ht="12" customHeight="1" thickBot="1">
      <c r="A86" s="434" t="s">
        <v>332</v>
      </c>
      <c r="B86" s="411" t="s">
        <v>333</v>
      </c>
      <c r="C86" s="295"/>
    </row>
    <row r="87" spans="1:3" s="88" customFormat="1" ht="12" customHeight="1" thickBot="1">
      <c r="A87" s="431" t="s">
        <v>334</v>
      </c>
      <c r="B87" s="285" t="s">
        <v>475</v>
      </c>
      <c r="C87" s="454"/>
    </row>
    <row r="88" spans="1:3" s="88" customFormat="1" ht="12" customHeight="1" thickBot="1">
      <c r="A88" s="431" t="s">
        <v>507</v>
      </c>
      <c r="B88" s="285" t="s">
        <v>335</v>
      </c>
      <c r="C88" s="454"/>
    </row>
    <row r="89" spans="1:3" s="88" customFormat="1" ht="12" customHeight="1" thickBot="1">
      <c r="A89" s="431" t="s">
        <v>508</v>
      </c>
      <c r="B89" s="416" t="s">
        <v>478</v>
      </c>
      <c r="C89" s="296">
        <f>+C66+C70+C75+C78+C82+C88+C87</f>
        <v>0</v>
      </c>
    </row>
    <row r="90" spans="1:3" s="88" customFormat="1" ht="12" customHeight="1" thickBot="1">
      <c r="A90" s="435" t="s">
        <v>509</v>
      </c>
      <c r="B90" s="417" t="s">
        <v>510</v>
      </c>
      <c r="C90" s="296">
        <f>+C65+C89</f>
        <v>0</v>
      </c>
    </row>
    <row r="91" spans="1:3" s="89" customFormat="1" ht="15.2" customHeight="1" thickBot="1">
      <c r="A91" s="229"/>
      <c r="B91" s="230"/>
      <c r="C91" s="355"/>
    </row>
    <row r="92" spans="1:3" s="60" customFormat="1" ht="16.5" customHeight="1" thickBot="1">
      <c r="A92" s="233"/>
      <c r="B92" s="234" t="s">
        <v>57</v>
      </c>
      <c r="C92" s="357"/>
    </row>
    <row r="93" spans="1:3" s="90" customFormat="1" ht="12" customHeight="1" thickBot="1">
      <c r="A93" s="402" t="s">
        <v>18</v>
      </c>
      <c r="B93" s="28" t="s">
        <v>514</v>
      </c>
      <c r="C93" s="289">
        <f>+C94+C95+C96+C97+C98+C111</f>
        <v>0</v>
      </c>
    </row>
    <row r="94" spans="1:3" ht="12" customHeight="1">
      <c r="A94" s="436" t="s">
        <v>98</v>
      </c>
      <c r="B94" s="10" t="s">
        <v>49</v>
      </c>
      <c r="C94" s="291"/>
    </row>
    <row r="95" spans="1:3" ht="12" customHeight="1">
      <c r="A95" s="429" t="s">
        <v>99</v>
      </c>
      <c r="B95" s="8" t="s">
        <v>183</v>
      </c>
      <c r="C95" s="292"/>
    </row>
    <row r="96" spans="1:3" ht="12" customHeight="1">
      <c r="A96" s="429" t="s">
        <v>100</v>
      </c>
      <c r="B96" s="8" t="s">
        <v>140</v>
      </c>
      <c r="C96" s="294"/>
    </row>
    <row r="97" spans="1:3" ht="12" customHeight="1">
      <c r="A97" s="429" t="s">
        <v>101</v>
      </c>
      <c r="B97" s="11" t="s">
        <v>184</v>
      </c>
      <c r="C97" s="294"/>
    </row>
    <row r="98" spans="1:3" ht="12" customHeight="1">
      <c r="A98" s="429" t="s">
        <v>112</v>
      </c>
      <c r="B98" s="19" t="s">
        <v>185</v>
      </c>
      <c r="C98" s="294"/>
    </row>
    <row r="99" spans="1:3" ht="12" customHeight="1">
      <c r="A99" s="429" t="s">
        <v>102</v>
      </c>
      <c r="B99" s="8" t="s">
        <v>511</v>
      </c>
      <c r="C99" s="294"/>
    </row>
    <row r="100" spans="1:3" ht="12" customHeight="1">
      <c r="A100" s="429" t="s">
        <v>103</v>
      </c>
      <c r="B100" s="136" t="s">
        <v>441</v>
      </c>
      <c r="C100" s="294"/>
    </row>
    <row r="101" spans="1:3" ht="12" customHeight="1">
      <c r="A101" s="429" t="s">
        <v>113</v>
      </c>
      <c r="B101" s="136" t="s">
        <v>440</v>
      </c>
      <c r="C101" s="294"/>
    </row>
    <row r="102" spans="1:3" ht="12" customHeight="1">
      <c r="A102" s="429" t="s">
        <v>114</v>
      </c>
      <c r="B102" s="136" t="s">
        <v>351</v>
      </c>
      <c r="C102" s="294"/>
    </row>
    <row r="103" spans="1:3" ht="12" customHeight="1">
      <c r="A103" s="429" t="s">
        <v>115</v>
      </c>
      <c r="B103" s="137" t="s">
        <v>352</v>
      </c>
      <c r="C103" s="294"/>
    </row>
    <row r="104" spans="1:3" ht="12" customHeight="1">
      <c r="A104" s="429" t="s">
        <v>116</v>
      </c>
      <c r="B104" s="137" t="s">
        <v>353</v>
      </c>
      <c r="C104" s="294"/>
    </row>
    <row r="105" spans="1:3" ht="12" customHeight="1">
      <c r="A105" s="429" t="s">
        <v>118</v>
      </c>
      <c r="B105" s="136" t="s">
        <v>354</v>
      </c>
      <c r="C105" s="294"/>
    </row>
    <row r="106" spans="1:3" ht="12" customHeight="1">
      <c r="A106" s="429" t="s">
        <v>186</v>
      </c>
      <c r="B106" s="136" t="s">
        <v>355</v>
      </c>
      <c r="C106" s="294"/>
    </row>
    <row r="107" spans="1:3" ht="12" customHeight="1">
      <c r="A107" s="429" t="s">
        <v>349</v>
      </c>
      <c r="B107" s="137" t="s">
        <v>356</v>
      </c>
      <c r="C107" s="294"/>
    </row>
    <row r="108" spans="1:3" ht="12" customHeight="1">
      <c r="A108" s="437" t="s">
        <v>350</v>
      </c>
      <c r="B108" s="138" t="s">
        <v>357</v>
      </c>
      <c r="C108" s="294"/>
    </row>
    <row r="109" spans="1:3" ht="12" customHeight="1">
      <c r="A109" s="429" t="s">
        <v>438</v>
      </c>
      <c r="B109" s="138" t="s">
        <v>358</v>
      </c>
      <c r="C109" s="294"/>
    </row>
    <row r="110" spans="1:3" ht="12" customHeight="1">
      <c r="A110" s="429" t="s">
        <v>439</v>
      </c>
      <c r="B110" s="137" t="s">
        <v>359</v>
      </c>
      <c r="C110" s="292"/>
    </row>
    <row r="111" spans="1:3" ht="12" customHeight="1">
      <c r="A111" s="429" t="s">
        <v>443</v>
      </c>
      <c r="B111" s="11" t="s">
        <v>50</v>
      </c>
      <c r="C111" s="292"/>
    </row>
    <row r="112" spans="1:3" ht="12" customHeight="1">
      <c r="A112" s="430" t="s">
        <v>444</v>
      </c>
      <c r="B112" s="8" t="s">
        <v>512</v>
      </c>
      <c r="C112" s="294"/>
    </row>
    <row r="113" spans="1:3" ht="12" customHeight="1" thickBot="1">
      <c r="A113" s="438" t="s">
        <v>445</v>
      </c>
      <c r="B113" s="139" t="s">
        <v>513</v>
      </c>
      <c r="C113" s="298"/>
    </row>
    <row r="114" spans="1:3" ht="12" customHeight="1" thickBot="1">
      <c r="A114" s="32" t="s">
        <v>19</v>
      </c>
      <c r="B114" s="27" t="s">
        <v>360</v>
      </c>
      <c r="C114" s="290">
        <f>+C115+C117+C119</f>
        <v>0</v>
      </c>
    </row>
    <row r="115" spans="1:3" ht="12" customHeight="1">
      <c r="A115" s="428" t="s">
        <v>104</v>
      </c>
      <c r="B115" s="8" t="s">
        <v>230</v>
      </c>
      <c r="C115" s="293"/>
    </row>
    <row r="116" spans="1:3" ht="12" customHeight="1">
      <c r="A116" s="428" t="s">
        <v>105</v>
      </c>
      <c r="B116" s="12" t="s">
        <v>364</v>
      </c>
      <c r="C116" s="293"/>
    </row>
    <row r="117" spans="1:3" ht="12" customHeight="1">
      <c r="A117" s="428" t="s">
        <v>106</v>
      </c>
      <c r="B117" s="12" t="s">
        <v>187</v>
      </c>
      <c r="C117" s="292"/>
    </row>
    <row r="118" spans="1:3" ht="12" customHeight="1">
      <c r="A118" s="428" t="s">
        <v>107</v>
      </c>
      <c r="B118" s="12" t="s">
        <v>365</v>
      </c>
      <c r="C118" s="257"/>
    </row>
    <row r="119" spans="1:3" ht="12" customHeight="1">
      <c r="A119" s="428" t="s">
        <v>108</v>
      </c>
      <c r="B119" s="287" t="s">
        <v>232</v>
      </c>
      <c r="C119" s="257"/>
    </row>
    <row r="120" spans="1:3" ht="12" customHeight="1">
      <c r="A120" s="428" t="s">
        <v>117</v>
      </c>
      <c r="B120" s="286" t="s">
        <v>428</v>
      </c>
      <c r="C120" s="257"/>
    </row>
    <row r="121" spans="1:3" ht="12" customHeight="1">
      <c r="A121" s="428" t="s">
        <v>119</v>
      </c>
      <c r="B121" s="405" t="s">
        <v>370</v>
      </c>
      <c r="C121" s="257"/>
    </row>
    <row r="122" spans="1:3" ht="12" customHeight="1">
      <c r="A122" s="428" t="s">
        <v>188</v>
      </c>
      <c r="B122" s="137" t="s">
        <v>353</v>
      </c>
      <c r="C122" s="257"/>
    </row>
    <row r="123" spans="1:3" ht="12" customHeight="1">
      <c r="A123" s="428" t="s">
        <v>189</v>
      </c>
      <c r="B123" s="137" t="s">
        <v>369</v>
      </c>
      <c r="C123" s="257"/>
    </row>
    <row r="124" spans="1:3" ht="12" customHeight="1">
      <c r="A124" s="428" t="s">
        <v>190</v>
      </c>
      <c r="B124" s="137" t="s">
        <v>368</v>
      </c>
      <c r="C124" s="257"/>
    </row>
    <row r="125" spans="1:3" ht="12" customHeight="1">
      <c r="A125" s="428" t="s">
        <v>361</v>
      </c>
      <c r="B125" s="137" t="s">
        <v>356</v>
      </c>
      <c r="C125" s="257"/>
    </row>
    <row r="126" spans="1:3" ht="12" customHeight="1">
      <c r="A126" s="428" t="s">
        <v>362</v>
      </c>
      <c r="B126" s="137" t="s">
        <v>367</v>
      </c>
      <c r="C126" s="257"/>
    </row>
    <row r="127" spans="1:3" ht="12" customHeight="1" thickBot="1">
      <c r="A127" s="437" t="s">
        <v>363</v>
      </c>
      <c r="B127" s="137" t="s">
        <v>366</v>
      </c>
      <c r="C127" s="259"/>
    </row>
    <row r="128" spans="1:3" ht="12" customHeight="1" thickBot="1">
      <c r="A128" s="32" t="s">
        <v>20</v>
      </c>
      <c r="B128" s="118" t="s">
        <v>448</v>
      </c>
      <c r="C128" s="290">
        <f>+C93+C114</f>
        <v>0</v>
      </c>
    </row>
    <row r="129" spans="1:11" ht="12" customHeight="1" thickBot="1">
      <c r="A129" s="32" t="s">
        <v>21</v>
      </c>
      <c r="B129" s="118" t="s">
        <v>449</v>
      </c>
      <c r="C129" s="290">
        <f>+C130+C131+C132</f>
        <v>0</v>
      </c>
    </row>
    <row r="130" spans="1:11" s="90" customFormat="1" ht="12" customHeight="1">
      <c r="A130" s="428" t="s">
        <v>268</v>
      </c>
      <c r="B130" s="9" t="s">
        <v>517</v>
      </c>
      <c r="C130" s="257"/>
    </row>
    <row r="131" spans="1:11" ht="12" customHeight="1">
      <c r="A131" s="428" t="s">
        <v>269</v>
      </c>
      <c r="B131" s="9" t="s">
        <v>457</v>
      </c>
      <c r="C131" s="257"/>
    </row>
    <row r="132" spans="1:11" ht="12" customHeight="1" thickBot="1">
      <c r="A132" s="437" t="s">
        <v>270</v>
      </c>
      <c r="B132" s="7" t="s">
        <v>516</v>
      </c>
      <c r="C132" s="257"/>
    </row>
    <row r="133" spans="1:11" ht="12" customHeight="1" thickBot="1">
      <c r="A133" s="32" t="s">
        <v>22</v>
      </c>
      <c r="B133" s="118" t="s">
        <v>450</v>
      </c>
      <c r="C133" s="290">
        <f>+C134+C135+C136+C137+C138+C139</f>
        <v>0</v>
      </c>
    </row>
    <row r="134" spans="1:11" ht="12" customHeight="1">
      <c r="A134" s="428" t="s">
        <v>91</v>
      </c>
      <c r="B134" s="9" t="s">
        <v>459</v>
      </c>
      <c r="C134" s="257"/>
    </row>
    <row r="135" spans="1:11" ht="12" customHeight="1">
      <c r="A135" s="428" t="s">
        <v>92</v>
      </c>
      <c r="B135" s="9" t="s">
        <v>451</v>
      </c>
      <c r="C135" s="257"/>
    </row>
    <row r="136" spans="1:11" ht="12" customHeight="1">
      <c r="A136" s="428" t="s">
        <v>93</v>
      </c>
      <c r="B136" s="9" t="s">
        <v>452</v>
      </c>
      <c r="C136" s="257"/>
    </row>
    <row r="137" spans="1:11" ht="12" customHeight="1">
      <c r="A137" s="428" t="s">
        <v>175</v>
      </c>
      <c r="B137" s="9" t="s">
        <v>515</v>
      </c>
      <c r="C137" s="257"/>
    </row>
    <row r="138" spans="1:11" ht="12" customHeight="1">
      <c r="A138" s="428" t="s">
        <v>176</v>
      </c>
      <c r="B138" s="9" t="s">
        <v>454</v>
      </c>
      <c r="C138" s="257"/>
    </row>
    <row r="139" spans="1:11" s="90" customFormat="1" ht="12" customHeight="1" thickBot="1">
      <c r="A139" s="437" t="s">
        <v>177</v>
      </c>
      <c r="B139" s="7" t="s">
        <v>455</v>
      </c>
      <c r="C139" s="257"/>
    </row>
    <row r="140" spans="1:11" ht="12" customHeight="1" thickBot="1">
      <c r="A140" s="32" t="s">
        <v>23</v>
      </c>
      <c r="B140" s="118" t="s">
        <v>541</v>
      </c>
      <c r="C140" s="296">
        <f>+C141+C142+C144+C145+C143</f>
        <v>0</v>
      </c>
      <c r="K140" s="240"/>
    </row>
    <row r="141" spans="1:11">
      <c r="A141" s="428" t="s">
        <v>94</v>
      </c>
      <c r="B141" s="9" t="s">
        <v>371</v>
      </c>
      <c r="C141" s="257"/>
    </row>
    <row r="142" spans="1:11" ht="12" customHeight="1">
      <c r="A142" s="428" t="s">
        <v>95</v>
      </c>
      <c r="B142" s="9" t="s">
        <v>372</v>
      </c>
      <c r="C142" s="257"/>
    </row>
    <row r="143" spans="1:11" s="90" customFormat="1" ht="12" customHeight="1">
      <c r="A143" s="428" t="s">
        <v>288</v>
      </c>
      <c r="B143" s="9" t="s">
        <v>540</v>
      </c>
      <c r="C143" s="257"/>
    </row>
    <row r="144" spans="1:11" s="90" customFormat="1" ht="12" customHeight="1">
      <c r="A144" s="428" t="s">
        <v>289</v>
      </c>
      <c r="B144" s="9" t="s">
        <v>464</v>
      </c>
      <c r="C144" s="257"/>
    </row>
    <row r="145" spans="1:3" s="90" customFormat="1" ht="12" customHeight="1" thickBot="1">
      <c r="A145" s="437" t="s">
        <v>290</v>
      </c>
      <c r="B145" s="7" t="s">
        <v>390</v>
      </c>
      <c r="C145" s="257"/>
    </row>
    <row r="146" spans="1:3" s="90" customFormat="1" ht="12" customHeight="1" thickBot="1">
      <c r="A146" s="32" t="s">
        <v>24</v>
      </c>
      <c r="B146" s="118" t="s">
        <v>465</v>
      </c>
      <c r="C146" s="299">
        <f>+C147+C148+C149+C150+C151</f>
        <v>0</v>
      </c>
    </row>
    <row r="147" spans="1:3" s="90" customFormat="1" ht="12" customHeight="1">
      <c r="A147" s="428" t="s">
        <v>96</v>
      </c>
      <c r="B147" s="9" t="s">
        <v>460</v>
      </c>
      <c r="C147" s="257"/>
    </row>
    <row r="148" spans="1:3" s="90" customFormat="1" ht="12" customHeight="1">
      <c r="A148" s="428" t="s">
        <v>97</v>
      </c>
      <c r="B148" s="9" t="s">
        <v>467</v>
      </c>
      <c r="C148" s="257"/>
    </row>
    <row r="149" spans="1:3" s="90" customFormat="1" ht="12" customHeight="1">
      <c r="A149" s="428" t="s">
        <v>300</v>
      </c>
      <c r="B149" s="9" t="s">
        <v>462</v>
      </c>
      <c r="C149" s="257"/>
    </row>
    <row r="150" spans="1:3" ht="12.75" customHeight="1">
      <c r="A150" s="428" t="s">
        <v>301</v>
      </c>
      <c r="B150" s="9" t="s">
        <v>518</v>
      </c>
      <c r="C150" s="257"/>
    </row>
    <row r="151" spans="1:3" ht="12.75" customHeight="1" thickBot="1">
      <c r="A151" s="437" t="s">
        <v>466</v>
      </c>
      <c r="B151" s="7" t="s">
        <v>469</v>
      </c>
      <c r="C151" s="259"/>
    </row>
    <row r="152" spans="1:3" ht="12.75" customHeight="1" thickBot="1">
      <c r="A152" s="479" t="s">
        <v>25</v>
      </c>
      <c r="B152" s="118" t="s">
        <v>470</v>
      </c>
      <c r="C152" s="299"/>
    </row>
    <row r="153" spans="1:3" ht="12" customHeight="1" thickBot="1">
      <c r="A153" s="479" t="s">
        <v>26</v>
      </c>
      <c r="B153" s="118" t="s">
        <v>471</v>
      </c>
      <c r="C153" s="299"/>
    </row>
    <row r="154" spans="1:3" ht="15.2" customHeight="1" thickBot="1">
      <c r="A154" s="32" t="s">
        <v>27</v>
      </c>
      <c r="B154" s="118" t="s">
        <v>473</v>
      </c>
      <c r="C154" s="419">
        <f>+C129+C133+C140+C146+C152+C153</f>
        <v>0</v>
      </c>
    </row>
    <row r="155" spans="1:3" ht="13.5" thickBot="1">
      <c r="A155" s="439" t="s">
        <v>28</v>
      </c>
      <c r="B155" s="373" t="s">
        <v>472</v>
      </c>
      <c r="C155" s="419">
        <f>+C128+C154</f>
        <v>0</v>
      </c>
    </row>
    <row r="156" spans="1:3" ht="15.2" customHeight="1" thickBot="1">
      <c r="A156" s="381"/>
      <c r="B156" s="382"/>
      <c r="C156" s="615">
        <f>C90-C155</f>
        <v>0</v>
      </c>
    </row>
    <row r="157" spans="1:3" ht="14.45" customHeight="1" thickBot="1">
      <c r="A157" s="238" t="s">
        <v>519</v>
      </c>
      <c r="B157" s="239"/>
      <c r="C157" s="115"/>
    </row>
    <row r="158" spans="1:3" ht="13.5" thickBot="1">
      <c r="A158" s="238" t="s">
        <v>206</v>
      </c>
      <c r="B158" s="239"/>
      <c r="C158" s="115"/>
    </row>
    <row r="159" spans="1:3">
      <c r="A159" s="612"/>
      <c r="B159" s="613"/>
      <c r="C159" s="614"/>
    </row>
    <row r="160" spans="1:3">
      <c r="A160" s="612"/>
      <c r="B160" s="613"/>
    </row>
    <row r="161" spans="1:3">
      <c r="A161" s="612"/>
      <c r="B161" s="613"/>
      <c r="C161" s="614"/>
    </row>
    <row r="162" spans="1:3">
      <c r="A162" s="612"/>
      <c r="B162" s="613"/>
      <c r="C162" s="614"/>
    </row>
    <row r="163" spans="1:3">
      <c r="A163" s="612"/>
      <c r="B163" s="613"/>
      <c r="C163" s="614"/>
    </row>
    <row r="164" spans="1:3">
      <c r="A164" s="612"/>
      <c r="B164" s="613"/>
      <c r="C164" s="614"/>
    </row>
    <row r="165" spans="1:3">
      <c r="A165" s="612"/>
      <c r="B165" s="613"/>
      <c r="C165" s="614"/>
    </row>
    <row r="166" spans="1:3">
      <c r="A166" s="612"/>
      <c r="B166" s="613"/>
      <c r="C166" s="614"/>
    </row>
    <row r="167" spans="1:3">
      <c r="A167" s="612"/>
      <c r="B167" s="613"/>
      <c r="C167" s="614"/>
    </row>
    <row r="168" spans="1:3">
      <c r="A168" s="612"/>
      <c r="B168" s="613"/>
      <c r="C168" s="614"/>
    </row>
    <row r="169" spans="1:3">
      <c r="A169" s="612"/>
      <c r="B169" s="613"/>
      <c r="C169" s="614"/>
    </row>
    <row r="170" spans="1:3">
      <c r="A170" s="612"/>
      <c r="B170" s="613"/>
      <c r="C170" s="614"/>
    </row>
    <row r="171" spans="1:3">
      <c r="A171" s="612"/>
      <c r="B171" s="613"/>
      <c r="C171" s="614"/>
    </row>
    <row r="172" spans="1:3">
      <c r="A172" s="612"/>
      <c r="B172" s="613"/>
      <c r="C172" s="614"/>
    </row>
    <row r="173" spans="1:3">
      <c r="A173" s="612"/>
      <c r="B173" s="613"/>
      <c r="C173" s="614"/>
    </row>
    <row r="174" spans="1:3">
      <c r="A174" s="612"/>
      <c r="B174" s="613"/>
      <c r="C174" s="614"/>
    </row>
    <row r="175" spans="1:3">
      <c r="A175" s="612"/>
      <c r="B175" s="613"/>
      <c r="C175" s="614"/>
    </row>
    <row r="176" spans="1:3">
      <c r="A176" s="612"/>
      <c r="B176" s="613"/>
      <c r="C176" s="614"/>
    </row>
    <row r="177" spans="1:3">
      <c r="A177" s="612"/>
      <c r="B177" s="613"/>
      <c r="C177" s="614"/>
    </row>
    <row r="178" spans="1:3">
      <c r="A178" s="612"/>
      <c r="B178" s="613"/>
      <c r="C178" s="614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  <rowBreaks count="1" manualBreakCount="1">
    <brk id="90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>
  <sheetPr>
    <tabColor rgb="FF92D050"/>
  </sheetPr>
  <dimension ref="A1:K176"/>
  <sheetViews>
    <sheetView zoomScale="120" zoomScaleNormal="120" zoomScaleSheetLayoutView="85" workbookViewId="0">
      <selection activeCell="C39" sqref="C39"/>
    </sheetView>
  </sheetViews>
  <sheetFormatPr defaultRowHeight="12.75"/>
  <cols>
    <col min="1" max="1" width="19.5" style="383" customWidth="1"/>
    <col min="2" max="2" width="72" style="384" customWidth="1"/>
    <col min="3" max="3" width="25" style="385" customWidth="1"/>
    <col min="4" max="16384" width="9.33203125" style="3"/>
  </cols>
  <sheetData>
    <row r="1" spans="1:3" s="2" customFormat="1" ht="16.5" customHeight="1" thickBot="1">
      <c r="A1" s="593"/>
      <c r="B1" s="594"/>
      <c r="C1" s="588" t="str">
        <f ca="1">CONCATENATE("9.1.3. melléklet ",ALAPADATOK!A7," ",ALAPADATOK!B7," ",ALAPADATOK!C7," ",ALAPADATOK!D7," ",ALAPADATOK!E7," ",ALAPADATOK!F7," ",ALAPADATOK!G7," ",ALAPADATOK!H7)</f>
        <v>9.1.3. melléklet a … / 2019 ( … ) önkormányzati rendelethez</v>
      </c>
    </row>
    <row r="2" spans="1:3" s="86" customFormat="1" ht="21.2" customHeight="1">
      <c r="A2" s="595" t="s">
        <v>61</v>
      </c>
      <c r="B2" s="596" t="str">
        <f ca="1">CONCATENATE(ALAPADATOK!A3)</f>
        <v>DABAS ÖNKORMÁNYZATA</v>
      </c>
      <c r="C2" s="597" t="s">
        <v>54</v>
      </c>
    </row>
    <row r="3" spans="1:3" s="86" customFormat="1" ht="16.5" thickBot="1">
      <c r="A3" s="598" t="s">
        <v>203</v>
      </c>
      <c r="B3" s="599" t="s">
        <v>528</v>
      </c>
      <c r="C3" s="600" t="s">
        <v>431</v>
      </c>
    </row>
    <row r="4" spans="1:3" s="87" customFormat="1" ht="15.95" customHeight="1" thickBot="1">
      <c r="A4" s="601"/>
      <c r="B4" s="601"/>
      <c r="C4" s="602" t="str">
        <f ca="1">KV_9.1.2.sz.mell.!C4</f>
        <v/>
      </c>
    </row>
    <row r="5" spans="1:3" ht="13.5" thickBot="1">
      <c r="A5" s="603" t="s">
        <v>205</v>
      </c>
      <c r="B5" s="604" t="s">
        <v>563</v>
      </c>
      <c r="C5" s="605" t="s">
        <v>55</v>
      </c>
    </row>
    <row r="6" spans="1:3" s="60" customFormat="1" ht="12.95" customHeight="1" thickBot="1">
      <c r="A6" s="606"/>
      <c r="B6" s="607" t="s">
        <v>493</v>
      </c>
      <c r="C6" s="608" t="s">
        <v>494</v>
      </c>
    </row>
    <row r="7" spans="1:3" s="60" customFormat="1" ht="15.95" customHeight="1" thickBot="1">
      <c r="A7" s="223"/>
      <c r="B7" s="224" t="s">
        <v>56</v>
      </c>
      <c r="C7" s="350"/>
    </row>
    <row r="8" spans="1:3" s="60" customFormat="1" ht="12" customHeight="1" thickBot="1">
      <c r="A8" s="32" t="s">
        <v>18</v>
      </c>
      <c r="B8" s="21" t="s">
        <v>252</v>
      </c>
      <c r="C8" s="290">
        <f>+C9+C10+C11+C12+C13+C14</f>
        <v>0</v>
      </c>
    </row>
    <row r="9" spans="1:3" s="88" customFormat="1" ht="12" customHeight="1">
      <c r="A9" s="428" t="s">
        <v>98</v>
      </c>
      <c r="B9" s="409" t="s">
        <v>253</v>
      </c>
      <c r="C9" s="293"/>
    </row>
    <row r="10" spans="1:3" s="89" customFormat="1" ht="12" customHeight="1">
      <c r="A10" s="429" t="s">
        <v>99</v>
      </c>
      <c r="B10" s="410" t="s">
        <v>254</v>
      </c>
      <c r="C10" s="292"/>
    </row>
    <row r="11" spans="1:3" s="89" customFormat="1" ht="12" customHeight="1">
      <c r="A11" s="429" t="s">
        <v>100</v>
      </c>
      <c r="B11" s="410" t="s">
        <v>550</v>
      </c>
      <c r="C11" s="292"/>
    </row>
    <row r="12" spans="1:3" s="89" customFormat="1" ht="12" customHeight="1">
      <c r="A12" s="429" t="s">
        <v>101</v>
      </c>
      <c r="B12" s="410" t="s">
        <v>256</v>
      </c>
      <c r="C12" s="292"/>
    </row>
    <row r="13" spans="1:3" s="89" customFormat="1" ht="12" customHeight="1">
      <c r="A13" s="429" t="s">
        <v>148</v>
      </c>
      <c r="B13" s="410" t="s">
        <v>506</v>
      </c>
      <c r="C13" s="292"/>
    </row>
    <row r="14" spans="1:3" s="88" customFormat="1" ht="12" customHeight="1" thickBot="1">
      <c r="A14" s="430" t="s">
        <v>102</v>
      </c>
      <c r="B14" s="411" t="s">
        <v>433</v>
      </c>
      <c r="C14" s="292"/>
    </row>
    <row r="15" spans="1:3" s="88" customFormat="1" ht="12" customHeight="1" thickBot="1">
      <c r="A15" s="32" t="s">
        <v>19</v>
      </c>
      <c r="B15" s="285" t="s">
        <v>257</v>
      </c>
      <c r="C15" s="290">
        <f>+C16+C17+C18+C19+C20</f>
        <v>0</v>
      </c>
    </row>
    <row r="16" spans="1:3" s="88" customFormat="1" ht="12" customHeight="1">
      <c r="A16" s="428" t="s">
        <v>104</v>
      </c>
      <c r="B16" s="409" t="s">
        <v>258</v>
      </c>
      <c r="C16" s="293"/>
    </row>
    <row r="17" spans="1:3" s="88" customFormat="1" ht="12" customHeight="1">
      <c r="A17" s="429" t="s">
        <v>105</v>
      </c>
      <c r="B17" s="410" t="s">
        <v>259</v>
      </c>
      <c r="C17" s="292"/>
    </row>
    <row r="18" spans="1:3" s="88" customFormat="1" ht="12" customHeight="1">
      <c r="A18" s="429" t="s">
        <v>106</v>
      </c>
      <c r="B18" s="410" t="s">
        <v>422</v>
      </c>
      <c r="C18" s="292"/>
    </row>
    <row r="19" spans="1:3" s="88" customFormat="1" ht="12" customHeight="1">
      <c r="A19" s="429" t="s">
        <v>107</v>
      </c>
      <c r="B19" s="410" t="s">
        <v>423</v>
      </c>
      <c r="C19" s="292"/>
    </row>
    <row r="20" spans="1:3" s="88" customFormat="1" ht="12" customHeight="1">
      <c r="A20" s="429" t="s">
        <v>108</v>
      </c>
      <c r="B20" s="410" t="s">
        <v>260</v>
      </c>
      <c r="C20" s="292"/>
    </row>
    <row r="21" spans="1:3" s="89" customFormat="1" ht="12" customHeight="1" thickBot="1">
      <c r="A21" s="430" t="s">
        <v>117</v>
      </c>
      <c r="B21" s="411" t="s">
        <v>261</v>
      </c>
      <c r="C21" s="294"/>
    </row>
    <row r="22" spans="1:3" s="89" customFormat="1" ht="12" customHeight="1" thickBot="1">
      <c r="A22" s="32" t="s">
        <v>20</v>
      </c>
      <c r="B22" s="21" t="s">
        <v>262</v>
      </c>
      <c r="C22" s="290">
        <f>+C23+C24+C25+C26+C27</f>
        <v>0</v>
      </c>
    </row>
    <row r="23" spans="1:3" s="89" customFormat="1" ht="12" customHeight="1">
      <c r="A23" s="428" t="s">
        <v>87</v>
      </c>
      <c r="B23" s="409" t="s">
        <v>263</v>
      </c>
      <c r="C23" s="293"/>
    </row>
    <row r="24" spans="1:3" s="88" customFormat="1" ht="12" customHeight="1">
      <c r="A24" s="429" t="s">
        <v>88</v>
      </c>
      <c r="B24" s="410" t="s">
        <v>264</v>
      </c>
      <c r="C24" s="292"/>
    </row>
    <row r="25" spans="1:3" s="89" customFormat="1" ht="12" customHeight="1">
      <c r="A25" s="429" t="s">
        <v>89</v>
      </c>
      <c r="B25" s="410" t="s">
        <v>424</v>
      </c>
      <c r="C25" s="292"/>
    </row>
    <row r="26" spans="1:3" s="89" customFormat="1" ht="12" customHeight="1">
      <c r="A26" s="429" t="s">
        <v>90</v>
      </c>
      <c r="B26" s="410" t="s">
        <v>425</v>
      </c>
      <c r="C26" s="292"/>
    </row>
    <row r="27" spans="1:3" s="89" customFormat="1" ht="12" customHeight="1">
      <c r="A27" s="429" t="s">
        <v>171</v>
      </c>
      <c r="B27" s="410" t="s">
        <v>265</v>
      </c>
      <c r="C27" s="292"/>
    </row>
    <row r="28" spans="1:3" s="89" customFormat="1" ht="12" customHeight="1" thickBot="1">
      <c r="A28" s="430" t="s">
        <v>172</v>
      </c>
      <c r="B28" s="411" t="s">
        <v>266</v>
      </c>
      <c r="C28" s="294"/>
    </row>
    <row r="29" spans="1:3" s="89" customFormat="1" ht="12" customHeight="1" thickBot="1">
      <c r="A29" s="32" t="s">
        <v>173</v>
      </c>
      <c r="B29" s="21" t="s">
        <v>267</v>
      </c>
      <c r="C29" s="296">
        <f>SUM(C30:C36)</f>
        <v>0</v>
      </c>
    </row>
    <row r="30" spans="1:3" s="89" customFormat="1" ht="12" customHeight="1">
      <c r="A30" s="428" t="s">
        <v>268</v>
      </c>
      <c r="B30" s="409" t="s">
        <v>555</v>
      </c>
      <c r="C30" s="293"/>
    </row>
    <row r="31" spans="1:3" s="89" customFormat="1" ht="12" customHeight="1">
      <c r="A31" s="429" t="s">
        <v>269</v>
      </c>
      <c r="B31" s="410" t="s">
        <v>556</v>
      </c>
      <c r="C31" s="292"/>
    </row>
    <row r="32" spans="1:3" s="89" customFormat="1" ht="12" customHeight="1">
      <c r="A32" s="429" t="s">
        <v>270</v>
      </c>
      <c r="B32" s="410" t="s">
        <v>557</v>
      </c>
      <c r="C32" s="292"/>
    </row>
    <row r="33" spans="1:3" s="89" customFormat="1" ht="12" customHeight="1">
      <c r="A33" s="429" t="s">
        <v>271</v>
      </c>
      <c r="B33" s="410" t="s">
        <v>558</v>
      </c>
      <c r="C33" s="292"/>
    </row>
    <row r="34" spans="1:3" s="89" customFormat="1" ht="12" customHeight="1">
      <c r="A34" s="429" t="s">
        <v>552</v>
      </c>
      <c r="B34" s="410" t="s">
        <v>272</v>
      </c>
      <c r="C34" s="292"/>
    </row>
    <row r="35" spans="1:3" s="89" customFormat="1" ht="12" customHeight="1">
      <c r="A35" s="429" t="s">
        <v>553</v>
      </c>
      <c r="B35" s="410" t="s">
        <v>273</v>
      </c>
      <c r="C35" s="292"/>
    </row>
    <row r="36" spans="1:3" s="89" customFormat="1" ht="12" customHeight="1" thickBot="1">
      <c r="A36" s="430" t="s">
        <v>554</v>
      </c>
      <c r="B36" s="504" t="s">
        <v>274</v>
      </c>
      <c r="C36" s="294"/>
    </row>
    <row r="37" spans="1:3" s="89" customFormat="1" ht="12" customHeight="1" thickBot="1">
      <c r="A37" s="32" t="s">
        <v>22</v>
      </c>
      <c r="B37" s="21" t="s">
        <v>434</v>
      </c>
      <c r="C37" s="290">
        <f>SUM(C38:C48)</f>
        <v>0</v>
      </c>
    </row>
    <row r="38" spans="1:3" s="89" customFormat="1" ht="12" customHeight="1">
      <c r="A38" s="428" t="s">
        <v>91</v>
      </c>
      <c r="B38" s="409" t="s">
        <v>277</v>
      </c>
      <c r="C38" s="293"/>
    </row>
    <row r="39" spans="1:3" s="89" customFormat="1" ht="12" customHeight="1">
      <c r="A39" s="429" t="s">
        <v>92</v>
      </c>
      <c r="B39" s="410" t="s">
        <v>278</v>
      </c>
      <c r="C39" s="292"/>
    </row>
    <row r="40" spans="1:3" s="89" customFormat="1" ht="12" customHeight="1">
      <c r="A40" s="429" t="s">
        <v>93</v>
      </c>
      <c r="B40" s="410" t="s">
        <v>279</v>
      </c>
      <c r="C40" s="292"/>
    </row>
    <row r="41" spans="1:3" s="89" customFormat="1" ht="12" customHeight="1">
      <c r="A41" s="429" t="s">
        <v>175</v>
      </c>
      <c r="B41" s="410" t="s">
        <v>280</v>
      </c>
      <c r="C41" s="292"/>
    </row>
    <row r="42" spans="1:3" s="89" customFormat="1" ht="12" customHeight="1">
      <c r="A42" s="429" t="s">
        <v>176</v>
      </c>
      <c r="B42" s="410" t="s">
        <v>281</v>
      </c>
      <c r="C42" s="292"/>
    </row>
    <row r="43" spans="1:3" s="89" customFormat="1" ht="12" customHeight="1">
      <c r="A43" s="429" t="s">
        <v>177</v>
      </c>
      <c r="B43" s="410" t="s">
        <v>282</v>
      </c>
      <c r="C43" s="292"/>
    </row>
    <row r="44" spans="1:3" s="89" customFormat="1" ht="12" customHeight="1">
      <c r="A44" s="429" t="s">
        <v>178</v>
      </c>
      <c r="B44" s="410" t="s">
        <v>283</v>
      </c>
      <c r="C44" s="292"/>
    </row>
    <row r="45" spans="1:3" s="89" customFormat="1" ht="12" customHeight="1">
      <c r="A45" s="429" t="s">
        <v>179</v>
      </c>
      <c r="B45" s="410" t="s">
        <v>559</v>
      </c>
      <c r="C45" s="292"/>
    </row>
    <row r="46" spans="1:3" s="89" customFormat="1" ht="12" customHeight="1">
      <c r="A46" s="429" t="s">
        <v>275</v>
      </c>
      <c r="B46" s="410" t="s">
        <v>285</v>
      </c>
      <c r="C46" s="295"/>
    </row>
    <row r="47" spans="1:3" s="89" customFormat="1" ht="12" customHeight="1">
      <c r="A47" s="430" t="s">
        <v>276</v>
      </c>
      <c r="B47" s="411" t="s">
        <v>436</v>
      </c>
      <c r="C47" s="396"/>
    </row>
    <row r="48" spans="1:3" s="89" customFormat="1" ht="12" customHeight="1" thickBot="1">
      <c r="A48" s="430" t="s">
        <v>435</v>
      </c>
      <c r="B48" s="411" t="s">
        <v>286</v>
      </c>
      <c r="C48" s="396"/>
    </row>
    <row r="49" spans="1:3" s="89" customFormat="1" ht="12" customHeight="1" thickBot="1">
      <c r="A49" s="32" t="s">
        <v>23</v>
      </c>
      <c r="B49" s="21" t="s">
        <v>287</v>
      </c>
      <c r="C49" s="290">
        <f>SUM(C50:C54)</f>
        <v>0</v>
      </c>
    </row>
    <row r="50" spans="1:3" s="89" customFormat="1" ht="12" customHeight="1">
      <c r="A50" s="428" t="s">
        <v>94</v>
      </c>
      <c r="B50" s="409" t="s">
        <v>291</v>
      </c>
      <c r="C50" s="453"/>
    </row>
    <row r="51" spans="1:3" s="89" customFormat="1" ht="12" customHeight="1">
      <c r="A51" s="429" t="s">
        <v>95</v>
      </c>
      <c r="B51" s="410" t="s">
        <v>292</v>
      </c>
      <c r="C51" s="295"/>
    </row>
    <row r="52" spans="1:3" s="89" customFormat="1" ht="12" customHeight="1">
      <c r="A52" s="429" t="s">
        <v>288</v>
      </c>
      <c r="B52" s="410" t="s">
        <v>293</v>
      </c>
      <c r="C52" s="295"/>
    </row>
    <row r="53" spans="1:3" s="89" customFormat="1" ht="12" customHeight="1">
      <c r="A53" s="429" t="s">
        <v>289</v>
      </c>
      <c r="B53" s="410" t="s">
        <v>294</v>
      </c>
      <c r="C53" s="295"/>
    </row>
    <row r="54" spans="1:3" s="89" customFormat="1" ht="12" customHeight="1" thickBot="1">
      <c r="A54" s="430" t="s">
        <v>290</v>
      </c>
      <c r="B54" s="504" t="s">
        <v>295</v>
      </c>
      <c r="C54" s="396"/>
    </row>
    <row r="55" spans="1:3" s="89" customFormat="1" ht="12" customHeight="1" thickBot="1">
      <c r="A55" s="32" t="s">
        <v>180</v>
      </c>
      <c r="B55" s="21" t="s">
        <v>296</v>
      </c>
      <c r="C55" s="290">
        <f>SUM(C56:C58)</f>
        <v>0</v>
      </c>
    </row>
    <row r="56" spans="1:3" s="89" customFormat="1" ht="12" customHeight="1">
      <c r="A56" s="428" t="s">
        <v>96</v>
      </c>
      <c r="B56" s="409" t="s">
        <v>297</v>
      </c>
      <c r="C56" s="293"/>
    </row>
    <row r="57" spans="1:3" s="89" customFormat="1" ht="12" customHeight="1">
      <c r="A57" s="429" t="s">
        <v>97</v>
      </c>
      <c r="B57" s="410" t="s">
        <v>426</v>
      </c>
      <c r="C57" s="292"/>
    </row>
    <row r="58" spans="1:3" s="89" customFormat="1" ht="12" customHeight="1">
      <c r="A58" s="429" t="s">
        <v>300</v>
      </c>
      <c r="B58" s="410" t="s">
        <v>298</v>
      </c>
      <c r="C58" s="292"/>
    </row>
    <row r="59" spans="1:3" s="89" customFormat="1" ht="12" customHeight="1" thickBot="1">
      <c r="A59" s="430" t="s">
        <v>301</v>
      </c>
      <c r="B59" s="504" t="s">
        <v>299</v>
      </c>
      <c r="C59" s="294"/>
    </row>
    <row r="60" spans="1:3" s="89" customFormat="1" ht="12" customHeight="1" thickBot="1">
      <c r="A60" s="32" t="s">
        <v>25</v>
      </c>
      <c r="B60" s="285" t="s">
        <v>302</v>
      </c>
      <c r="C60" s="290">
        <f>SUM(C61:C63)</f>
        <v>0</v>
      </c>
    </row>
    <row r="61" spans="1:3" s="89" customFormat="1" ht="12" customHeight="1">
      <c r="A61" s="428" t="s">
        <v>181</v>
      </c>
      <c r="B61" s="409" t="s">
        <v>304</v>
      </c>
      <c r="C61" s="295"/>
    </row>
    <row r="62" spans="1:3" s="89" customFormat="1" ht="12" customHeight="1">
      <c r="A62" s="429" t="s">
        <v>182</v>
      </c>
      <c r="B62" s="410" t="s">
        <v>427</v>
      </c>
      <c r="C62" s="295"/>
    </row>
    <row r="63" spans="1:3" s="89" customFormat="1" ht="12" customHeight="1">
      <c r="A63" s="429" t="s">
        <v>231</v>
      </c>
      <c r="B63" s="410" t="s">
        <v>305</v>
      </c>
      <c r="C63" s="295"/>
    </row>
    <row r="64" spans="1:3" s="89" customFormat="1" ht="12" customHeight="1" thickBot="1">
      <c r="A64" s="430" t="s">
        <v>303</v>
      </c>
      <c r="B64" s="504" t="s">
        <v>306</v>
      </c>
      <c r="C64" s="295"/>
    </row>
    <row r="65" spans="1:3" s="89" customFormat="1" ht="12" customHeight="1" thickBot="1">
      <c r="A65" s="32" t="s">
        <v>26</v>
      </c>
      <c r="B65" s="21" t="s">
        <v>307</v>
      </c>
      <c r="C65" s="296">
        <f>+C8+C15+C22+C29+C37+C49+C55+C60</f>
        <v>0</v>
      </c>
    </row>
    <row r="66" spans="1:3" s="89" customFormat="1" ht="12" customHeight="1" thickBot="1">
      <c r="A66" s="431" t="s">
        <v>394</v>
      </c>
      <c r="B66" s="285" t="s">
        <v>309</v>
      </c>
      <c r="C66" s="290">
        <f>SUM(C67:C69)</f>
        <v>0</v>
      </c>
    </row>
    <row r="67" spans="1:3" s="89" customFormat="1" ht="12" customHeight="1">
      <c r="A67" s="428" t="s">
        <v>337</v>
      </c>
      <c r="B67" s="409" t="s">
        <v>310</v>
      </c>
      <c r="C67" s="295"/>
    </row>
    <row r="68" spans="1:3" s="89" customFormat="1" ht="12" customHeight="1">
      <c r="A68" s="429" t="s">
        <v>346</v>
      </c>
      <c r="B68" s="410" t="s">
        <v>311</v>
      </c>
      <c r="C68" s="295"/>
    </row>
    <row r="69" spans="1:3" s="89" customFormat="1" ht="12" customHeight="1" thickBot="1">
      <c r="A69" s="430" t="s">
        <v>347</v>
      </c>
      <c r="B69" s="507" t="s">
        <v>312</v>
      </c>
      <c r="C69" s="295"/>
    </row>
    <row r="70" spans="1:3" s="89" customFormat="1" ht="12" customHeight="1" thickBot="1">
      <c r="A70" s="431" t="s">
        <v>313</v>
      </c>
      <c r="B70" s="285" t="s">
        <v>314</v>
      </c>
      <c r="C70" s="290">
        <f>SUM(C71:C74)</f>
        <v>0</v>
      </c>
    </row>
    <row r="71" spans="1:3" s="89" customFormat="1" ht="12" customHeight="1">
      <c r="A71" s="428" t="s">
        <v>149</v>
      </c>
      <c r="B71" s="409" t="s">
        <v>315</v>
      </c>
      <c r="C71" s="295"/>
    </row>
    <row r="72" spans="1:3" s="89" customFormat="1" ht="12" customHeight="1">
      <c r="A72" s="429" t="s">
        <v>150</v>
      </c>
      <c r="B72" s="410" t="s">
        <v>571</v>
      </c>
      <c r="C72" s="295"/>
    </row>
    <row r="73" spans="1:3" s="89" customFormat="1" ht="12" customHeight="1">
      <c r="A73" s="429" t="s">
        <v>338</v>
      </c>
      <c r="B73" s="410" t="s">
        <v>316</v>
      </c>
      <c r="C73" s="295"/>
    </row>
    <row r="74" spans="1:3" s="89" customFormat="1" ht="12" customHeight="1" thickBot="1">
      <c r="A74" s="430" t="s">
        <v>339</v>
      </c>
      <c r="B74" s="287" t="s">
        <v>572</v>
      </c>
      <c r="C74" s="295"/>
    </row>
    <row r="75" spans="1:3" s="89" customFormat="1" ht="12" customHeight="1" thickBot="1">
      <c r="A75" s="431" t="s">
        <v>317</v>
      </c>
      <c r="B75" s="285" t="s">
        <v>318</v>
      </c>
      <c r="C75" s="290">
        <f>SUM(C76:C77)</f>
        <v>0</v>
      </c>
    </row>
    <row r="76" spans="1:3" s="89" customFormat="1" ht="12" customHeight="1">
      <c r="A76" s="428" t="s">
        <v>340</v>
      </c>
      <c r="B76" s="409" t="s">
        <v>319</v>
      </c>
      <c r="C76" s="295"/>
    </row>
    <row r="77" spans="1:3" s="89" customFormat="1" ht="12" customHeight="1" thickBot="1">
      <c r="A77" s="430" t="s">
        <v>341</v>
      </c>
      <c r="B77" s="411" t="s">
        <v>320</v>
      </c>
      <c r="C77" s="295"/>
    </row>
    <row r="78" spans="1:3" s="88" customFormat="1" ht="12" customHeight="1" thickBot="1">
      <c r="A78" s="431" t="s">
        <v>321</v>
      </c>
      <c r="B78" s="285" t="s">
        <v>322</v>
      </c>
      <c r="C78" s="290">
        <f>SUM(C79:C81)</f>
        <v>0</v>
      </c>
    </row>
    <row r="79" spans="1:3" s="89" customFormat="1" ht="12" customHeight="1">
      <c r="A79" s="428" t="s">
        <v>342</v>
      </c>
      <c r="B79" s="409" t="s">
        <v>323</v>
      </c>
      <c r="C79" s="295"/>
    </row>
    <row r="80" spans="1:3" s="89" customFormat="1" ht="12" customHeight="1">
      <c r="A80" s="429" t="s">
        <v>343</v>
      </c>
      <c r="B80" s="410" t="s">
        <v>324</v>
      </c>
      <c r="C80" s="295"/>
    </row>
    <row r="81" spans="1:3" s="89" customFormat="1" ht="12" customHeight="1" thickBot="1">
      <c r="A81" s="430" t="s">
        <v>344</v>
      </c>
      <c r="B81" s="411" t="s">
        <v>573</v>
      </c>
      <c r="C81" s="295"/>
    </row>
    <row r="82" spans="1:3" s="89" customFormat="1" ht="12" customHeight="1" thickBot="1">
      <c r="A82" s="431" t="s">
        <v>325</v>
      </c>
      <c r="B82" s="285" t="s">
        <v>345</v>
      </c>
      <c r="C82" s="290">
        <f>SUM(C83:C86)</f>
        <v>0</v>
      </c>
    </row>
    <row r="83" spans="1:3" s="89" customFormat="1" ht="12" customHeight="1">
      <c r="A83" s="432" t="s">
        <v>326</v>
      </c>
      <c r="B83" s="409" t="s">
        <v>327</v>
      </c>
      <c r="C83" s="295"/>
    </row>
    <row r="84" spans="1:3" s="89" customFormat="1" ht="12" customHeight="1">
      <c r="A84" s="433" t="s">
        <v>328</v>
      </c>
      <c r="B84" s="410" t="s">
        <v>329</v>
      </c>
      <c r="C84" s="295"/>
    </row>
    <row r="85" spans="1:3" s="89" customFormat="1" ht="12" customHeight="1">
      <c r="A85" s="433" t="s">
        <v>330</v>
      </c>
      <c r="B85" s="410" t="s">
        <v>331</v>
      </c>
      <c r="C85" s="295"/>
    </row>
    <row r="86" spans="1:3" s="88" customFormat="1" ht="12" customHeight="1" thickBot="1">
      <c r="A86" s="434" t="s">
        <v>332</v>
      </c>
      <c r="B86" s="411" t="s">
        <v>333</v>
      </c>
      <c r="C86" s="295"/>
    </row>
    <row r="87" spans="1:3" s="88" customFormat="1" ht="12" customHeight="1" thickBot="1">
      <c r="A87" s="431" t="s">
        <v>334</v>
      </c>
      <c r="B87" s="285" t="s">
        <v>475</v>
      </c>
      <c r="C87" s="454"/>
    </row>
    <row r="88" spans="1:3" s="88" customFormat="1" ht="12" customHeight="1" thickBot="1">
      <c r="A88" s="431" t="s">
        <v>507</v>
      </c>
      <c r="B88" s="285" t="s">
        <v>335</v>
      </c>
      <c r="C88" s="454"/>
    </row>
    <row r="89" spans="1:3" s="88" customFormat="1" ht="12" customHeight="1" thickBot="1">
      <c r="A89" s="431" t="s">
        <v>508</v>
      </c>
      <c r="B89" s="416" t="s">
        <v>478</v>
      </c>
      <c r="C89" s="296">
        <f>+C66+C70+C75+C78+C82+C88+C87</f>
        <v>0</v>
      </c>
    </row>
    <row r="90" spans="1:3" s="88" customFormat="1" ht="12" customHeight="1" thickBot="1">
      <c r="A90" s="435" t="s">
        <v>509</v>
      </c>
      <c r="B90" s="417" t="s">
        <v>510</v>
      </c>
      <c r="C90" s="296">
        <f>+C65+C89</f>
        <v>0</v>
      </c>
    </row>
    <row r="91" spans="1:3" s="89" customFormat="1" ht="15.2" customHeight="1" thickBot="1">
      <c r="A91" s="229"/>
      <c r="B91" s="230"/>
      <c r="C91" s="355"/>
    </row>
    <row r="92" spans="1:3" s="60" customFormat="1" ht="16.5" customHeight="1" thickBot="1">
      <c r="A92" s="233"/>
      <c r="B92" s="234" t="s">
        <v>57</v>
      </c>
      <c r="C92" s="357"/>
    </row>
    <row r="93" spans="1:3" s="90" customFormat="1" ht="12" customHeight="1" thickBot="1">
      <c r="A93" s="402" t="s">
        <v>18</v>
      </c>
      <c r="B93" s="28" t="s">
        <v>514</v>
      </c>
      <c r="C93" s="289">
        <f>+C94+C95+C96+C97+C98+C111</f>
        <v>0</v>
      </c>
    </row>
    <row r="94" spans="1:3" ht="12" customHeight="1">
      <c r="A94" s="436" t="s">
        <v>98</v>
      </c>
      <c r="B94" s="10" t="s">
        <v>49</v>
      </c>
      <c r="C94" s="291"/>
    </row>
    <row r="95" spans="1:3" ht="12" customHeight="1">
      <c r="A95" s="429" t="s">
        <v>99</v>
      </c>
      <c r="B95" s="8" t="s">
        <v>183</v>
      </c>
      <c r="C95" s="292"/>
    </row>
    <row r="96" spans="1:3" ht="12" customHeight="1">
      <c r="A96" s="429" t="s">
        <v>100</v>
      </c>
      <c r="B96" s="8" t="s">
        <v>140</v>
      </c>
      <c r="C96" s="294"/>
    </row>
    <row r="97" spans="1:3" ht="12" customHeight="1">
      <c r="A97" s="429" t="s">
        <v>101</v>
      </c>
      <c r="B97" s="11" t="s">
        <v>184</v>
      </c>
      <c r="C97" s="294"/>
    </row>
    <row r="98" spans="1:3" ht="12" customHeight="1">
      <c r="A98" s="429" t="s">
        <v>112</v>
      </c>
      <c r="B98" s="19" t="s">
        <v>185</v>
      </c>
      <c r="C98" s="294"/>
    </row>
    <row r="99" spans="1:3" ht="12" customHeight="1">
      <c r="A99" s="429" t="s">
        <v>102</v>
      </c>
      <c r="B99" s="8" t="s">
        <v>511</v>
      </c>
      <c r="C99" s="294"/>
    </row>
    <row r="100" spans="1:3" ht="12" customHeight="1">
      <c r="A100" s="429" t="s">
        <v>103</v>
      </c>
      <c r="B100" s="136" t="s">
        <v>441</v>
      </c>
      <c r="C100" s="294"/>
    </row>
    <row r="101" spans="1:3" ht="12" customHeight="1">
      <c r="A101" s="429" t="s">
        <v>113</v>
      </c>
      <c r="B101" s="136" t="s">
        <v>440</v>
      </c>
      <c r="C101" s="294"/>
    </row>
    <row r="102" spans="1:3" ht="12" customHeight="1">
      <c r="A102" s="429" t="s">
        <v>114</v>
      </c>
      <c r="B102" s="136" t="s">
        <v>351</v>
      </c>
      <c r="C102" s="294"/>
    </row>
    <row r="103" spans="1:3" ht="12" customHeight="1">
      <c r="A103" s="429" t="s">
        <v>115</v>
      </c>
      <c r="B103" s="137" t="s">
        <v>352</v>
      </c>
      <c r="C103" s="294"/>
    </row>
    <row r="104" spans="1:3" ht="12" customHeight="1">
      <c r="A104" s="429" t="s">
        <v>116</v>
      </c>
      <c r="B104" s="137" t="s">
        <v>353</v>
      </c>
      <c r="C104" s="294"/>
    </row>
    <row r="105" spans="1:3" ht="12" customHeight="1">
      <c r="A105" s="429" t="s">
        <v>118</v>
      </c>
      <c r="B105" s="136" t="s">
        <v>354</v>
      </c>
      <c r="C105" s="294"/>
    </row>
    <row r="106" spans="1:3" ht="12" customHeight="1">
      <c r="A106" s="429" t="s">
        <v>186</v>
      </c>
      <c r="B106" s="136" t="s">
        <v>355</v>
      </c>
      <c r="C106" s="294"/>
    </row>
    <row r="107" spans="1:3" ht="12" customHeight="1">
      <c r="A107" s="429" t="s">
        <v>349</v>
      </c>
      <c r="B107" s="137" t="s">
        <v>356</v>
      </c>
      <c r="C107" s="294"/>
    </row>
    <row r="108" spans="1:3" ht="12" customHeight="1">
      <c r="A108" s="437" t="s">
        <v>350</v>
      </c>
      <c r="B108" s="138" t="s">
        <v>357</v>
      </c>
      <c r="C108" s="294"/>
    </row>
    <row r="109" spans="1:3" ht="12" customHeight="1">
      <c r="A109" s="429" t="s">
        <v>438</v>
      </c>
      <c r="B109" s="138" t="s">
        <v>358</v>
      </c>
      <c r="C109" s="294"/>
    </row>
    <row r="110" spans="1:3" ht="12" customHeight="1">
      <c r="A110" s="429" t="s">
        <v>439</v>
      </c>
      <c r="B110" s="137" t="s">
        <v>359</v>
      </c>
      <c r="C110" s="292"/>
    </row>
    <row r="111" spans="1:3" ht="12" customHeight="1">
      <c r="A111" s="429" t="s">
        <v>443</v>
      </c>
      <c r="B111" s="11" t="s">
        <v>50</v>
      </c>
      <c r="C111" s="292"/>
    </row>
    <row r="112" spans="1:3" ht="12" customHeight="1">
      <c r="A112" s="430" t="s">
        <v>444</v>
      </c>
      <c r="B112" s="8" t="s">
        <v>512</v>
      </c>
      <c r="C112" s="294"/>
    </row>
    <row r="113" spans="1:3" ht="12" customHeight="1" thickBot="1">
      <c r="A113" s="438" t="s">
        <v>445</v>
      </c>
      <c r="B113" s="139" t="s">
        <v>513</v>
      </c>
      <c r="C113" s="298"/>
    </row>
    <row r="114" spans="1:3" ht="12" customHeight="1" thickBot="1">
      <c r="A114" s="32" t="s">
        <v>19</v>
      </c>
      <c r="B114" s="27" t="s">
        <v>360</v>
      </c>
      <c r="C114" s="290">
        <f>+C115+C117+C119</f>
        <v>0</v>
      </c>
    </row>
    <row r="115" spans="1:3" ht="12" customHeight="1">
      <c r="A115" s="428" t="s">
        <v>104</v>
      </c>
      <c r="B115" s="8" t="s">
        <v>230</v>
      </c>
      <c r="C115" s="293"/>
    </row>
    <row r="116" spans="1:3" ht="12" customHeight="1">
      <c r="A116" s="428" t="s">
        <v>105</v>
      </c>
      <c r="B116" s="12" t="s">
        <v>364</v>
      </c>
      <c r="C116" s="293"/>
    </row>
    <row r="117" spans="1:3" ht="12" customHeight="1">
      <c r="A117" s="428" t="s">
        <v>106</v>
      </c>
      <c r="B117" s="12" t="s">
        <v>187</v>
      </c>
      <c r="C117" s="292"/>
    </row>
    <row r="118" spans="1:3" ht="12" customHeight="1">
      <c r="A118" s="428" t="s">
        <v>107</v>
      </c>
      <c r="B118" s="12" t="s">
        <v>365</v>
      </c>
      <c r="C118" s="257"/>
    </row>
    <row r="119" spans="1:3" ht="12" customHeight="1">
      <c r="A119" s="428" t="s">
        <v>108</v>
      </c>
      <c r="B119" s="287" t="s">
        <v>232</v>
      </c>
      <c r="C119" s="257"/>
    </row>
    <row r="120" spans="1:3" ht="12" customHeight="1">
      <c r="A120" s="428" t="s">
        <v>117</v>
      </c>
      <c r="B120" s="286" t="s">
        <v>428</v>
      </c>
      <c r="C120" s="257"/>
    </row>
    <row r="121" spans="1:3" ht="12" customHeight="1">
      <c r="A121" s="428" t="s">
        <v>119</v>
      </c>
      <c r="B121" s="405" t="s">
        <v>370</v>
      </c>
      <c r="C121" s="257"/>
    </row>
    <row r="122" spans="1:3" ht="12" customHeight="1">
      <c r="A122" s="428" t="s">
        <v>188</v>
      </c>
      <c r="B122" s="137" t="s">
        <v>353</v>
      </c>
      <c r="C122" s="257"/>
    </row>
    <row r="123" spans="1:3" ht="12" customHeight="1">
      <c r="A123" s="428" t="s">
        <v>189</v>
      </c>
      <c r="B123" s="137" t="s">
        <v>369</v>
      </c>
      <c r="C123" s="257"/>
    </row>
    <row r="124" spans="1:3" ht="12" customHeight="1">
      <c r="A124" s="428" t="s">
        <v>190</v>
      </c>
      <c r="B124" s="137" t="s">
        <v>368</v>
      </c>
      <c r="C124" s="257"/>
    </row>
    <row r="125" spans="1:3" ht="12" customHeight="1">
      <c r="A125" s="428" t="s">
        <v>361</v>
      </c>
      <c r="B125" s="137" t="s">
        <v>356</v>
      </c>
      <c r="C125" s="257"/>
    </row>
    <row r="126" spans="1:3" ht="12" customHeight="1">
      <c r="A126" s="428" t="s">
        <v>362</v>
      </c>
      <c r="B126" s="137" t="s">
        <v>367</v>
      </c>
      <c r="C126" s="257"/>
    </row>
    <row r="127" spans="1:3" ht="12" customHeight="1" thickBot="1">
      <c r="A127" s="437" t="s">
        <v>363</v>
      </c>
      <c r="B127" s="137" t="s">
        <v>366</v>
      </c>
      <c r="C127" s="259"/>
    </row>
    <row r="128" spans="1:3" ht="12" customHeight="1" thickBot="1">
      <c r="A128" s="32" t="s">
        <v>20</v>
      </c>
      <c r="B128" s="118" t="s">
        <v>448</v>
      </c>
      <c r="C128" s="290">
        <f>+C93+C114</f>
        <v>0</v>
      </c>
    </row>
    <row r="129" spans="1:11" ht="12" customHeight="1" thickBot="1">
      <c r="A129" s="32" t="s">
        <v>21</v>
      </c>
      <c r="B129" s="118" t="s">
        <v>449</v>
      </c>
      <c r="C129" s="290">
        <f>+C130+C131+C132</f>
        <v>0</v>
      </c>
    </row>
    <row r="130" spans="1:11" s="90" customFormat="1" ht="12" customHeight="1">
      <c r="A130" s="428" t="s">
        <v>268</v>
      </c>
      <c r="B130" s="9" t="s">
        <v>517</v>
      </c>
      <c r="C130" s="257"/>
    </row>
    <row r="131" spans="1:11" ht="12" customHeight="1">
      <c r="A131" s="428" t="s">
        <v>269</v>
      </c>
      <c r="B131" s="9" t="s">
        <v>457</v>
      </c>
      <c r="C131" s="257"/>
    </row>
    <row r="132" spans="1:11" ht="12" customHeight="1" thickBot="1">
      <c r="A132" s="437" t="s">
        <v>270</v>
      </c>
      <c r="B132" s="7" t="s">
        <v>516</v>
      </c>
      <c r="C132" s="257"/>
    </row>
    <row r="133" spans="1:11" ht="12" customHeight="1" thickBot="1">
      <c r="A133" s="32" t="s">
        <v>22</v>
      </c>
      <c r="B133" s="118" t="s">
        <v>450</v>
      </c>
      <c r="C133" s="290">
        <f>+C134+C135+C136+C137+C138+C139</f>
        <v>0</v>
      </c>
    </row>
    <row r="134" spans="1:11" ht="12" customHeight="1">
      <c r="A134" s="428" t="s">
        <v>91</v>
      </c>
      <c r="B134" s="9" t="s">
        <v>459</v>
      </c>
      <c r="C134" s="257"/>
    </row>
    <row r="135" spans="1:11" ht="12" customHeight="1">
      <c r="A135" s="428" t="s">
        <v>92</v>
      </c>
      <c r="B135" s="9" t="s">
        <v>451</v>
      </c>
      <c r="C135" s="257"/>
    </row>
    <row r="136" spans="1:11" ht="12" customHeight="1">
      <c r="A136" s="428" t="s">
        <v>93</v>
      </c>
      <c r="B136" s="9" t="s">
        <v>452</v>
      </c>
      <c r="C136" s="257"/>
    </row>
    <row r="137" spans="1:11" ht="12" customHeight="1">
      <c r="A137" s="428" t="s">
        <v>175</v>
      </c>
      <c r="B137" s="9" t="s">
        <v>515</v>
      </c>
      <c r="C137" s="257"/>
    </row>
    <row r="138" spans="1:11" ht="12" customHeight="1">
      <c r="A138" s="428" t="s">
        <v>176</v>
      </c>
      <c r="B138" s="9" t="s">
        <v>454</v>
      </c>
      <c r="C138" s="257"/>
    </row>
    <row r="139" spans="1:11" s="90" customFormat="1" ht="12" customHeight="1" thickBot="1">
      <c r="A139" s="437" t="s">
        <v>177</v>
      </c>
      <c r="B139" s="7" t="s">
        <v>455</v>
      </c>
      <c r="C139" s="257"/>
    </row>
    <row r="140" spans="1:11" ht="12" customHeight="1" thickBot="1">
      <c r="A140" s="32" t="s">
        <v>23</v>
      </c>
      <c r="B140" s="118" t="s">
        <v>541</v>
      </c>
      <c r="C140" s="296">
        <f>+C141+C142+C144+C145+C143</f>
        <v>0</v>
      </c>
      <c r="K140" s="240"/>
    </row>
    <row r="141" spans="1:11">
      <c r="A141" s="428" t="s">
        <v>94</v>
      </c>
      <c r="B141" s="9" t="s">
        <v>371</v>
      </c>
      <c r="C141" s="257"/>
    </row>
    <row r="142" spans="1:11" ht="12" customHeight="1">
      <c r="A142" s="428" t="s">
        <v>95</v>
      </c>
      <c r="B142" s="9" t="s">
        <v>372</v>
      </c>
      <c r="C142" s="257"/>
    </row>
    <row r="143" spans="1:11" s="90" customFormat="1" ht="12" customHeight="1">
      <c r="A143" s="428" t="s">
        <v>288</v>
      </c>
      <c r="B143" s="9" t="s">
        <v>540</v>
      </c>
      <c r="C143" s="257"/>
    </row>
    <row r="144" spans="1:11" s="90" customFormat="1" ht="12" customHeight="1">
      <c r="A144" s="428" t="s">
        <v>289</v>
      </c>
      <c r="B144" s="9" t="s">
        <v>464</v>
      </c>
      <c r="C144" s="257"/>
    </row>
    <row r="145" spans="1:3" s="90" customFormat="1" ht="12" customHeight="1" thickBot="1">
      <c r="A145" s="437" t="s">
        <v>290</v>
      </c>
      <c r="B145" s="7" t="s">
        <v>390</v>
      </c>
      <c r="C145" s="257"/>
    </row>
    <row r="146" spans="1:3" s="90" customFormat="1" ht="12" customHeight="1" thickBot="1">
      <c r="A146" s="32" t="s">
        <v>24</v>
      </c>
      <c r="B146" s="118" t="s">
        <v>465</v>
      </c>
      <c r="C146" s="299">
        <f>+C147+C148+C149+C150+C151</f>
        <v>0</v>
      </c>
    </row>
    <row r="147" spans="1:3" s="90" customFormat="1" ht="12" customHeight="1">
      <c r="A147" s="428" t="s">
        <v>96</v>
      </c>
      <c r="B147" s="9" t="s">
        <v>460</v>
      </c>
      <c r="C147" s="257"/>
    </row>
    <row r="148" spans="1:3" s="90" customFormat="1" ht="12" customHeight="1">
      <c r="A148" s="428" t="s">
        <v>97</v>
      </c>
      <c r="B148" s="9" t="s">
        <v>467</v>
      </c>
      <c r="C148" s="257"/>
    </row>
    <row r="149" spans="1:3" s="90" customFormat="1" ht="12" customHeight="1">
      <c r="A149" s="428" t="s">
        <v>300</v>
      </c>
      <c r="B149" s="9" t="s">
        <v>462</v>
      </c>
      <c r="C149" s="257"/>
    </row>
    <row r="150" spans="1:3" ht="12.75" customHeight="1">
      <c r="A150" s="428" t="s">
        <v>301</v>
      </c>
      <c r="B150" s="9" t="s">
        <v>518</v>
      </c>
      <c r="C150" s="257"/>
    </row>
    <row r="151" spans="1:3" ht="12.75" customHeight="1" thickBot="1">
      <c r="A151" s="437" t="s">
        <v>466</v>
      </c>
      <c r="B151" s="7" t="s">
        <v>469</v>
      </c>
      <c r="C151" s="259"/>
    </row>
    <row r="152" spans="1:3" ht="12.75" customHeight="1" thickBot="1">
      <c r="A152" s="479" t="s">
        <v>25</v>
      </c>
      <c r="B152" s="118" t="s">
        <v>470</v>
      </c>
      <c r="C152" s="299"/>
    </row>
    <row r="153" spans="1:3" ht="12" customHeight="1" thickBot="1">
      <c r="A153" s="479" t="s">
        <v>26</v>
      </c>
      <c r="B153" s="118" t="s">
        <v>471</v>
      </c>
      <c r="C153" s="299"/>
    </row>
    <row r="154" spans="1:3" ht="15.2" customHeight="1" thickBot="1">
      <c r="A154" s="32" t="s">
        <v>27</v>
      </c>
      <c r="B154" s="118" t="s">
        <v>473</v>
      </c>
      <c r="C154" s="419">
        <f>+C129+C133+C140+C146+C152+C153</f>
        <v>0</v>
      </c>
    </row>
    <row r="155" spans="1:3" ht="13.5" thickBot="1">
      <c r="A155" s="439" t="s">
        <v>28</v>
      </c>
      <c r="B155" s="373" t="s">
        <v>472</v>
      </c>
      <c r="C155" s="419">
        <f>+C128+C154</f>
        <v>0</v>
      </c>
    </row>
    <row r="156" spans="1:3" ht="15.2" customHeight="1" thickBot="1">
      <c r="A156" s="381"/>
      <c r="B156" s="382"/>
      <c r="C156" s="615">
        <f>C90-C155</f>
        <v>0</v>
      </c>
    </row>
    <row r="157" spans="1:3" ht="14.45" customHeight="1" thickBot="1">
      <c r="A157" s="238" t="s">
        <v>519</v>
      </c>
      <c r="B157" s="239"/>
      <c r="C157" s="115"/>
    </row>
    <row r="158" spans="1:3" ht="13.5" thickBot="1">
      <c r="A158" s="238" t="s">
        <v>206</v>
      </c>
      <c r="B158" s="239"/>
      <c r="C158" s="115"/>
    </row>
    <row r="159" spans="1:3">
      <c r="A159" s="612"/>
      <c r="B159" s="613"/>
      <c r="C159" s="614"/>
    </row>
    <row r="160" spans="1:3">
      <c r="A160" s="612"/>
      <c r="B160" s="613"/>
    </row>
    <row r="161" spans="1:3">
      <c r="A161" s="612"/>
      <c r="B161" s="613"/>
      <c r="C161" s="614"/>
    </row>
    <row r="162" spans="1:3">
      <c r="A162" s="612"/>
      <c r="B162" s="613"/>
      <c r="C162" s="614"/>
    </row>
    <row r="163" spans="1:3">
      <c r="A163" s="612"/>
      <c r="B163" s="613"/>
      <c r="C163" s="614"/>
    </row>
    <row r="164" spans="1:3">
      <c r="A164" s="612"/>
      <c r="B164" s="613"/>
      <c r="C164" s="614"/>
    </row>
    <row r="165" spans="1:3">
      <c r="A165" s="612"/>
      <c r="B165" s="613"/>
      <c r="C165" s="614"/>
    </row>
    <row r="166" spans="1:3">
      <c r="A166" s="612"/>
      <c r="B166" s="613"/>
      <c r="C166" s="614"/>
    </row>
    <row r="167" spans="1:3">
      <c r="A167" s="612"/>
      <c r="B167" s="613"/>
      <c r="C167" s="614"/>
    </row>
    <row r="168" spans="1:3">
      <c r="A168" s="612"/>
      <c r="B168" s="613"/>
      <c r="C168" s="614"/>
    </row>
    <row r="169" spans="1:3">
      <c r="A169" s="612"/>
      <c r="B169" s="613"/>
      <c r="C169" s="614"/>
    </row>
    <row r="170" spans="1:3">
      <c r="A170" s="612"/>
      <c r="B170" s="613"/>
      <c r="C170" s="614"/>
    </row>
    <row r="171" spans="1:3">
      <c r="A171" s="612"/>
      <c r="B171" s="613"/>
      <c r="C171" s="614"/>
    </row>
    <row r="172" spans="1:3">
      <c r="A172" s="612"/>
      <c r="B172" s="613"/>
      <c r="C172" s="614"/>
    </row>
    <row r="173" spans="1:3">
      <c r="A173" s="612"/>
      <c r="B173" s="613"/>
      <c r="C173" s="614"/>
    </row>
    <row r="174" spans="1:3">
      <c r="A174" s="612"/>
      <c r="B174" s="613"/>
      <c r="C174" s="614"/>
    </row>
    <row r="175" spans="1:3">
      <c r="A175" s="612"/>
      <c r="B175" s="613"/>
      <c r="C175" s="614"/>
    </row>
    <row r="176" spans="1:3">
      <c r="A176" s="612"/>
      <c r="B176" s="613"/>
      <c r="C176" s="614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  <rowBreaks count="1" manualBreakCount="1">
    <brk id="90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>
  <sheetPr>
    <tabColor rgb="FF92D050"/>
  </sheetPr>
  <dimension ref="A1:K83"/>
  <sheetViews>
    <sheetView topLeftCell="A52" zoomScale="120" zoomScaleNormal="120" workbookViewId="0">
      <selection activeCell="J5" sqref="J5"/>
    </sheetView>
  </sheetViews>
  <sheetFormatPr defaultRowHeight="12.75"/>
  <cols>
    <col min="1" max="1" width="13.83203125" style="236" customWidth="1"/>
    <col min="2" max="2" width="79.1640625" style="237" customWidth="1"/>
    <col min="3" max="3" width="18.33203125" style="237" customWidth="1"/>
    <col min="4" max="4" width="14.83203125" style="237" customWidth="1"/>
    <col min="5" max="5" width="12.6640625" style="237" customWidth="1"/>
    <col min="6" max="6" width="13.5" style="237" customWidth="1"/>
    <col min="7" max="7" width="14" style="237" customWidth="1"/>
    <col min="8" max="8" width="13.6640625" style="237" customWidth="1"/>
    <col min="9" max="9" width="11.83203125" style="237" customWidth="1"/>
    <col min="10" max="10" width="14.1640625" style="237" customWidth="1"/>
    <col min="11" max="11" width="12.5" style="237" customWidth="1"/>
    <col min="12" max="16384" width="9.33203125" style="237"/>
  </cols>
  <sheetData>
    <row r="1" spans="1:11" s="217" customFormat="1" ht="21.2" customHeight="1" thickBot="1">
      <c r="A1" s="593"/>
      <c r="B1" s="594"/>
      <c r="C1" s="588" t="str">
        <f ca="1">CONCATENATE("9.2. melléklet ",ALAPADATOK!A7," ",ALAPADATOK!B7," ",ALAPADATOK!C7," ",ALAPADATOK!D7," ",ALAPADATOK!E7," ",ALAPADATOK!F7," ",ALAPADATOK!G7," ",ALAPADATOK!H7)</f>
        <v>9.2. melléklet a … / 2019 ( … ) önkormányzati rendelethez</v>
      </c>
    </row>
    <row r="2" spans="1:11" s="448" customFormat="1" ht="36">
      <c r="A2" s="595" t="s">
        <v>204</v>
      </c>
      <c r="B2" s="596" t="str">
        <f ca="1">CONCATENATE(ALAPADATOK!A11)</f>
        <v>Dabasi Polgármesteri Hivatal</v>
      </c>
      <c r="C2" s="616" t="s">
        <v>59</v>
      </c>
    </row>
    <row r="3" spans="1:11" s="448" customFormat="1" ht="24.75" thickBot="1">
      <c r="A3" s="617" t="s">
        <v>203</v>
      </c>
      <c r="B3" s="599" t="s">
        <v>398</v>
      </c>
      <c r="C3" s="618" t="s">
        <v>54</v>
      </c>
    </row>
    <row r="4" spans="1:11" s="449" customFormat="1" ht="15.75" customHeight="1" thickBot="1">
      <c r="A4" s="601"/>
      <c r="B4" s="601"/>
      <c r="C4" s="602" t="str">
        <f ca="1">KV_9.1.3.sz.mell!C4</f>
        <v/>
      </c>
    </row>
    <row r="5" spans="1:11" ht="60.75" thickBot="1">
      <c r="A5" s="603" t="s">
        <v>205</v>
      </c>
      <c r="B5" s="604" t="s">
        <v>563</v>
      </c>
      <c r="C5" s="619" t="s">
        <v>55</v>
      </c>
      <c r="D5" s="605" t="s">
        <v>743</v>
      </c>
      <c r="E5" s="605" t="s">
        <v>744</v>
      </c>
      <c r="F5" s="605" t="s">
        <v>754</v>
      </c>
      <c r="G5" s="605" t="s">
        <v>744</v>
      </c>
      <c r="H5" s="605" t="s">
        <v>811</v>
      </c>
      <c r="I5" s="605" t="s">
        <v>744</v>
      </c>
      <c r="J5" s="605" t="s">
        <v>828</v>
      </c>
      <c r="K5" s="605" t="s">
        <v>744</v>
      </c>
    </row>
    <row r="6" spans="1:11" s="450" customFormat="1" ht="12.95" customHeight="1" thickBot="1">
      <c r="A6" s="606"/>
      <c r="B6" s="607" t="s">
        <v>493</v>
      </c>
      <c r="C6" s="608" t="s">
        <v>494</v>
      </c>
      <c r="D6" s="720" t="s">
        <v>495</v>
      </c>
      <c r="E6" s="721" t="s">
        <v>497</v>
      </c>
      <c r="F6" s="720" t="s">
        <v>495</v>
      </c>
      <c r="G6" s="721" t="s">
        <v>497</v>
      </c>
      <c r="H6" s="720" t="s">
        <v>495</v>
      </c>
      <c r="I6" s="721" t="s">
        <v>497</v>
      </c>
      <c r="J6" s="720" t="s">
        <v>495</v>
      </c>
      <c r="K6" s="721" t="s">
        <v>497</v>
      </c>
    </row>
    <row r="7" spans="1:11" s="450" customFormat="1" ht="15.95" customHeight="1" thickBot="1">
      <c r="A7" s="223"/>
      <c r="B7" s="224" t="s">
        <v>56</v>
      </c>
      <c r="C7" s="225"/>
    </row>
    <row r="8" spans="1:11" s="361" customFormat="1" ht="12" customHeight="1" thickBot="1">
      <c r="A8" s="185" t="s">
        <v>18</v>
      </c>
      <c r="B8" s="226" t="s">
        <v>520</v>
      </c>
      <c r="C8" s="310">
        <f>SUM(C9:C19)</f>
        <v>3000000</v>
      </c>
      <c r="D8" s="710">
        <f>SUM(D9:D19)</f>
        <v>0</v>
      </c>
      <c r="E8" s="716">
        <f>SUM(C8+D8)</f>
        <v>3000000</v>
      </c>
      <c r="F8" s="710">
        <f>SUM(F9:F19)</f>
        <v>8875000</v>
      </c>
      <c r="G8" s="716">
        <f>SUM(E8+F8)</f>
        <v>11875000</v>
      </c>
      <c r="H8" s="710">
        <f>SUM(H9:H19)</f>
        <v>0</v>
      </c>
      <c r="I8" s="716">
        <f>SUM(G8+H8)</f>
        <v>11875000</v>
      </c>
      <c r="J8" s="710">
        <f>SUM(J9:J19)</f>
        <v>0</v>
      </c>
      <c r="K8" s="716">
        <f>SUM(I8+J8)</f>
        <v>11875000</v>
      </c>
    </row>
    <row r="9" spans="1:11" s="361" customFormat="1" ht="12" customHeight="1">
      <c r="A9" s="443" t="s">
        <v>98</v>
      </c>
      <c r="B9" s="10" t="s">
        <v>277</v>
      </c>
      <c r="C9" s="351"/>
      <c r="D9" s="709"/>
      <c r="E9" s="713">
        <f t="shared" ref="E9:E42" si="0">SUM(C9+D9)</f>
        <v>0</v>
      </c>
      <c r="F9" s="709"/>
      <c r="G9" s="713">
        <f t="shared" ref="G9:G42" si="1">SUM(E9+F9)</f>
        <v>0</v>
      </c>
      <c r="H9" s="709"/>
      <c r="I9" s="713">
        <f t="shared" ref="I9:I42" si="2">SUM(G9+H9)</f>
        <v>0</v>
      </c>
      <c r="J9" s="709"/>
      <c r="K9" s="713">
        <f t="shared" ref="K9:K42" si="3">SUM(I9+J9)</f>
        <v>0</v>
      </c>
    </row>
    <row r="10" spans="1:11" s="361" customFormat="1" ht="12" customHeight="1">
      <c r="A10" s="444" t="s">
        <v>99</v>
      </c>
      <c r="B10" s="8" t="s">
        <v>278</v>
      </c>
      <c r="C10" s="308"/>
      <c r="D10" s="707"/>
      <c r="E10" s="714">
        <f t="shared" si="0"/>
        <v>0</v>
      </c>
      <c r="F10" s="707">
        <v>8875000</v>
      </c>
      <c r="G10" s="714">
        <f t="shared" si="1"/>
        <v>8875000</v>
      </c>
      <c r="H10" s="707"/>
      <c r="I10" s="714">
        <f t="shared" si="2"/>
        <v>8875000</v>
      </c>
      <c r="J10" s="707"/>
      <c r="K10" s="714">
        <f t="shared" si="3"/>
        <v>8875000</v>
      </c>
    </row>
    <row r="11" spans="1:11" s="361" customFormat="1" ht="12" customHeight="1">
      <c r="A11" s="444" t="s">
        <v>100</v>
      </c>
      <c r="B11" s="8" t="s">
        <v>279</v>
      </c>
      <c r="C11" s="308">
        <v>3000000</v>
      </c>
      <c r="D11" s="707"/>
      <c r="E11" s="714">
        <f t="shared" si="0"/>
        <v>3000000</v>
      </c>
      <c r="F11" s="707"/>
      <c r="G11" s="714">
        <f t="shared" si="1"/>
        <v>3000000</v>
      </c>
      <c r="H11" s="707"/>
      <c r="I11" s="714">
        <f t="shared" si="2"/>
        <v>3000000</v>
      </c>
      <c r="J11" s="707"/>
      <c r="K11" s="714">
        <f t="shared" si="3"/>
        <v>3000000</v>
      </c>
    </row>
    <row r="12" spans="1:11" s="361" customFormat="1" ht="12" customHeight="1">
      <c r="A12" s="444" t="s">
        <v>101</v>
      </c>
      <c r="B12" s="8" t="s">
        <v>280</v>
      </c>
      <c r="C12" s="308"/>
      <c r="D12" s="707"/>
      <c r="E12" s="714">
        <f t="shared" si="0"/>
        <v>0</v>
      </c>
      <c r="F12" s="707"/>
      <c r="G12" s="714">
        <f t="shared" si="1"/>
        <v>0</v>
      </c>
      <c r="H12" s="707"/>
      <c r="I12" s="714">
        <f t="shared" si="2"/>
        <v>0</v>
      </c>
      <c r="J12" s="707"/>
      <c r="K12" s="714">
        <f t="shared" si="3"/>
        <v>0</v>
      </c>
    </row>
    <row r="13" spans="1:11" s="361" customFormat="1" ht="12" customHeight="1">
      <c r="A13" s="444" t="s">
        <v>148</v>
      </c>
      <c r="B13" s="8" t="s">
        <v>281</v>
      </c>
      <c r="C13" s="308"/>
      <c r="D13" s="707"/>
      <c r="E13" s="714">
        <f t="shared" si="0"/>
        <v>0</v>
      </c>
      <c r="F13" s="707"/>
      <c r="G13" s="714">
        <f t="shared" si="1"/>
        <v>0</v>
      </c>
      <c r="H13" s="707"/>
      <c r="I13" s="714">
        <f t="shared" si="2"/>
        <v>0</v>
      </c>
      <c r="J13" s="707"/>
      <c r="K13" s="714">
        <f t="shared" si="3"/>
        <v>0</v>
      </c>
    </row>
    <row r="14" spans="1:11" s="361" customFormat="1" ht="12" customHeight="1">
      <c r="A14" s="444" t="s">
        <v>102</v>
      </c>
      <c r="B14" s="8" t="s">
        <v>399</v>
      </c>
      <c r="C14" s="308"/>
      <c r="D14" s="707"/>
      <c r="E14" s="714">
        <f t="shared" si="0"/>
        <v>0</v>
      </c>
      <c r="F14" s="707"/>
      <c r="G14" s="714">
        <f t="shared" si="1"/>
        <v>0</v>
      </c>
      <c r="H14" s="707"/>
      <c r="I14" s="714">
        <f t="shared" si="2"/>
        <v>0</v>
      </c>
      <c r="J14" s="707"/>
      <c r="K14" s="714">
        <f t="shared" si="3"/>
        <v>0</v>
      </c>
    </row>
    <row r="15" spans="1:11" s="361" customFormat="1" ht="12" customHeight="1">
      <c r="A15" s="444" t="s">
        <v>103</v>
      </c>
      <c r="B15" s="7" t="s">
        <v>400</v>
      </c>
      <c r="C15" s="308"/>
      <c r="D15" s="707"/>
      <c r="E15" s="714">
        <f t="shared" si="0"/>
        <v>0</v>
      </c>
      <c r="F15" s="707"/>
      <c r="G15" s="714">
        <f t="shared" si="1"/>
        <v>0</v>
      </c>
      <c r="H15" s="707"/>
      <c r="I15" s="714">
        <f t="shared" si="2"/>
        <v>0</v>
      </c>
      <c r="J15" s="707"/>
      <c r="K15" s="714">
        <f t="shared" si="3"/>
        <v>0</v>
      </c>
    </row>
    <row r="16" spans="1:11" s="361" customFormat="1" ht="12" customHeight="1">
      <c r="A16" s="444" t="s">
        <v>113</v>
      </c>
      <c r="B16" s="8" t="s">
        <v>284</v>
      </c>
      <c r="C16" s="352"/>
      <c r="D16" s="707"/>
      <c r="E16" s="714">
        <f t="shared" si="0"/>
        <v>0</v>
      </c>
      <c r="F16" s="707"/>
      <c r="G16" s="714">
        <f t="shared" si="1"/>
        <v>0</v>
      </c>
      <c r="H16" s="707"/>
      <c r="I16" s="714">
        <f t="shared" si="2"/>
        <v>0</v>
      </c>
      <c r="J16" s="707"/>
      <c r="K16" s="714">
        <f t="shared" si="3"/>
        <v>0</v>
      </c>
    </row>
    <row r="17" spans="1:11" s="451" customFormat="1" ht="12" customHeight="1">
      <c r="A17" s="444" t="s">
        <v>114</v>
      </c>
      <c r="B17" s="8" t="s">
        <v>285</v>
      </c>
      <c r="C17" s="308"/>
      <c r="D17" s="707"/>
      <c r="E17" s="714">
        <f t="shared" si="0"/>
        <v>0</v>
      </c>
      <c r="F17" s="707"/>
      <c r="G17" s="714">
        <f t="shared" si="1"/>
        <v>0</v>
      </c>
      <c r="H17" s="707"/>
      <c r="I17" s="714">
        <f t="shared" si="2"/>
        <v>0</v>
      </c>
      <c r="J17" s="707"/>
      <c r="K17" s="714">
        <f t="shared" si="3"/>
        <v>0</v>
      </c>
    </row>
    <row r="18" spans="1:11" s="451" customFormat="1" ht="12" customHeight="1">
      <c r="A18" s="444" t="s">
        <v>115</v>
      </c>
      <c r="B18" s="8" t="s">
        <v>436</v>
      </c>
      <c r="C18" s="309"/>
      <c r="D18" s="707"/>
      <c r="E18" s="714">
        <f t="shared" si="0"/>
        <v>0</v>
      </c>
      <c r="F18" s="707"/>
      <c r="G18" s="714">
        <f t="shared" si="1"/>
        <v>0</v>
      </c>
      <c r="H18" s="707"/>
      <c r="I18" s="714">
        <f t="shared" si="2"/>
        <v>0</v>
      </c>
      <c r="J18" s="707"/>
      <c r="K18" s="714">
        <f t="shared" si="3"/>
        <v>0</v>
      </c>
    </row>
    <row r="19" spans="1:11" s="451" customFormat="1" ht="12" customHeight="1" thickBot="1">
      <c r="A19" s="444" t="s">
        <v>116</v>
      </c>
      <c r="B19" s="7" t="s">
        <v>286</v>
      </c>
      <c r="C19" s="309"/>
      <c r="D19" s="708"/>
      <c r="E19" s="715">
        <f t="shared" si="0"/>
        <v>0</v>
      </c>
      <c r="F19" s="708"/>
      <c r="G19" s="715">
        <f t="shared" si="1"/>
        <v>0</v>
      </c>
      <c r="H19" s="708"/>
      <c r="I19" s="715">
        <f t="shared" si="2"/>
        <v>0</v>
      </c>
      <c r="J19" s="708"/>
      <c r="K19" s="715">
        <f t="shared" si="3"/>
        <v>0</v>
      </c>
    </row>
    <row r="20" spans="1:11" s="361" customFormat="1" ht="12" customHeight="1" thickBot="1">
      <c r="A20" s="185" t="s">
        <v>19</v>
      </c>
      <c r="B20" s="226" t="s">
        <v>401</v>
      </c>
      <c r="C20" s="310">
        <f>SUM(C21:C23)</f>
        <v>0</v>
      </c>
      <c r="D20" s="710">
        <f>SUM(D21:D23)</f>
        <v>4633420</v>
      </c>
      <c r="E20" s="716">
        <f t="shared" si="0"/>
        <v>4633420</v>
      </c>
      <c r="F20" s="710">
        <f>SUM(F21:F23)</f>
        <v>168894</v>
      </c>
      <c r="G20" s="716">
        <f t="shared" si="1"/>
        <v>4802314</v>
      </c>
      <c r="H20" s="710">
        <f>SUM(H21:H23)</f>
        <v>4801081</v>
      </c>
      <c r="I20" s="716">
        <f t="shared" si="2"/>
        <v>9603395</v>
      </c>
      <c r="J20" s="710">
        <f>SUM(J21:J23)</f>
        <v>920484</v>
      </c>
      <c r="K20" s="716">
        <f t="shared" si="3"/>
        <v>10523879</v>
      </c>
    </row>
    <row r="21" spans="1:11" s="451" customFormat="1" ht="12" customHeight="1">
      <c r="A21" s="444" t="s">
        <v>104</v>
      </c>
      <c r="B21" s="9" t="s">
        <v>258</v>
      </c>
      <c r="C21" s="308"/>
      <c r="D21" s="709"/>
      <c r="E21" s="713">
        <f t="shared" si="0"/>
        <v>0</v>
      </c>
      <c r="F21" s="709"/>
      <c r="G21" s="713">
        <f t="shared" si="1"/>
        <v>0</v>
      </c>
      <c r="H21" s="709"/>
      <c r="I21" s="713">
        <f t="shared" si="2"/>
        <v>0</v>
      </c>
      <c r="J21" s="709"/>
      <c r="K21" s="713">
        <f t="shared" si="3"/>
        <v>0</v>
      </c>
    </row>
    <row r="22" spans="1:11" s="451" customFormat="1" ht="12" customHeight="1">
      <c r="A22" s="444" t="s">
        <v>105</v>
      </c>
      <c r="B22" s="8" t="s">
        <v>402</v>
      </c>
      <c r="C22" s="308"/>
      <c r="D22" s="707"/>
      <c r="E22" s="714">
        <f t="shared" si="0"/>
        <v>0</v>
      </c>
      <c r="F22" s="707"/>
      <c r="G22" s="714">
        <f t="shared" si="1"/>
        <v>0</v>
      </c>
      <c r="H22" s="707"/>
      <c r="I22" s="714">
        <f t="shared" si="2"/>
        <v>0</v>
      </c>
      <c r="J22" s="707"/>
      <c r="K22" s="714">
        <f t="shared" si="3"/>
        <v>0</v>
      </c>
    </row>
    <row r="23" spans="1:11" s="451" customFormat="1" ht="12" customHeight="1">
      <c r="A23" s="444" t="s">
        <v>106</v>
      </c>
      <c r="B23" s="8" t="s">
        <v>403</v>
      </c>
      <c r="C23" s="308"/>
      <c r="D23" s="707">
        <v>4633420</v>
      </c>
      <c r="E23" s="714">
        <f t="shared" si="0"/>
        <v>4633420</v>
      </c>
      <c r="F23" s="707">
        <v>168894</v>
      </c>
      <c r="G23" s="714">
        <f t="shared" si="1"/>
        <v>4802314</v>
      </c>
      <c r="H23" s="707">
        <v>4801081</v>
      </c>
      <c r="I23" s="714">
        <f t="shared" si="2"/>
        <v>9603395</v>
      </c>
      <c r="J23" s="707">
        <v>920484</v>
      </c>
      <c r="K23" s="714">
        <f t="shared" si="3"/>
        <v>10523879</v>
      </c>
    </row>
    <row r="24" spans="1:11" s="451" customFormat="1" ht="12" customHeight="1" thickBot="1">
      <c r="A24" s="444" t="s">
        <v>107</v>
      </c>
      <c r="B24" s="8" t="s">
        <v>521</v>
      </c>
      <c r="C24" s="308"/>
      <c r="D24" s="708"/>
      <c r="E24" s="715">
        <f t="shared" si="0"/>
        <v>0</v>
      </c>
      <c r="F24" s="708"/>
      <c r="G24" s="715">
        <f t="shared" si="1"/>
        <v>0</v>
      </c>
      <c r="H24" s="708"/>
      <c r="I24" s="715">
        <f t="shared" si="2"/>
        <v>0</v>
      </c>
      <c r="J24" s="708"/>
      <c r="K24" s="715">
        <f t="shared" si="3"/>
        <v>0</v>
      </c>
    </row>
    <row r="25" spans="1:11" s="451" customFormat="1" ht="12" customHeight="1" thickBot="1">
      <c r="A25" s="193" t="s">
        <v>20</v>
      </c>
      <c r="B25" s="118" t="s">
        <v>174</v>
      </c>
      <c r="C25" s="336"/>
      <c r="D25" s="710"/>
      <c r="E25" s="712">
        <f t="shared" si="0"/>
        <v>0</v>
      </c>
      <c r="F25" s="710"/>
      <c r="G25" s="712">
        <f t="shared" si="1"/>
        <v>0</v>
      </c>
      <c r="H25" s="710"/>
      <c r="I25" s="712">
        <f t="shared" si="2"/>
        <v>0</v>
      </c>
      <c r="J25" s="710"/>
      <c r="K25" s="712">
        <f t="shared" si="3"/>
        <v>0</v>
      </c>
    </row>
    <row r="26" spans="1:11" s="451" customFormat="1" ht="12" customHeight="1" thickBot="1">
      <c r="A26" s="193" t="s">
        <v>21</v>
      </c>
      <c r="B26" s="118" t="s">
        <v>522</v>
      </c>
      <c r="C26" s="310">
        <f>+C27+C28+C29</f>
        <v>0</v>
      </c>
      <c r="D26" s="710"/>
      <c r="E26" s="712">
        <f t="shared" si="0"/>
        <v>0</v>
      </c>
      <c r="F26" s="710"/>
      <c r="G26" s="712">
        <f t="shared" si="1"/>
        <v>0</v>
      </c>
      <c r="H26" s="710"/>
      <c r="I26" s="712">
        <f t="shared" si="2"/>
        <v>0</v>
      </c>
      <c r="J26" s="710"/>
      <c r="K26" s="712">
        <f t="shared" si="3"/>
        <v>0</v>
      </c>
    </row>
    <row r="27" spans="1:11" s="451" customFormat="1" ht="12" customHeight="1">
      <c r="A27" s="445" t="s">
        <v>268</v>
      </c>
      <c r="B27" s="446" t="s">
        <v>263</v>
      </c>
      <c r="C27" s="69"/>
      <c r="D27" s="709"/>
      <c r="E27" s="713">
        <f t="shared" si="0"/>
        <v>0</v>
      </c>
      <c r="F27" s="709"/>
      <c r="G27" s="713">
        <f t="shared" si="1"/>
        <v>0</v>
      </c>
      <c r="H27" s="709"/>
      <c r="I27" s="713">
        <f t="shared" si="2"/>
        <v>0</v>
      </c>
      <c r="J27" s="709"/>
      <c r="K27" s="713">
        <f t="shared" si="3"/>
        <v>0</v>
      </c>
    </row>
    <row r="28" spans="1:11" s="451" customFormat="1" ht="12" customHeight="1">
      <c r="A28" s="445" t="s">
        <v>269</v>
      </c>
      <c r="B28" s="446" t="s">
        <v>402</v>
      </c>
      <c r="C28" s="308"/>
      <c r="D28" s="707"/>
      <c r="E28" s="714">
        <f t="shared" si="0"/>
        <v>0</v>
      </c>
      <c r="F28" s="707"/>
      <c r="G28" s="714">
        <f t="shared" si="1"/>
        <v>0</v>
      </c>
      <c r="H28" s="707"/>
      <c r="I28" s="714">
        <f t="shared" si="2"/>
        <v>0</v>
      </c>
      <c r="J28" s="707"/>
      <c r="K28" s="714">
        <f t="shared" si="3"/>
        <v>0</v>
      </c>
    </row>
    <row r="29" spans="1:11" s="451" customFormat="1" ht="12" customHeight="1">
      <c r="A29" s="445" t="s">
        <v>270</v>
      </c>
      <c r="B29" s="447" t="s">
        <v>405</v>
      </c>
      <c r="C29" s="308"/>
      <c r="D29" s="707"/>
      <c r="E29" s="714">
        <f t="shared" si="0"/>
        <v>0</v>
      </c>
      <c r="F29" s="707"/>
      <c r="G29" s="714">
        <f t="shared" si="1"/>
        <v>0</v>
      </c>
      <c r="H29" s="707"/>
      <c r="I29" s="714">
        <f t="shared" si="2"/>
        <v>0</v>
      </c>
      <c r="J29" s="707"/>
      <c r="K29" s="714">
        <f t="shared" si="3"/>
        <v>0</v>
      </c>
    </row>
    <row r="30" spans="1:11" s="451" customFormat="1" ht="12" customHeight="1" thickBot="1">
      <c r="A30" s="444" t="s">
        <v>271</v>
      </c>
      <c r="B30" s="135" t="s">
        <v>523</v>
      </c>
      <c r="C30" s="76"/>
      <c r="D30" s="708"/>
      <c r="E30" s="715">
        <f t="shared" si="0"/>
        <v>0</v>
      </c>
      <c r="F30" s="708"/>
      <c r="G30" s="715">
        <f t="shared" si="1"/>
        <v>0</v>
      </c>
      <c r="H30" s="708"/>
      <c r="I30" s="715">
        <f t="shared" si="2"/>
        <v>0</v>
      </c>
      <c r="J30" s="708"/>
      <c r="K30" s="715">
        <f t="shared" si="3"/>
        <v>0</v>
      </c>
    </row>
    <row r="31" spans="1:11" s="451" customFormat="1" ht="12" customHeight="1" thickBot="1">
      <c r="A31" s="193" t="s">
        <v>22</v>
      </c>
      <c r="B31" s="118" t="s">
        <v>406</v>
      </c>
      <c r="C31" s="310">
        <f>+C32+C33+C34</f>
        <v>0</v>
      </c>
      <c r="D31" s="710"/>
      <c r="E31" s="712">
        <f t="shared" si="0"/>
        <v>0</v>
      </c>
      <c r="F31" s="710"/>
      <c r="G31" s="712">
        <f t="shared" si="1"/>
        <v>0</v>
      </c>
      <c r="H31" s="710"/>
      <c r="I31" s="712">
        <f t="shared" si="2"/>
        <v>0</v>
      </c>
      <c r="J31" s="710"/>
      <c r="K31" s="712">
        <f t="shared" si="3"/>
        <v>0</v>
      </c>
    </row>
    <row r="32" spans="1:11" s="451" customFormat="1" ht="12" customHeight="1">
      <c r="A32" s="445" t="s">
        <v>91</v>
      </c>
      <c r="B32" s="446" t="s">
        <v>291</v>
      </c>
      <c r="C32" s="69"/>
      <c r="D32" s="709"/>
      <c r="E32" s="713">
        <f t="shared" si="0"/>
        <v>0</v>
      </c>
      <c r="F32" s="709"/>
      <c r="G32" s="713">
        <f t="shared" si="1"/>
        <v>0</v>
      </c>
      <c r="H32" s="709"/>
      <c r="I32" s="713">
        <f t="shared" si="2"/>
        <v>0</v>
      </c>
      <c r="J32" s="709"/>
      <c r="K32" s="713">
        <f t="shared" si="3"/>
        <v>0</v>
      </c>
    </row>
    <row r="33" spans="1:11" s="451" customFormat="1" ht="12" customHeight="1">
      <c r="A33" s="445" t="s">
        <v>92</v>
      </c>
      <c r="B33" s="447" t="s">
        <v>292</v>
      </c>
      <c r="C33" s="311"/>
      <c r="D33" s="707"/>
      <c r="E33" s="714">
        <f t="shared" si="0"/>
        <v>0</v>
      </c>
      <c r="F33" s="707"/>
      <c r="G33" s="714">
        <f t="shared" si="1"/>
        <v>0</v>
      </c>
      <c r="H33" s="707"/>
      <c r="I33" s="714">
        <f t="shared" si="2"/>
        <v>0</v>
      </c>
      <c r="J33" s="707"/>
      <c r="K33" s="714">
        <f t="shared" si="3"/>
        <v>0</v>
      </c>
    </row>
    <row r="34" spans="1:11" s="451" customFormat="1" ht="12" customHeight="1" thickBot="1">
      <c r="A34" s="444" t="s">
        <v>93</v>
      </c>
      <c r="B34" s="135" t="s">
        <v>293</v>
      </c>
      <c r="C34" s="76"/>
      <c r="D34" s="708"/>
      <c r="E34" s="715">
        <f t="shared" si="0"/>
        <v>0</v>
      </c>
      <c r="F34" s="708"/>
      <c r="G34" s="715">
        <f t="shared" si="1"/>
        <v>0</v>
      </c>
      <c r="H34" s="708"/>
      <c r="I34" s="715">
        <f t="shared" si="2"/>
        <v>0</v>
      </c>
      <c r="J34" s="708"/>
      <c r="K34" s="715">
        <f t="shared" si="3"/>
        <v>0</v>
      </c>
    </row>
    <row r="35" spans="1:11" s="361" customFormat="1" ht="12" customHeight="1" thickBot="1">
      <c r="A35" s="193" t="s">
        <v>23</v>
      </c>
      <c r="B35" s="118" t="s">
        <v>376</v>
      </c>
      <c r="C35" s="336"/>
      <c r="D35" s="710"/>
      <c r="E35" s="712">
        <f t="shared" si="0"/>
        <v>0</v>
      </c>
      <c r="F35" s="710"/>
      <c r="G35" s="712">
        <f t="shared" si="1"/>
        <v>0</v>
      </c>
      <c r="H35" s="710"/>
      <c r="I35" s="712">
        <f t="shared" si="2"/>
        <v>0</v>
      </c>
      <c r="J35" s="710"/>
      <c r="K35" s="712">
        <f t="shared" si="3"/>
        <v>0</v>
      </c>
    </row>
    <row r="36" spans="1:11" s="361" customFormat="1" ht="12" customHeight="1" thickBot="1">
      <c r="A36" s="193" t="s">
        <v>24</v>
      </c>
      <c r="B36" s="118" t="s">
        <v>407</v>
      </c>
      <c r="C36" s="353"/>
      <c r="D36" s="710"/>
      <c r="E36" s="712">
        <f t="shared" si="0"/>
        <v>0</v>
      </c>
      <c r="F36" s="710"/>
      <c r="G36" s="712">
        <f t="shared" si="1"/>
        <v>0</v>
      </c>
      <c r="H36" s="710"/>
      <c r="I36" s="712">
        <f t="shared" si="2"/>
        <v>0</v>
      </c>
      <c r="J36" s="710"/>
      <c r="K36" s="712">
        <f t="shared" si="3"/>
        <v>0</v>
      </c>
    </row>
    <row r="37" spans="1:11" s="361" customFormat="1" ht="12" customHeight="1" thickBot="1">
      <c r="A37" s="185" t="s">
        <v>25</v>
      </c>
      <c r="B37" s="118" t="s">
        <v>408</v>
      </c>
      <c r="C37" s="354">
        <f>+C8+C20+C25+C26+C31+C35+C36</f>
        <v>3000000</v>
      </c>
      <c r="D37" s="710">
        <f>SUM(D8+D20+D25+D26+D31+D35+D36)</f>
        <v>4633420</v>
      </c>
      <c r="E37" s="716">
        <f t="shared" si="0"/>
        <v>7633420</v>
      </c>
      <c r="F37" s="710">
        <f>SUM(F8+F20+F25+F26+F31+F35+F36)</f>
        <v>9043894</v>
      </c>
      <c r="G37" s="716">
        <f t="shared" si="1"/>
        <v>16677314</v>
      </c>
      <c r="H37" s="710">
        <f>SUM(H8+H20+H25+H26+H31+H35+H36)</f>
        <v>4801081</v>
      </c>
      <c r="I37" s="716">
        <f t="shared" si="2"/>
        <v>21478395</v>
      </c>
      <c r="J37" s="710">
        <f>SUM(J8+J20+J25+J26+J31+J35+J36)</f>
        <v>920484</v>
      </c>
      <c r="K37" s="716">
        <f t="shared" si="3"/>
        <v>22398879</v>
      </c>
    </row>
    <row r="38" spans="1:11" s="361" customFormat="1" ht="12" customHeight="1" thickBot="1">
      <c r="A38" s="227" t="s">
        <v>26</v>
      </c>
      <c r="B38" s="118" t="s">
        <v>409</v>
      </c>
      <c r="C38" s="354">
        <f>+C39+C40+C41</f>
        <v>262047290</v>
      </c>
      <c r="D38" s="710">
        <f>SUM(D39:D41)</f>
        <v>0</v>
      </c>
      <c r="E38" s="716">
        <f t="shared" si="0"/>
        <v>262047290</v>
      </c>
      <c r="F38" s="710">
        <f>SUM(F39:F41)</f>
        <v>43409406</v>
      </c>
      <c r="G38" s="716">
        <f t="shared" si="1"/>
        <v>305456696</v>
      </c>
      <c r="H38" s="710">
        <f>SUM(H39:H41)</f>
        <v>0</v>
      </c>
      <c r="I38" s="716">
        <f t="shared" si="2"/>
        <v>305456696</v>
      </c>
      <c r="J38" s="710">
        <f>SUM(J39:J41)</f>
        <v>637000</v>
      </c>
      <c r="K38" s="716">
        <f t="shared" si="3"/>
        <v>306093696</v>
      </c>
    </row>
    <row r="39" spans="1:11" s="361" customFormat="1" ht="12" customHeight="1">
      <c r="A39" s="445" t="s">
        <v>410</v>
      </c>
      <c r="B39" s="446" t="s">
        <v>236</v>
      </c>
      <c r="C39" s="69"/>
      <c r="D39" s="709"/>
      <c r="E39" s="713">
        <f t="shared" si="0"/>
        <v>0</v>
      </c>
      <c r="F39" s="709">
        <v>29428674</v>
      </c>
      <c r="G39" s="713">
        <f t="shared" si="1"/>
        <v>29428674</v>
      </c>
      <c r="H39" s="709"/>
      <c r="I39" s="713">
        <f t="shared" si="2"/>
        <v>29428674</v>
      </c>
      <c r="J39" s="709"/>
      <c r="K39" s="713">
        <f t="shared" si="3"/>
        <v>29428674</v>
      </c>
    </row>
    <row r="40" spans="1:11" s="361" customFormat="1" ht="12" customHeight="1">
      <c r="A40" s="445" t="s">
        <v>411</v>
      </c>
      <c r="B40" s="447" t="s">
        <v>2</v>
      </c>
      <c r="C40" s="311"/>
      <c r="D40" s="707"/>
      <c r="E40" s="714">
        <f t="shared" si="0"/>
        <v>0</v>
      </c>
      <c r="F40" s="707"/>
      <c r="G40" s="714">
        <f t="shared" si="1"/>
        <v>0</v>
      </c>
      <c r="H40" s="707"/>
      <c r="I40" s="714">
        <f t="shared" si="2"/>
        <v>0</v>
      </c>
      <c r="J40" s="707"/>
      <c r="K40" s="714">
        <f t="shared" si="3"/>
        <v>0</v>
      </c>
    </row>
    <row r="41" spans="1:11" s="451" customFormat="1" ht="12" customHeight="1" thickBot="1">
      <c r="A41" s="444" t="s">
        <v>412</v>
      </c>
      <c r="B41" s="135" t="s">
        <v>413</v>
      </c>
      <c r="C41" s="76">
        <v>262047290</v>
      </c>
      <c r="D41" s="708"/>
      <c r="E41" s="715">
        <f t="shared" si="0"/>
        <v>262047290</v>
      </c>
      <c r="F41" s="708">
        <v>13980732</v>
      </c>
      <c r="G41" s="715">
        <f t="shared" si="1"/>
        <v>276028022</v>
      </c>
      <c r="H41" s="708"/>
      <c r="I41" s="715">
        <f t="shared" si="2"/>
        <v>276028022</v>
      </c>
      <c r="J41" s="708">
        <v>637000</v>
      </c>
      <c r="K41" s="715">
        <f t="shared" si="3"/>
        <v>276665022</v>
      </c>
    </row>
    <row r="42" spans="1:11" s="451" customFormat="1" ht="15.2" customHeight="1" thickBot="1">
      <c r="A42" s="227" t="s">
        <v>27</v>
      </c>
      <c r="B42" s="228" t="s">
        <v>414</v>
      </c>
      <c r="C42" s="357">
        <f>+C37+C38</f>
        <v>265047290</v>
      </c>
      <c r="D42" s="710">
        <f>SUM(D37+D38)</f>
        <v>4633420</v>
      </c>
      <c r="E42" s="716">
        <f t="shared" si="0"/>
        <v>269680710</v>
      </c>
      <c r="F42" s="710">
        <f>SUM(F37+F38)</f>
        <v>52453300</v>
      </c>
      <c r="G42" s="716">
        <f t="shared" si="1"/>
        <v>322134010</v>
      </c>
      <c r="H42" s="710">
        <f>SUM(H37+H38)</f>
        <v>4801081</v>
      </c>
      <c r="I42" s="716">
        <f t="shared" si="2"/>
        <v>326935091</v>
      </c>
      <c r="J42" s="710">
        <f>SUM(J37+J38)</f>
        <v>1557484</v>
      </c>
      <c r="K42" s="716">
        <f t="shared" si="3"/>
        <v>328492575</v>
      </c>
    </row>
    <row r="43" spans="1:11" s="451" customFormat="1" ht="15.2" customHeight="1">
      <c r="A43" s="229"/>
      <c r="B43" s="230"/>
      <c r="C43" s="355"/>
    </row>
    <row r="44" spans="1:11" ht="13.5" thickBot="1">
      <c r="A44" s="231"/>
      <c r="B44" s="232"/>
      <c r="C44" s="356"/>
    </row>
    <row r="45" spans="1:11" s="450" customFormat="1" ht="16.5" customHeight="1" thickBot="1">
      <c r="A45" s="233"/>
      <c r="B45" s="234" t="s">
        <v>57</v>
      </c>
      <c r="C45" s="357"/>
      <c r="D45" s="705"/>
      <c r="E45" s="706"/>
      <c r="F45" s="705"/>
      <c r="G45" s="706"/>
      <c r="H45" s="705"/>
      <c r="I45" s="706"/>
      <c r="J45" s="705"/>
      <c r="K45" s="706"/>
    </row>
    <row r="46" spans="1:11" s="452" customFormat="1" ht="12" customHeight="1" thickBot="1">
      <c r="A46" s="193" t="s">
        <v>18</v>
      </c>
      <c r="B46" s="118" t="s">
        <v>415</v>
      </c>
      <c r="C46" s="310">
        <f>SUM(C47:C51)</f>
        <v>261047290</v>
      </c>
      <c r="D46" s="710">
        <f>SUM(D47:D51)</f>
        <v>4633420</v>
      </c>
      <c r="E46" s="716">
        <f>SUM(C46+D46)</f>
        <v>265680710</v>
      </c>
      <c r="F46" s="710">
        <f>SUM(F47:F51)</f>
        <v>48167810</v>
      </c>
      <c r="G46" s="716">
        <f>SUM(E46+F46)</f>
        <v>313848520</v>
      </c>
      <c r="H46" s="710">
        <f>SUM(H47:H51)</f>
        <v>4801081</v>
      </c>
      <c r="I46" s="716">
        <f>SUM(G46+H46)</f>
        <v>318649601</v>
      </c>
      <c r="J46" s="710">
        <f>SUM(J47:J51)</f>
        <v>457484</v>
      </c>
      <c r="K46" s="716">
        <f>SUM(I46+J46)</f>
        <v>319107085</v>
      </c>
    </row>
    <row r="47" spans="1:11" ht="12" customHeight="1">
      <c r="A47" s="444" t="s">
        <v>98</v>
      </c>
      <c r="B47" s="9" t="s">
        <v>49</v>
      </c>
      <c r="C47" s="69">
        <v>166898150</v>
      </c>
      <c r="D47" s="709">
        <v>3340800</v>
      </c>
      <c r="E47" s="717">
        <f>SUM(C47+D47)</f>
        <v>170238950</v>
      </c>
      <c r="F47" s="709">
        <v>19174246</v>
      </c>
      <c r="G47" s="717">
        <f>SUM(E47+F47)</f>
        <v>189413196</v>
      </c>
      <c r="H47" s="709">
        <v>3645646</v>
      </c>
      <c r="I47" s="717">
        <f>SUM(G47+H47)</f>
        <v>193058842</v>
      </c>
      <c r="J47" s="709">
        <v>480633</v>
      </c>
      <c r="K47" s="717">
        <f>SUM(I47+J47)</f>
        <v>193539475</v>
      </c>
    </row>
    <row r="48" spans="1:11" ht="12" customHeight="1">
      <c r="A48" s="444" t="s">
        <v>99</v>
      </c>
      <c r="B48" s="8" t="s">
        <v>183</v>
      </c>
      <c r="C48" s="72">
        <v>32545140</v>
      </c>
      <c r="D48" s="707">
        <v>683909</v>
      </c>
      <c r="E48" s="717">
        <f t="shared" ref="E48:E61" si="4">SUM(C48+D48)</f>
        <v>33229049</v>
      </c>
      <c r="F48" s="707">
        <v>1793702</v>
      </c>
      <c r="G48" s="717">
        <f t="shared" ref="G48:G61" si="5">SUM(E48+F48)</f>
        <v>35022751</v>
      </c>
      <c r="H48" s="707">
        <v>744435</v>
      </c>
      <c r="I48" s="717">
        <f t="shared" ref="I48:I61" si="6">SUM(G48+H48)</f>
        <v>35767186</v>
      </c>
      <c r="J48" s="707">
        <v>-5041</v>
      </c>
      <c r="K48" s="717">
        <f t="shared" ref="K48:K61" si="7">SUM(I48+J48)</f>
        <v>35762145</v>
      </c>
    </row>
    <row r="49" spans="1:11" ht="12" customHeight="1">
      <c r="A49" s="444" t="s">
        <v>100</v>
      </c>
      <c r="B49" s="8" t="s">
        <v>140</v>
      </c>
      <c r="C49" s="72">
        <v>61604000</v>
      </c>
      <c r="D49" s="707">
        <v>608711</v>
      </c>
      <c r="E49" s="717">
        <f t="shared" si="4"/>
        <v>62212711</v>
      </c>
      <c r="F49" s="707">
        <v>27199862</v>
      </c>
      <c r="G49" s="717">
        <f t="shared" si="5"/>
        <v>89412573</v>
      </c>
      <c r="H49" s="707">
        <v>411000</v>
      </c>
      <c r="I49" s="717">
        <f t="shared" si="6"/>
        <v>89823573</v>
      </c>
      <c r="J49" s="707">
        <v>-18108</v>
      </c>
      <c r="K49" s="717">
        <f t="shared" si="7"/>
        <v>89805465</v>
      </c>
    </row>
    <row r="50" spans="1:11" ht="12" customHeight="1">
      <c r="A50" s="444" t="s">
        <v>101</v>
      </c>
      <c r="B50" s="8" t="s">
        <v>184</v>
      </c>
      <c r="C50" s="72"/>
      <c r="D50" s="707"/>
      <c r="E50" s="717">
        <f t="shared" si="4"/>
        <v>0</v>
      </c>
      <c r="F50" s="707"/>
      <c r="G50" s="717">
        <f t="shared" si="5"/>
        <v>0</v>
      </c>
      <c r="H50" s="707"/>
      <c r="I50" s="717">
        <f t="shared" si="6"/>
        <v>0</v>
      </c>
      <c r="J50" s="707"/>
      <c r="K50" s="717">
        <f t="shared" si="7"/>
        <v>0</v>
      </c>
    </row>
    <row r="51" spans="1:11" ht="12" customHeight="1" thickBot="1">
      <c r="A51" s="444" t="s">
        <v>148</v>
      </c>
      <c r="B51" s="8" t="s">
        <v>185</v>
      </c>
      <c r="C51" s="72"/>
      <c r="D51" s="708"/>
      <c r="E51" s="718">
        <f t="shared" si="4"/>
        <v>0</v>
      </c>
      <c r="F51" s="708"/>
      <c r="G51" s="718">
        <f t="shared" si="5"/>
        <v>0</v>
      </c>
      <c r="H51" s="708"/>
      <c r="I51" s="718">
        <f t="shared" si="6"/>
        <v>0</v>
      </c>
      <c r="J51" s="708"/>
      <c r="K51" s="718">
        <f t="shared" si="7"/>
        <v>0</v>
      </c>
    </row>
    <row r="52" spans="1:11" ht="12" customHeight="1" thickBot="1">
      <c r="A52" s="193" t="s">
        <v>19</v>
      </c>
      <c r="B52" s="118" t="s">
        <v>416</v>
      </c>
      <c r="C52" s="310">
        <f>SUM(C53:C55)</f>
        <v>4000000</v>
      </c>
      <c r="D52" s="710"/>
      <c r="E52" s="716">
        <f t="shared" si="4"/>
        <v>4000000</v>
      </c>
      <c r="F52" s="710">
        <f>SUM(F53:F55)</f>
        <v>4285490</v>
      </c>
      <c r="G52" s="716">
        <f t="shared" si="5"/>
        <v>8285490</v>
      </c>
      <c r="H52" s="710">
        <f>SUM(H53:H55)</f>
        <v>0</v>
      </c>
      <c r="I52" s="716">
        <f t="shared" si="6"/>
        <v>8285490</v>
      </c>
      <c r="J52" s="710">
        <f>SUM(J53:J55)</f>
        <v>1100000</v>
      </c>
      <c r="K52" s="716">
        <f t="shared" si="7"/>
        <v>9385490</v>
      </c>
    </row>
    <row r="53" spans="1:11" s="452" customFormat="1" ht="12" customHeight="1">
      <c r="A53" s="444" t="s">
        <v>104</v>
      </c>
      <c r="B53" s="9" t="s">
        <v>230</v>
      </c>
      <c r="C53" s="69">
        <v>4000000</v>
      </c>
      <c r="D53" s="709"/>
      <c r="E53" s="717">
        <f t="shared" si="4"/>
        <v>4000000</v>
      </c>
      <c r="F53" s="709">
        <v>4285490</v>
      </c>
      <c r="G53" s="717">
        <f t="shared" si="5"/>
        <v>8285490</v>
      </c>
      <c r="H53" s="709"/>
      <c r="I53" s="717">
        <f t="shared" si="6"/>
        <v>8285490</v>
      </c>
      <c r="J53" s="709">
        <v>1100000</v>
      </c>
      <c r="K53" s="717">
        <f t="shared" si="7"/>
        <v>9385490</v>
      </c>
    </row>
    <row r="54" spans="1:11" ht="12" customHeight="1">
      <c r="A54" s="444" t="s">
        <v>105</v>
      </c>
      <c r="B54" s="8" t="s">
        <v>187</v>
      </c>
      <c r="C54" s="72"/>
      <c r="D54" s="707"/>
      <c r="E54" s="717">
        <f t="shared" si="4"/>
        <v>0</v>
      </c>
      <c r="F54" s="707"/>
      <c r="G54" s="717">
        <f t="shared" si="5"/>
        <v>0</v>
      </c>
      <c r="H54" s="707"/>
      <c r="I54" s="717">
        <f t="shared" si="6"/>
        <v>0</v>
      </c>
      <c r="J54" s="707"/>
      <c r="K54" s="717">
        <f t="shared" si="7"/>
        <v>0</v>
      </c>
    </row>
    <row r="55" spans="1:11" ht="12" customHeight="1">
      <c r="A55" s="444" t="s">
        <v>106</v>
      </c>
      <c r="B55" s="8" t="s">
        <v>58</v>
      </c>
      <c r="C55" s="72"/>
      <c r="D55" s="707"/>
      <c r="E55" s="717">
        <f t="shared" si="4"/>
        <v>0</v>
      </c>
      <c r="F55" s="707"/>
      <c r="G55" s="717">
        <f t="shared" si="5"/>
        <v>0</v>
      </c>
      <c r="H55" s="707"/>
      <c r="I55" s="717">
        <f t="shared" si="6"/>
        <v>0</v>
      </c>
      <c r="J55" s="707"/>
      <c r="K55" s="717">
        <f t="shared" si="7"/>
        <v>0</v>
      </c>
    </row>
    <row r="56" spans="1:11" ht="12" customHeight="1" thickBot="1">
      <c r="A56" s="444" t="s">
        <v>107</v>
      </c>
      <c r="B56" s="8" t="s">
        <v>524</v>
      </c>
      <c r="C56" s="72"/>
      <c r="D56" s="708"/>
      <c r="E56" s="718">
        <f t="shared" si="4"/>
        <v>0</v>
      </c>
      <c r="F56" s="708"/>
      <c r="G56" s="718">
        <f t="shared" si="5"/>
        <v>0</v>
      </c>
      <c r="H56" s="708"/>
      <c r="I56" s="718">
        <f t="shared" si="6"/>
        <v>0</v>
      </c>
      <c r="J56" s="708"/>
      <c r="K56" s="718">
        <f t="shared" si="7"/>
        <v>0</v>
      </c>
    </row>
    <row r="57" spans="1:11" ht="12" customHeight="1" thickBot="1">
      <c r="A57" s="193" t="s">
        <v>20</v>
      </c>
      <c r="B57" s="118" t="s">
        <v>13</v>
      </c>
      <c r="C57" s="336"/>
      <c r="D57" s="710"/>
      <c r="E57" s="712">
        <f t="shared" si="4"/>
        <v>0</v>
      </c>
      <c r="F57" s="710"/>
      <c r="G57" s="712">
        <f t="shared" si="5"/>
        <v>0</v>
      </c>
      <c r="H57" s="710"/>
      <c r="I57" s="712">
        <f t="shared" si="6"/>
        <v>0</v>
      </c>
      <c r="J57" s="710"/>
      <c r="K57" s="712">
        <f t="shared" si="7"/>
        <v>0</v>
      </c>
    </row>
    <row r="58" spans="1:11" ht="15.2" customHeight="1" thickBot="1">
      <c r="A58" s="193" t="s">
        <v>21</v>
      </c>
      <c r="B58" s="235" t="s">
        <v>529</v>
      </c>
      <c r="C58" s="358">
        <f>+C46+C52+C57</f>
        <v>265047290</v>
      </c>
      <c r="D58" s="710">
        <f>SUM(D46+D52+D57)</f>
        <v>4633420</v>
      </c>
      <c r="E58" s="716">
        <f t="shared" si="4"/>
        <v>269680710</v>
      </c>
      <c r="F58" s="710">
        <f>SUM(F46+F52+F57)</f>
        <v>52453300</v>
      </c>
      <c r="G58" s="716">
        <f t="shared" si="5"/>
        <v>322134010</v>
      </c>
      <c r="H58" s="710">
        <f>SUM(H46+H52+H57)</f>
        <v>4801081</v>
      </c>
      <c r="I58" s="716">
        <f t="shared" si="6"/>
        <v>326935091</v>
      </c>
      <c r="J58" s="710">
        <f>SUM(J46+J52+J57)</f>
        <v>1557484</v>
      </c>
      <c r="K58" s="716">
        <f t="shared" si="7"/>
        <v>328492575</v>
      </c>
    </row>
    <row r="59" spans="1:11" ht="13.5" thickBot="1">
      <c r="C59" s="623">
        <f>C42-C58</f>
        <v>0</v>
      </c>
      <c r="D59" s="711"/>
      <c r="E59" s="712">
        <f t="shared" si="4"/>
        <v>0</v>
      </c>
      <c r="F59" s="711"/>
      <c r="G59" s="712">
        <f t="shared" si="5"/>
        <v>0</v>
      </c>
      <c r="H59" s="711"/>
      <c r="I59" s="712">
        <f t="shared" si="6"/>
        <v>0</v>
      </c>
      <c r="J59" s="711"/>
      <c r="K59" s="712">
        <f t="shared" si="7"/>
        <v>0</v>
      </c>
    </row>
    <row r="60" spans="1:11" ht="15.2" customHeight="1" thickBot="1">
      <c r="A60" s="238" t="s">
        <v>519</v>
      </c>
      <c r="B60" s="239"/>
      <c r="C60" s="719">
        <v>45</v>
      </c>
      <c r="D60" s="710"/>
      <c r="E60" s="716">
        <f t="shared" si="4"/>
        <v>45</v>
      </c>
      <c r="F60" s="710"/>
      <c r="G60" s="716">
        <f t="shared" si="5"/>
        <v>45</v>
      </c>
      <c r="H60" s="710"/>
      <c r="I60" s="716">
        <f t="shared" si="6"/>
        <v>45</v>
      </c>
      <c r="J60" s="710"/>
      <c r="K60" s="716">
        <f t="shared" si="7"/>
        <v>45</v>
      </c>
    </row>
    <row r="61" spans="1:11" ht="14.45" customHeight="1" thickBot="1">
      <c r="A61" s="238" t="s">
        <v>206</v>
      </c>
      <c r="B61" s="239"/>
      <c r="C61" s="115"/>
      <c r="D61" s="710"/>
      <c r="E61" s="712">
        <f t="shared" si="4"/>
        <v>0</v>
      </c>
      <c r="F61" s="710"/>
      <c r="G61" s="712">
        <f t="shared" si="5"/>
        <v>0</v>
      </c>
      <c r="H61" s="710"/>
      <c r="I61" s="712">
        <f t="shared" si="6"/>
        <v>0</v>
      </c>
      <c r="J61" s="710"/>
      <c r="K61" s="712">
        <f t="shared" si="7"/>
        <v>0</v>
      </c>
    </row>
    <row r="62" spans="1:11">
      <c r="A62" s="620"/>
      <c r="B62" s="621"/>
      <c r="C62" s="621"/>
    </row>
    <row r="63" spans="1:11">
      <c r="A63" s="620"/>
      <c r="B63" s="621"/>
    </row>
    <row r="64" spans="1:11">
      <c r="A64" s="620"/>
      <c r="B64" s="621"/>
      <c r="C64" s="621"/>
    </row>
    <row r="65" spans="1:3">
      <c r="A65" s="620"/>
      <c r="B65" s="621"/>
      <c r="C65" s="621"/>
    </row>
    <row r="66" spans="1:3">
      <c r="A66" s="620"/>
      <c r="B66" s="621"/>
      <c r="C66" s="621"/>
    </row>
    <row r="67" spans="1:3">
      <c r="A67" s="620"/>
      <c r="B67" s="621"/>
      <c r="C67" s="621"/>
    </row>
    <row r="68" spans="1:3">
      <c r="A68" s="620"/>
      <c r="B68" s="621"/>
      <c r="C68" s="621"/>
    </row>
    <row r="69" spans="1:3">
      <c r="A69" s="620"/>
      <c r="B69" s="621"/>
      <c r="C69" s="621"/>
    </row>
    <row r="70" spans="1:3">
      <c r="A70" s="620"/>
      <c r="B70" s="621"/>
      <c r="C70" s="621"/>
    </row>
    <row r="71" spans="1:3">
      <c r="A71" s="620"/>
      <c r="B71" s="621"/>
      <c r="C71" s="621"/>
    </row>
    <row r="72" spans="1:3">
      <c r="A72" s="620"/>
      <c r="B72" s="621"/>
      <c r="C72" s="621"/>
    </row>
    <row r="73" spans="1:3">
      <c r="A73" s="620"/>
      <c r="B73" s="621"/>
      <c r="C73" s="621"/>
    </row>
    <row r="74" spans="1:3">
      <c r="A74" s="620"/>
      <c r="B74" s="621"/>
      <c r="C74" s="621"/>
    </row>
    <row r="75" spans="1:3">
      <c r="A75" s="620"/>
      <c r="B75" s="621"/>
      <c r="C75" s="621"/>
    </row>
    <row r="76" spans="1:3">
      <c r="A76" s="620"/>
      <c r="B76" s="621"/>
      <c r="C76" s="621"/>
    </row>
    <row r="77" spans="1:3">
      <c r="A77" s="620"/>
      <c r="B77" s="621"/>
      <c r="C77" s="621"/>
    </row>
    <row r="78" spans="1:3">
      <c r="A78" s="620"/>
      <c r="B78" s="621"/>
      <c r="C78" s="621"/>
    </row>
    <row r="79" spans="1:3">
      <c r="A79" s="620"/>
      <c r="B79" s="621"/>
      <c r="C79" s="621"/>
    </row>
    <row r="80" spans="1:3">
      <c r="A80" s="620"/>
      <c r="B80" s="621"/>
      <c r="C80" s="621"/>
    </row>
    <row r="81" spans="1:3">
      <c r="A81" s="620"/>
      <c r="B81" s="621"/>
      <c r="C81" s="621"/>
    </row>
    <row r="82" spans="1:3">
      <c r="A82" s="620"/>
      <c r="B82" s="621"/>
      <c r="C82" s="621"/>
    </row>
    <row r="83" spans="1:3">
      <c r="A83" s="620"/>
      <c r="B83" s="621"/>
      <c r="C83" s="621"/>
    </row>
  </sheetData>
  <sheetProtection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8" scale="75" orientation="landscape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>
  <sheetPr>
    <tabColor rgb="FF92D050"/>
  </sheetPr>
  <dimension ref="A1:C63"/>
  <sheetViews>
    <sheetView topLeftCell="A37" zoomScale="120" zoomScaleNormal="120" workbookViewId="0">
      <selection activeCell="E3" sqref="E3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16384" width="9.33203125" style="237"/>
  </cols>
  <sheetData>
    <row r="1" spans="1:3" s="217" customFormat="1" ht="21.2" customHeight="1" thickBot="1">
      <c r="A1" s="216"/>
      <c r="B1" s="218"/>
      <c r="C1" s="588" t="str">
        <f ca="1">CONCATENATE("9.2.1. melléklet ",ALAPADATOK!A7," ",ALAPADATOK!B7," ",ALAPADATOK!C7," ",ALAPADATOK!D7," ",ALAPADATOK!E7," ",ALAPADATOK!F7," ",ALAPADATOK!G7," ",ALAPADATOK!H7)</f>
        <v>9.2.1. melléklet a … / 2019 ( … ) önkormányzati rendelethez</v>
      </c>
    </row>
    <row r="2" spans="1:3" s="448" customFormat="1" ht="36">
      <c r="A2" s="400" t="s">
        <v>204</v>
      </c>
      <c r="B2" s="586" t="str">
        <f ca="1">CONCATENATE(ALAPADATOK!A11)</f>
        <v>Dabasi Polgármesteri Hivatal</v>
      </c>
      <c r="C2" s="359" t="s">
        <v>59</v>
      </c>
    </row>
    <row r="3" spans="1:3" s="448" customFormat="1" ht="24.75" thickBot="1">
      <c r="A3" s="442" t="s">
        <v>203</v>
      </c>
      <c r="B3" s="587" t="s">
        <v>417</v>
      </c>
      <c r="C3" s="360" t="s">
        <v>59</v>
      </c>
    </row>
    <row r="4" spans="1:3" s="449" customFormat="1" ht="15.95" customHeight="1" thickBot="1">
      <c r="A4" s="219"/>
      <c r="B4" s="219"/>
      <c r="C4" s="220" t="str">
        <f ca="1">KV_9.2.sz.mell!C4</f>
        <v/>
      </c>
    </row>
    <row r="5" spans="1:3" ht="13.5" thickBot="1">
      <c r="A5" s="401" t="s">
        <v>205</v>
      </c>
      <c r="B5" s="221" t="s">
        <v>563</v>
      </c>
      <c r="C5" s="222" t="s">
        <v>55</v>
      </c>
    </row>
    <row r="6" spans="1:3" s="450" customFormat="1" ht="12.95" customHeight="1" thickBot="1">
      <c r="A6" s="185"/>
      <c r="B6" s="186" t="s">
        <v>493</v>
      </c>
      <c r="C6" s="187" t="s">
        <v>494</v>
      </c>
    </row>
    <row r="7" spans="1:3" s="450" customFormat="1" ht="15.95" customHeight="1" thickBot="1">
      <c r="A7" s="223"/>
      <c r="B7" s="224" t="s">
        <v>56</v>
      </c>
      <c r="C7" s="225"/>
    </row>
    <row r="8" spans="1:3" s="361" customFormat="1" ht="12" customHeight="1" thickBot="1">
      <c r="A8" s="185" t="s">
        <v>18</v>
      </c>
      <c r="B8" s="226" t="s">
        <v>520</v>
      </c>
      <c r="C8" s="310">
        <f>SUM(C9:C19)</f>
        <v>0</v>
      </c>
    </row>
    <row r="9" spans="1:3" s="361" customFormat="1" ht="12" customHeight="1">
      <c r="A9" s="443" t="s">
        <v>98</v>
      </c>
      <c r="B9" s="10" t="s">
        <v>277</v>
      </c>
      <c r="C9" s="351"/>
    </row>
    <row r="10" spans="1:3" s="361" customFormat="1" ht="12" customHeight="1">
      <c r="A10" s="444" t="s">
        <v>99</v>
      </c>
      <c r="B10" s="8" t="s">
        <v>278</v>
      </c>
      <c r="C10" s="308"/>
    </row>
    <row r="11" spans="1:3" s="361" customFormat="1" ht="12" customHeight="1">
      <c r="A11" s="444" t="s">
        <v>100</v>
      </c>
      <c r="B11" s="8" t="s">
        <v>279</v>
      </c>
      <c r="C11" s="308"/>
    </row>
    <row r="12" spans="1:3" s="361" customFormat="1" ht="12" customHeight="1">
      <c r="A12" s="444" t="s">
        <v>101</v>
      </c>
      <c r="B12" s="8" t="s">
        <v>280</v>
      </c>
      <c r="C12" s="308"/>
    </row>
    <row r="13" spans="1:3" s="361" customFormat="1" ht="12" customHeight="1">
      <c r="A13" s="444" t="s">
        <v>148</v>
      </c>
      <c r="B13" s="8" t="s">
        <v>281</v>
      </c>
      <c r="C13" s="308"/>
    </row>
    <row r="14" spans="1:3" s="361" customFormat="1" ht="12" customHeight="1">
      <c r="A14" s="444" t="s">
        <v>102</v>
      </c>
      <c r="B14" s="8" t="s">
        <v>399</v>
      </c>
      <c r="C14" s="308"/>
    </row>
    <row r="15" spans="1:3" s="361" customFormat="1" ht="12" customHeight="1">
      <c r="A15" s="444" t="s">
        <v>103</v>
      </c>
      <c r="B15" s="7" t="s">
        <v>400</v>
      </c>
      <c r="C15" s="308"/>
    </row>
    <row r="16" spans="1:3" s="361" customFormat="1" ht="12" customHeight="1">
      <c r="A16" s="444" t="s">
        <v>113</v>
      </c>
      <c r="B16" s="8" t="s">
        <v>284</v>
      </c>
      <c r="C16" s="352"/>
    </row>
    <row r="17" spans="1:3" s="451" customFormat="1" ht="12" customHeight="1">
      <c r="A17" s="444" t="s">
        <v>114</v>
      </c>
      <c r="B17" s="8" t="s">
        <v>285</v>
      </c>
      <c r="C17" s="308"/>
    </row>
    <row r="18" spans="1:3" s="451" customFormat="1" ht="12" customHeight="1">
      <c r="A18" s="444" t="s">
        <v>115</v>
      </c>
      <c r="B18" s="8" t="s">
        <v>436</v>
      </c>
      <c r="C18" s="309"/>
    </row>
    <row r="19" spans="1:3" s="451" customFormat="1" ht="12" customHeight="1" thickBot="1">
      <c r="A19" s="444" t="s">
        <v>116</v>
      </c>
      <c r="B19" s="7" t="s">
        <v>286</v>
      </c>
      <c r="C19" s="309"/>
    </row>
    <row r="20" spans="1:3" s="361" customFormat="1" ht="12" customHeight="1" thickBot="1">
      <c r="A20" s="185" t="s">
        <v>19</v>
      </c>
      <c r="B20" s="226" t="s">
        <v>401</v>
      </c>
      <c r="C20" s="310">
        <f>SUM(C21:C23)</f>
        <v>0</v>
      </c>
    </row>
    <row r="21" spans="1:3" s="451" customFormat="1" ht="12" customHeight="1">
      <c r="A21" s="444" t="s">
        <v>104</v>
      </c>
      <c r="B21" s="9" t="s">
        <v>258</v>
      </c>
      <c r="C21" s="308"/>
    </row>
    <row r="22" spans="1:3" s="451" customFormat="1" ht="12" customHeight="1">
      <c r="A22" s="444" t="s">
        <v>105</v>
      </c>
      <c r="B22" s="8" t="s">
        <v>402</v>
      </c>
      <c r="C22" s="308"/>
    </row>
    <row r="23" spans="1:3" s="451" customFormat="1" ht="12" customHeight="1">
      <c r="A23" s="444" t="s">
        <v>106</v>
      </c>
      <c r="B23" s="8" t="s">
        <v>403</v>
      </c>
      <c r="C23" s="308"/>
    </row>
    <row r="24" spans="1:3" s="451" customFormat="1" ht="12" customHeight="1" thickBot="1">
      <c r="A24" s="444" t="s">
        <v>107</v>
      </c>
      <c r="B24" s="8" t="s">
        <v>521</v>
      </c>
      <c r="C24" s="308"/>
    </row>
    <row r="25" spans="1:3" s="451" customFormat="1" ht="12" customHeight="1" thickBot="1">
      <c r="A25" s="193" t="s">
        <v>20</v>
      </c>
      <c r="B25" s="118" t="s">
        <v>174</v>
      </c>
      <c r="C25" s="336"/>
    </row>
    <row r="26" spans="1:3" s="451" customFormat="1" ht="12" customHeight="1" thickBot="1">
      <c r="A26" s="193" t="s">
        <v>21</v>
      </c>
      <c r="B26" s="118" t="s">
        <v>522</v>
      </c>
      <c r="C26" s="310">
        <f>+C27+C28+C29</f>
        <v>0</v>
      </c>
    </row>
    <row r="27" spans="1:3" s="451" customFormat="1" ht="12" customHeight="1">
      <c r="A27" s="445" t="s">
        <v>268</v>
      </c>
      <c r="B27" s="446" t="s">
        <v>263</v>
      </c>
      <c r="C27" s="69"/>
    </row>
    <row r="28" spans="1:3" s="451" customFormat="1" ht="12" customHeight="1">
      <c r="A28" s="445" t="s">
        <v>269</v>
      </c>
      <c r="B28" s="446" t="s">
        <v>402</v>
      </c>
      <c r="C28" s="308"/>
    </row>
    <row r="29" spans="1:3" s="451" customFormat="1" ht="12" customHeight="1">
      <c r="A29" s="445" t="s">
        <v>270</v>
      </c>
      <c r="B29" s="447" t="s">
        <v>405</v>
      </c>
      <c r="C29" s="308"/>
    </row>
    <row r="30" spans="1:3" s="451" customFormat="1" ht="12" customHeight="1" thickBot="1">
      <c r="A30" s="444" t="s">
        <v>271</v>
      </c>
      <c r="B30" s="135" t="s">
        <v>523</v>
      </c>
      <c r="C30" s="76"/>
    </row>
    <row r="31" spans="1:3" s="451" customFormat="1" ht="12" customHeight="1" thickBot="1">
      <c r="A31" s="193" t="s">
        <v>22</v>
      </c>
      <c r="B31" s="118" t="s">
        <v>406</v>
      </c>
      <c r="C31" s="310">
        <f>+C32+C33+C34</f>
        <v>0</v>
      </c>
    </row>
    <row r="32" spans="1:3" s="451" customFormat="1" ht="12" customHeight="1">
      <c r="A32" s="445" t="s">
        <v>91</v>
      </c>
      <c r="B32" s="446" t="s">
        <v>291</v>
      </c>
      <c r="C32" s="69"/>
    </row>
    <row r="33" spans="1:3" s="451" customFormat="1" ht="12" customHeight="1">
      <c r="A33" s="445" t="s">
        <v>92</v>
      </c>
      <c r="B33" s="447" t="s">
        <v>292</v>
      </c>
      <c r="C33" s="311"/>
    </row>
    <row r="34" spans="1:3" s="451" customFormat="1" ht="12" customHeight="1" thickBot="1">
      <c r="A34" s="444" t="s">
        <v>93</v>
      </c>
      <c r="B34" s="135" t="s">
        <v>293</v>
      </c>
      <c r="C34" s="76"/>
    </row>
    <row r="35" spans="1:3" s="361" customFormat="1" ht="12" customHeight="1" thickBot="1">
      <c r="A35" s="193" t="s">
        <v>23</v>
      </c>
      <c r="B35" s="118" t="s">
        <v>376</v>
      </c>
      <c r="C35" s="336"/>
    </row>
    <row r="36" spans="1:3" s="361" customFormat="1" ht="12" customHeight="1" thickBot="1">
      <c r="A36" s="193" t="s">
        <v>24</v>
      </c>
      <c r="B36" s="118" t="s">
        <v>407</v>
      </c>
      <c r="C36" s="353"/>
    </row>
    <row r="37" spans="1:3" s="361" customFormat="1" ht="12" customHeight="1" thickBot="1">
      <c r="A37" s="185" t="s">
        <v>25</v>
      </c>
      <c r="B37" s="118" t="s">
        <v>408</v>
      </c>
      <c r="C37" s="354">
        <f>+C8+C20+C25+C26+C31+C35+C36</f>
        <v>0</v>
      </c>
    </row>
    <row r="38" spans="1:3" s="361" customFormat="1" ht="12" customHeight="1" thickBot="1">
      <c r="A38" s="227" t="s">
        <v>26</v>
      </c>
      <c r="B38" s="118" t="s">
        <v>409</v>
      </c>
      <c r="C38" s="354">
        <f>+C39+C40+C41</f>
        <v>0</v>
      </c>
    </row>
    <row r="39" spans="1:3" s="361" customFormat="1" ht="12" customHeight="1">
      <c r="A39" s="445" t="s">
        <v>410</v>
      </c>
      <c r="B39" s="446" t="s">
        <v>236</v>
      </c>
      <c r="C39" s="69"/>
    </row>
    <row r="40" spans="1:3" s="361" customFormat="1" ht="12" customHeight="1">
      <c r="A40" s="445" t="s">
        <v>411</v>
      </c>
      <c r="B40" s="447" t="s">
        <v>2</v>
      </c>
      <c r="C40" s="311"/>
    </row>
    <row r="41" spans="1:3" s="451" customFormat="1" ht="12" customHeight="1" thickBot="1">
      <c r="A41" s="444" t="s">
        <v>412</v>
      </c>
      <c r="B41" s="135" t="s">
        <v>413</v>
      </c>
      <c r="C41" s="76"/>
    </row>
    <row r="42" spans="1:3" s="451" customFormat="1" ht="15.2" customHeight="1" thickBot="1">
      <c r="A42" s="227" t="s">
        <v>27</v>
      </c>
      <c r="B42" s="228" t="s">
        <v>414</v>
      </c>
      <c r="C42" s="357">
        <f>+C37+C38</f>
        <v>0</v>
      </c>
    </row>
    <row r="43" spans="1:3" s="451" customFormat="1" ht="15.2" customHeight="1">
      <c r="A43" s="229"/>
      <c r="B43" s="230"/>
      <c r="C43" s="355"/>
    </row>
    <row r="44" spans="1:3" ht="13.5" thickBot="1">
      <c r="A44" s="231"/>
      <c r="B44" s="232"/>
      <c r="C44" s="356"/>
    </row>
    <row r="45" spans="1:3" s="450" customFormat="1" ht="16.5" customHeight="1" thickBot="1">
      <c r="A45" s="233"/>
      <c r="B45" s="234" t="s">
        <v>57</v>
      </c>
      <c r="C45" s="357"/>
    </row>
    <row r="46" spans="1:3" s="452" customFormat="1" ht="12" customHeight="1" thickBot="1">
      <c r="A46" s="193" t="s">
        <v>18</v>
      </c>
      <c r="B46" s="118" t="s">
        <v>415</v>
      </c>
      <c r="C46" s="310">
        <f>SUM(C47:C51)</f>
        <v>0</v>
      </c>
    </row>
    <row r="47" spans="1:3" ht="12" customHeight="1">
      <c r="A47" s="444" t="s">
        <v>98</v>
      </c>
      <c r="B47" s="9" t="s">
        <v>49</v>
      </c>
      <c r="C47" s="69"/>
    </row>
    <row r="48" spans="1:3" ht="12" customHeight="1">
      <c r="A48" s="444" t="s">
        <v>99</v>
      </c>
      <c r="B48" s="8" t="s">
        <v>183</v>
      </c>
      <c r="C48" s="72"/>
    </row>
    <row r="49" spans="1:3" ht="12" customHeight="1">
      <c r="A49" s="444" t="s">
        <v>100</v>
      </c>
      <c r="B49" s="8" t="s">
        <v>140</v>
      </c>
      <c r="C49" s="72"/>
    </row>
    <row r="50" spans="1:3" ht="12" customHeight="1">
      <c r="A50" s="444" t="s">
        <v>101</v>
      </c>
      <c r="B50" s="8" t="s">
        <v>184</v>
      </c>
      <c r="C50" s="72"/>
    </row>
    <row r="51" spans="1:3" ht="12" customHeight="1" thickBot="1">
      <c r="A51" s="444" t="s">
        <v>148</v>
      </c>
      <c r="B51" s="8" t="s">
        <v>185</v>
      </c>
      <c r="C51" s="72"/>
    </row>
    <row r="52" spans="1:3" ht="12" customHeight="1" thickBot="1">
      <c r="A52" s="193" t="s">
        <v>19</v>
      </c>
      <c r="B52" s="118" t="s">
        <v>416</v>
      </c>
      <c r="C52" s="310">
        <f>SUM(C53:C55)</f>
        <v>0</v>
      </c>
    </row>
    <row r="53" spans="1:3" s="452" customFormat="1" ht="12" customHeight="1">
      <c r="A53" s="444" t="s">
        <v>104</v>
      </c>
      <c r="B53" s="9" t="s">
        <v>230</v>
      </c>
      <c r="C53" s="69"/>
    </row>
    <row r="54" spans="1:3" ht="12" customHeight="1">
      <c r="A54" s="444" t="s">
        <v>105</v>
      </c>
      <c r="B54" s="8" t="s">
        <v>187</v>
      </c>
      <c r="C54" s="72"/>
    </row>
    <row r="55" spans="1:3" ht="12" customHeight="1">
      <c r="A55" s="444" t="s">
        <v>106</v>
      </c>
      <c r="B55" s="8" t="s">
        <v>58</v>
      </c>
      <c r="C55" s="72"/>
    </row>
    <row r="56" spans="1:3" ht="12" customHeight="1" thickBot="1">
      <c r="A56" s="444" t="s">
        <v>107</v>
      </c>
      <c r="B56" s="8" t="s">
        <v>524</v>
      </c>
      <c r="C56" s="72"/>
    </row>
    <row r="57" spans="1:3" ht="15.2" customHeight="1" thickBot="1">
      <c r="A57" s="193" t="s">
        <v>20</v>
      </c>
      <c r="B57" s="118" t="s">
        <v>13</v>
      </c>
      <c r="C57" s="336"/>
    </row>
    <row r="58" spans="1:3" ht="13.5" thickBot="1">
      <c r="A58" s="193" t="s">
        <v>21</v>
      </c>
      <c r="B58" s="235" t="s">
        <v>529</v>
      </c>
      <c r="C58" s="358">
        <f>+C46+C52+C57</f>
        <v>0</v>
      </c>
    </row>
    <row r="59" spans="1:3" ht="15.2" customHeight="1" thickBot="1">
      <c r="C59" s="623">
        <f>C42-C58</f>
        <v>0</v>
      </c>
    </row>
    <row r="60" spans="1:3" ht="14.45" customHeight="1" thickBot="1">
      <c r="A60" s="238" t="s">
        <v>519</v>
      </c>
      <c r="B60" s="239"/>
      <c r="C60" s="115"/>
    </row>
    <row r="61" spans="1:3" ht="13.5" thickBot="1">
      <c r="A61" s="238" t="s">
        <v>206</v>
      </c>
      <c r="B61" s="239"/>
      <c r="C61" s="115"/>
    </row>
    <row r="63" spans="1:3">
      <c r="C63" s="54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>
  <sheetPr>
    <tabColor rgb="FF92D050"/>
  </sheetPr>
  <dimension ref="A1:C61"/>
  <sheetViews>
    <sheetView zoomScale="120" zoomScaleNormal="120" workbookViewId="0">
      <selection activeCell="E3" sqref="E3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16384" width="9.33203125" style="237"/>
  </cols>
  <sheetData>
    <row r="1" spans="1:3" s="217" customFormat="1" ht="21.2" customHeight="1" thickBot="1">
      <c r="A1" s="216"/>
      <c r="B1" s="218"/>
      <c r="C1" s="588" t="str">
        <f ca="1">CONCATENATE("9.2.2. melléklet ",ALAPADATOK!A7," ",ALAPADATOK!B7," ",ALAPADATOK!C7," ",ALAPADATOK!D7," ",ALAPADATOK!E7," ",ALAPADATOK!F7," ",ALAPADATOK!G7," ",ALAPADATOK!H7)</f>
        <v>9.2.2. melléklet a … / 2019 ( … ) önkormányzati rendelethez</v>
      </c>
    </row>
    <row r="2" spans="1:3" s="448" customFormat="1" ht="36">
      <c r="A2" s="400" t="s">
        <v>204</v>
      </c>
      <c r="B2" s="586" t="str">
        <f ca="1">CONCATENATE(ALAPADATOK!A11)</f>
        <v>Dabasi Polgármesteri Hivatal</v>
      </c>
      <c r="C2" s="359" t="s">
        <v>59</v>
      </c>
    </row>
    <row r="3" spans="1:3" s="448" customFormat="1" ht="24.75" thickBot="1">
      <c r="A3" s="442" t="s">
        <v>203</v>
      </c>
      <c r="B3" s="587" t="s">
        <v>418</v>
      </c>
      <c r="C3" s="360" t="s">
        <v>60</v>
      </c>
    </row>
    <row r="4" spans="1:3" s="449" customFormat="1" ht="15.95" customHeight="1" thickBot="1">
      <c r="A4" s="219"/>
      <c r="B4" s="219"/>
      <c r="C4" s="220" t="str">
        <f ca="1">KV_9.2.1.sz.mell!C4</f>
        <v/>
      </c>
    </row>
    <row r="5" spans="1:3" ht="13.5" thickBot="1">
      <c r="A5" s="401" t="s">
        <v>205</v>
      </c>
      <c r="B5" s="221" t="s">
        <v>563</v>
      </c>
      <c r="C5" s="222" t="s">
        <v>55</v>
      </c>
    </row>
    <row r="6" spans="1:3" s="450" customFormat="1" ht="12.95" customHeight="1" thickBot="1">
      <c r="A6" s="185"/>
      <c r="B6" s="186" t="s">
        <v>493</v>
      </c>
      <c r="C6" s="187" t="s">
        <v>494</v>
      </c>
    </row>
    <row r="7" spans="1:3" s="450" customFormat="1" ht="15.95" customHeight="1" thickBot="1">
      <c r="A7" s="223"/>
      <c r="B7" s="224" t="s">
        <v>56</v>
      </c>
      <c r="C7" s="225"/>
    </row>
    <row r="8" spans="1:3" s="361" customFormat="1" ht="12" customHeight="1" thickBot="1">
      <c r="A8" s="185" t="s">
        <v>18</v>
      </c>
      <c r="B8" s="226" t="s">
        <v>520</v>
      </c>
      <c r="C8" s="310">
        <f>SUM(C9:C19)</f>
        <v>0</v>
      </c>
    </row>
    <row r="9" spans="1:3" s="361" customFormat="1" ht="12" customHeight="1">
      <c r="A9" s="443" t="s">
        <v>98</v>
      </c>
      <c r="B9" s="10" t="s">
        <v>277</v>
      </c>
      <c r="C9" s="351"/>
    </row>
    <row r="10" spans="1:3" s="361" customFormat="1" ht="12" customHeight="1">
      <c r="A10" s="444" t="s">
        <v>99</v>
      </c>
      <c r="B10" s="8" t="s">
        <v>278</v>
      </c>
      <c r="C10" s="308"/>
    </row>
    <row r="11" spans="1:3" s="361" customFormat="1" ht="12" customHeight="1">
      <c r="A11" s="444" t="s">
        <v>100</v>
      </c>
      <c r="B11" s="8" t="s">
        <v>279</v>
      </c>
      <c r="C11" s="308"/>
    </row>
    <row r="12" spans="1:3" s="361" customFormat="1" ht="12" customHeight="1">
      <c r="A12" s="444" t="s">
        <v>101</v>
      </c>
      <c r="B12" s="8" t="s">
        <v>280</v>
      </c>
      <c r="C12" s="308"/>
    </row>
    <row r="13" spans="1:3" s="361" customFormat="1" ht="12" customHeight="1">
      <c r="A13" s="444" t="s">
        <v>148</v>
      </c>
      <c r="B13" s="8" t="s">
        <v>281</v>
      </c>
      <c r="C13" s="308"/>
    </row>
    <row r="14" spans="1:3" s="361" customFormat="1" ht="12" customHeight="1">
      <c r="A14" s="444" t="s">
        <v>102</v>
      </c>
      <c r="B14" s="8" t="s">
        <v>399</v>
      </c>
      <c r="C14" s="308"/>
    </row>
    <row r="15" spans="1:3" s="361" customFormat="1" ht="12" customHeight="1">
      <c r="A15" s="444" t="s">
        <v>103</v>
      </c>
      <c r="B15" s="7" t="s">
        <v>400</v>
      </c>
      <c r="C15" s="308"/>
    </row>
    <row r="16" spans="1:3" s="361" customFormat="1" ht="12" customHeight="1">
      <c r="A16" s="444" t="s">
        <v>113</v>
      </c>
      <c r="B16" s="8" t="s">
        <v>284</v>
      </c>
      <c r="C16" s="352"/>
    </row>
    <row r="17" spans="1:3" s="451" customFormat="1" ht="12" customHeight="1">
      <c r="A17" s="444" t="s">
        <v>114</v>
      </c>
      <c r="B17" s="8" t="s">
        <v>285</v>
      </c>
      <c r="C17" s="308"/>
    </row>
    <row r="18" spans="1:3" s="451" customFormat="1" ht="12" customHeight="1">
      <c r="A18" s="444" t="s">
        <v>115</v>
      </c>
      <c r="B18" s="8" t="s">
        <v>436</v>
      </c>
      <c r="C18" s="309"/>
    </row>
    <row r="19" spans="1:3" s="451" customFormat="1" ht="12" customHeight="1" thickBot="1">
      <c r="A19" s="444" t="s">
        <v>116</v>
      </c>
      <c r="B19" s="7" t="s">
        <v>286</v>
      </c>
      <c r="C19" s="309"/>
    </row>
    <row r="20" spans="1:3" s="361" customFormat="1" ht="12" customHeight="1" thickBot="1">
      <c r="A20" s="185" t="s">
        <v>19</v>
      </c>
      <c r="B20" s="226" t="s">
        <v>401</v>
      </c>
      <c r="C20" s="310">
        <f>SUM(C21:C23)</f>
        <v>0</v>
      </c>
    </row>
    <row r="21" spans="1:3" s="451" customFormat="1" ht="12" customHeight="1">
      <c r="A21" s="444" t="s">
        <v>104</v>
      </c>
      <c r="B21" s="9" t="s">
        <v>258</v>
      </c>
      <c r="C21" s="308"/>
    </row>
    <row r="22" spans="1:3" s="451" customFormat="1" ht="12" customHeight="1">
      <c r="A22" s="444" t="s">
        <v>105</v>
      </c>
      <c r="B22" s="8" t="s">
        <v>402</v>
      </c>
      <c r="C22" s="308"/>
    </row>
    <row r="23" spans="1:3" s="451" customFormat="1" ht="12" customHeight="1">
      <c r="A23" s="444" t="s">
        <v>106</v>
      </c>
      <c r="B23" s="8" t="s">
        <v>403</v>
      </c>
      <c r="C23" s="308"/>
    </row>
    <row r="24" spans="1:3" s="451" customFormat="1" ht="12" customHeight="1" thickBot="1">
      <c r="A24" s="444" t="s">
        <v>107</v>
      </c>
      <c r="B24" s="8" t="s">
        <v>521</v>
      </c>
      <c r="C24" s="308"/>
    </row>
    <row r="25" spans="1:3" s="451" customFormat="1" ht="12" customHeight="1" thickBot="1">
      <c r="A25" s="193" t="s">
        <v>20</v>
      </c>
      <c r="B25" s="118" t="s">
        <v>174</v>
      </c>
      <c r="C25" s="336"/>
    </row>
    <row r="26" spans="1:3" s="451" customFormat="1" ht="12" customHeight="1" thickBot="1">
      <c r="A26" s="193" t="s">
        <v>21</v>
      </c>
      <c r="B26" s="118" t="s">
        <v>522</v>
      </c>
      <c r="C26" s="310">
        <f>+C27+C28+C29</f>
        <v>0</v>
      </c>
    </row>
    <row r="27" spans="1:3" s="451" customFormat="1" ht="12" customHeight="1">
      <c r="A27" s="445" t="s">
        <v>268</v>
      </c>
      <c r="B27" s="446" t="s">
        <v>263</v>
      </c>
      <c r="C27" s="69"/>
    </row>
    <row r="28" spans="1:3" s="451" customFormat="1" ht="12" customHeight="1">
      <c r="A28" s="445" t="s">
        <v>269</v>
      </c>
      <c r="B28" s="446" t="s">
        <v>402</v>
      </c>
      <c r="C28" s="308"/>
    </row>
    <row r="29" spans="1:3" s="451" customFormat="1" ht="12" customHeight="1">
      <c r="A29" s="445" t="s">
        <v>270</v>
      </c>
      <c r="B29" s="447" t="s">
        <v>405</v>
      </c>
      <c r="C29" s="308"/>
    </row>
    <row r="30" spans="1:3" s="451" customFormat="1" ht="12" customHeight="1" thickBot="1">
      <c r="A30" s="444" t="s">
        <v>271</v>
      </c>
      <c r="B30" s="135" t="s">
        <v>523</v>
      </c>
      <c r="C30" s="76"/>
    </row>
    <row r="31" spans="1:3" s="451" customFormat="1" ht="12" customHeight="1" thickBot="1">
      <c r="A31" s="193" t="s">
        <v>22</v>
      </c>
      <c r="B31" s="118" t="s">
        <v>406</v>
      </c>
      <c r="C31" s="310">
        <f>+C32+C33+C34</f>
        <v>0</v>
      </c>
    </row>
    <row r="32" spans="1:3" s="451" customFormat="1" ht="12" customHeight="1">
      <c r="A32" s="445" t="s">
        <v>91</v>
      </c>
      <c r="B32" s="446" t="s">
        <v>291</v>
      </c>
      <c r="C32" s="69"/>
    </row>
    <row r="33" spans="1:3" s="451" customFormat="1" ht="12" customHeight="1">
      <c r="A33" s="445" t="s">
        <v>92</v>
      </c>
      <c r="B33" s="447" t="s">
        <v>292</v>
      </c>
      <c r="C33" s="311"/>
    </row>
    <row r="34" spans="1:3" s="451" customFormat="1" ht="12" customHeight="1" thickBot="1">
      <c r="A34" s="444" t="s">
        <v>93</v>
      </c>
      <c r="B34" s="135" t="s">
        <v>293</v>
      </c>
      <c r="C34" s="76"/>
    </row>
    <row r="35" spans="1:3" s="361" customFormat="1" ht="12" customHeight="1" thickBot="1">
      <c r="A35" s="193" t="s">
        <v>23</v>
      </c>
      <c r="B35" s="118" t="s">
        <v>376</v>
      </c>
      <c r="C35" s="336"/>
    </row>
    <row r="36" spans="1:3" s="361" customFormat="1" ht="12" customHeight="1" thickBot="1">
      <c r="A36" s="193" t="s">
        <v>24</v>
      </c>
      <c r="B36" s="118" t="s">
        <v>407</v>
      </c>
      <c r="C36" s="353"/>
    </row>
    <row r="37" spans="1:3" s="361" customFormat="1" ht="12" customHeight="1" thickBot="1">
      <c r="A37" s="185" t="s">
        <v>25</v>
      </c>
      <c r="B37" s="118" t="s">
        <v>408</v>
      </c>
      <c r="C37" s="354">
        <f>+C8+C20+C25+C26+C31+C35+C36</f>
        <v>0</v>
      </c>
    </row>
    <row r="38" spans="1:3" s="361" customFormat="1" ht="12" customHeight="1" thickBot="1">
      <c r="A38" s="227" t="s">
        <v>26</v>
      </c>
      <c r="B38" s="118" t="s">
        <v>409</v>
      </c>
      <c r="C38" s="354">
        <f>+C39+C40+C41</f>
        <v>0</v>
      </c>
    </row>
    <row r="39" spans="1:3" s="361" customFormat="1" ht="12" customHeight="1">
      <c r="A39" s="445" t="s">
        <v>410</v>
      </c>
      <c r="B39" s="446" t="s">
        <v>236</v>
      </c>
      <c r="C39" s="69"/>
    </row>
    <row r="40" spans="1:3" s="361" customFormat="1" ht="12" customHeight="1">
      <c r="A40" s="445" t="s">
        <v>411</v>
      </c>
      <c r="B40" s="447" t="s">
        <v>2</v>
      </c>
      <c r="C40" s="311"/>
    </row>
    <row r="41" spans="1:3" s="451" customFormat="1" ht="12" customHeight="1" thickBot="1">
      <c r="A41" s="444" t="s">
        <v>412</v>
      </c>
      <c r="B41" s="135" t="s">
        <v>413</v>
      </c>
      <c r="C41" s="76"/>
    </row>
    <row r="42" spans="1:3" s="451" customFormat="1" ht="15.2" customHeight="1" thickBot="1">
      <c r="A42" s="227" t="s">
        <v>27</v>
      </c>
      <c r="B42" s="228" t="s">
        <v>414</v>
      </c>
      <c r="C42" s="357">
        <f>+C37+C38</f>
        <v>0</v>
      </c>
    </row>
    <row r="43" spans="1:3" s="451" customFormat="1" ht="15.2" customHeight="1">
      <c r="A43" s="229"/>
      <c r="B43" s="230"/>
      <c r="C43" s="355"/>
    </row>
    <row r="44" spans="1:3" ht="13.5" thickBot="1">
      <c r="A44" s="231"/>
      <c r="B44" s="232"/>
      <c r="C44" s="356"/>
    </row>
    <row r="45" spans="1:3" s="450" customFormat="1" ht="16.5" customHeight="1" thickBot="1">
      <c r="A45" s="233"/>
      <c r="B45" s="234" t="s">
        <v>57</v>
      </c>
      <c r="C45" s="357"/>
    </row>
    <row r="46" spans="1:3" s="452" customFormat="1" ht="12" customHeight="1" thickBot="1">
      <c r="A46" s="193" t="s">
        <v>18</v>
      </c>
      <c r="B46" s="118" t="s">
        <v>415</v>
      </c>
      <c r="C46" s="310">
        <f>SUM(C47:C51)</f>
        <v>0</v>
      </c>
    </row>
    <row r="47" spans="1:3" ht="12" customHeight="1">
      <c r="A47" s="444" t="s">
        <v>98</v>
      </c>
      <c r="B47" s="9" t="s">
        <v>49</v>
      </c>
      <c r="C47" s="69"/>
    </row>
    <row r="48" spans="1:3" ht="12" customHeight="1">
      <c r="A48" s="444" t="s">
        <v>99</v>
      </c>
      <c r="B48" s="8" t="s">
        <v>183</v>
      </c>
      <c r="C48" s="72"/>
    </row>
    <row r="49" spans="1:3" ht="12" customHeight="1">
      <c r="A49" s="444" t="s">
        <v>100</v>
      </c>
      <c r="B49" s="8" t="s">
        <v>140</v>
      </c>
      <c r="C49" s="72"/>
    </row>
    <row r="50" spans="1:3" ht="12" customHeight="1">
      <c r="A50" s="444" t="s">
        <v>101</v>
      </c>
      <c r="B50" s="8" t="s">
        <v>184</v>
      </c>
      <c r="C50" s="72"/>
    </row>
    <row r="51" spans="1:3" ht="12" customHeight="1" thickBot="1">
      <c r="A51" s="444" t="s">
        <v>148</v>
      </c>
      <c r="B51" s="8" t="s">
        <v>185</v>
      </c>
      <c r="C51" s="72"/>
    </row>
    <row r="52" spans="1:3" ht="12" customHeight="1" thickBot="1">
      <c r="A52" s="193" t="s">
        <v>19</v>
      </c>
      <c r="B52" s="118" t="s">
        <v>416</v>
      </c>
      <c r="C52" s="310">
        <f>SUM(C53:C55)</f>
        <v>0</v>
      </c>
    </row>
    <row r="53" spans="1:3" s="452" customFormat="1" ht="12" customHeight="1">
      <c r="A53" s="444" t="s">
        <v>104</v>
      </c>
      <c r="B53" s="9" t="s">
        <v>230</v>
      </c>
      <c r="C53" s="69"/>
    </row>
    <row r="54" spans="1:3" ht="12" customHeight="1">
      <c r="A54" s="444" t="s">
        <v>105</v>
      </c>
      <c r="B54" s="8" t="s">
        <v>187</v>
      </c>
      <c r="C54" s="72"/>
    </row>
    <row r="55" spans="1:3" ht="12" customHeight="1">
      <c r="A55" s="444" t="s">
        <v>106</v>
      </c>
      <c r="B55" s="8" t="s">
        <v>58</v>
      </c>
      <c r="C55" s="72"/>
    </row>
    <row r="56" spans="1:3" ht="12" customHeight="1" thickBot="1">
      <c r="A56" s="444" t="s">
        <v>107</v>
      </c>
      <c r="B56" s="8" t="s">
        <v>524</v>
      </c>
      <c r="C56" s="72"/>
    </row>
    <row r="57" spans="1:3" ht="15.2" customHeight="1" thickBot="1">
      <c r="A57" s="193" t="s">
        <v>20</v>
      </c>
      <c r="B57" s="118" t="s">
        <v>13</v>
      </c>
      <c r="C57" s="336"/>
    </row>
    <row r="58" spans="1:3" ht="13.5" thickBot="1">
      <c r="A58" s="193" t="s">
        <v>21</v>
      </c>
      <c r="B58" s="235" t="s">
        <v>529</v>
      </c>
      <c r="C58" s="358">
        <f>+C46+C52+C57</f>
        <v>0</v>
      </c>
    </row>
    <row r="59" spans="1:3" ht="15.2" customHeight="1" thickBot="1">
      <c r="C59" s="623">
        <f>C42-C58</f>
        <v>0</v>
      </c>
    </row>
    <row r="60" spans="1:3" ht="14.45" customHeight="1" thickBot="1">
      <c r="A60" s="238" t="s">
        <v>519</v>
      </c>
      <c r="B60" s="239"/>
      <c r="C60" s="115"/>
    </row>
    <row r="61" spans="1:3" ht="13.5" thickBot="1">
      <c r="A61" s="238" t="s">
        <v>206</v>
      </c>
      <c r="B61" s="239"/>
      <c r="C61" s="115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>
  <sheetPr>
    <tabColor rgb="FF92D050"/>
  </sheetPr>
  <dimension ref="A1:C61"/>
  <sheetViews>
    <sheetView zoomScale="120" zoomScaleNormal="120" workbookViewId="0">
      <selection activeCell="E3" sqref="E3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16384" width="9.33203125" style="237"/>
  </cols>
  <sheetData>
    <row r="1" spans="1:3" s="217" customFormat="1" ht="21.2" customHeight="1" thickBot="1">
      <c r="A1" s="216"/>
      <c r="B1" s="218"/>
      <c r="C1" s="588" t="str">
        <f ca="1">CONCATENATE("9.2.3. melléklet ",ALAPADATOK!A7," ",ALAPADATOK!B7," ",ALAPADATOK!C7," ",ALAPADATOK!D7," ",ALAPADATOK!E7," ",ALAPADATOK!F7," ",ALAPADATOK!G7," ",ALAPADATOK!H7)</f>
        <v>9.2.3. melléklet a … / 2019 ( … ) önkormányzati rendelethez</v>
      </c>
    </row>
    <row r="2" spans="1:3" s="448" customFormat="1" ht="36">
      <c r="A2" s="400" t="s">
        <v>204</v>
      </c>
      <c r="B2" s="586" t="str">
        <f ca="1">CONCATENATE(ALAPADATOK!A11)</f>
        <v>Dabasi Polgármesteri Hivatal</v>
      </c>
      <c r="C2" s="359" t="s">
        <v>59</v>
      </c>
    </row>
    <row r="3" spans="1:3" s="448" customFormat="1" ht="24.75" thickBot="1">
      <c r="A3" s="442" t="s">
        <v>203</v>
      </c>
      <c r="B3" s="587" t="s">
        <v>530</v>
      </c>
      <c r="C3" s="360" t="s">
        <v>431</v>
      </c>
    </row>
    <row r="4" spans="1:3" s="449" customFormat="1" ht="15.95" customHeight="1" thickBot="1">
      <c r="A4" s="219"/>
      <c r="B4" s="219"/>
      <c r="C4" s="220" t="str">
        <f ca="1">KV_9.2.2.sz.mell!C4</f>
        <v/>
      </c>
    </row>
    <row r="5" spans="1:3" ht="13.5" thickBot="1">
      <c r="A5" s="401" t="s">
        <v>205</v>
      </c>
      <c r="B5" s="221" t="s">
        <v>563</v>
      </c>
      <c r="C5" s="222" t="s">
        <v>55</v>
      </c>
    </row>
    <row r="6" spans="1:3" s="450" customFormat="1" ht="12.95" customHeight="1" thickBot="1">
      <c r="A6" s="185"/>
      <c r="B6" s="186" t="s">
        <v>493</v>
      </c>
      <c r="C6" s="187" t="s">
        <v>494</v>
      </c>
    </row>
    <row r="7" spans="1:3" s="450" customFormat="1" ht="15.95" customHeight="1" thickBot="1">
      <c r="A7" s="223"/>
      <c r="B7" s="224" t="s">
        <v>56</v>
      </c>
      <c r="C7" s="225"/>
    </row>
    <row r="8" spans="1:3" s="361" customFormat="1" ht="12" customHeight="1" thickBot="1">
      <c r="A8" s="185" t="s">
        <v>18</v>
      </c>
      <c r="B8" s="226" t="s">
        <v>520</v>
      </c>
      <c r="C8" s="310">
        <f>SUM(C9:C19)</f>
        <v>0</v>
      </c>
    </row>
    <row r="9" spans="1:3" s="361" customFormat="1" ht="12" customHeight="1">
      <c r="A9" s="443" t="s">
        <v>98</v>
      </c>
      <c r="B9" s="10" t="s">
        <v>277</v>
      </c>
      <c r="C9" s="351"/>
    </row>
    <row r="10" spans="1:3" s="361" customFormat="1" ht="12" customHeight="1">
      <c r="A10" s="444" t="s">
        <v>99</v>
      </c>
      <c r="B10" s="8" t="s">
        <v>278</v>
      </c>
      <c r="C10" s="308"/>
    </row>
    <row r="11" spans="1:3" s="361" customFormat="1" ht="12" customHeight="1">
      <c r="A11" s="444" t="s">
        <v>100</v>
      </c>
      <c r="B11" s="8" t="s">
        <v>279</v>
      </c>
      <c r="C11" s="308"/>
    </row>
    <row r="12" spans="1:3" s="361" customFormat="1" ht="12" customHeight="1">
      <c r="A12" s="444" t="s">
        <v>101</v>
      </c>
      <c r="B12" s="8" t="s">
        <v>280</v>
      </c>
      <c r="C12" s="308"/>
    </row>
    <row r="13" spans="1:3" s="361" customFormat="1" ht="12" customHeight="1">
      <c r="A13" s="444" t="s">
        <v>148</v>
      </c>
      <c r="B13" s="8" t="s">
        <v>281</v>
      </c>
      <c r="C13" s="308"/>
    </row>
    <row r="14" spans="1:3" s="361" customFormat="1" ht="12" customHeight="1">
      <c r="A14" s="444" t="s">
        <v>102</v>
      </c>
      <c r="B14" s="8" t="s">
        <v>399</v>
      </c>
      <c r="C14" s="308"/>
    </row>
    <row r="15" spans="1:3" s="361" customFormat="1" ht="12" customHeight="1">
      <c r="A15" s="444" t="s">
        <v>103</v>
      </c>
      <c r="B15" s="7" t="s">
        <v>400</v>
      </c>
      <c r="C15" s="308"/>
    </row>
    <row r="16" spans="1:3" s="361" customFormat="1" ht="12" customHeight="1">
      <c r="A16" s="444" t="s">
        <v>113</v>
      </c>
      <c r="B16" s="8" t="s">
        <v>284</v>
      </c>
      <c r="C16" s="352"/>
    </row>
    <row r="17" spans="1:3" s="451" customFormat="1" ht="12" customHeight="1">
      <c r="A17" s="444" t="s">
        <v>114</v>
      </c>
      <c r="B17" s="8" t="s">
        <v>285</v>
      </c>
      <c r="C17" s="308"/>
    </row>
    <row r="18" spans="1:3" s="451" customFormat="1" ht="12" customHeight="1">
      <c r="A18" s="444" t="s">
        <v>115</v>
      </c>
      <c r="B18" s="8" t="s">
        <v>436</v>
      </c>
      <c r="C18" s="309"/>
    </row>
    <row r="19" spans="1:3" s="451" customFormat="1" ht="12" customHeight="1" thickBot="1">
      <c r="A19" s="444" t="s">
        <v>116</v>
      </c>
      <c r="B19" s="7" t="s">
        <v>286</v>
      </c>
      <c r="C19" s="309"/>
    </row>
    <row r="20" spans="1:3" s="361" customFormat="1" ht="12" customHeight="1" thickBot="1">
      <c r="A20" s="185" t="s">
        <v>19</v>
      </c>
      <c r="B20" s="226" t="s">
        <v>401</v>
      </c>
      <c r="C20" s="310">
        <f>SUM(C21:C23)</f>
        <v>0</v>
      </c>
    </row>
    <row r="21" spans="1:3" s="451" customFormat="1" ht="12" customHeight="1">
      <c r="A21" s="444" t="s">
        <v>104</v>
      </c>
      <c r="B21" s="9" t="s">
        <v>258</v>
      </c>
      <c r="C21" s="308"/>
    </row>
    <row r="22" spans="1:3" s="451" customFormat="1" ht="12" customHeight="1">
      <c r="A22" s="444" t="s">
        <v>105</v>
      </c>
      <c r="B22" s="8" t="s">
        <v>402</v>
      </c>
      <c r="C22" s="308"/>
    </row>
    <row r="23" spans="1:3" s="451" customFormat="1" ht="12" customHeight="1">
      <c r="A23" s="444" t="s">
        <v>106</v>
      </c>
      <c r="B23" s="8" t="s">
        <v>403</v>
      </c>
      <c r="C23" s="308"/>
    </row>
    <row r="24" spans="1:3" s="451" customFormat="1" ht="12" customHeight="1" thickBot="1">
      <c r="A24" s="444" t="s">
        <v>107</v>
      </c>
      <c r="B24" s="8" t="s">
        <v>521</v>
      </c>
      <c r="C24" s="308"/>
    </row>
    <row r="25" spans="1:3" s="451" customFormat="1" ht="12" customHeight="1" thickBot="1">
      <c r="A25" s="193" t="s">
        <v>20</v>
      </c>
      <c r="B25" s="118" t="s">
        <v>174</v>
      </c>
      <c r="C25" s="336"/>
    </row>
    <row r="26" spans="1:3" s="451" customFormat="1" ht="12" customHeight="1" thickBot="1">
      <c r="A26" s="193" t="s">
        <v>21</v>
      </c>
      <c r="B26" s="118" t="s">
        <v>522</v>
      </c>
      <c r="C26" s="310">
        <f>+C27+C28+C29</f>
        <v>0</v>
      </c>
    </row>
    <row r="27" spans="1:3" s="451" customFormat="1" ht="12" customHeight="1">
      <c r="A27" s="445" t="s">
        <v>268</v>
      </c>
      <c r="B27" s="446" t="s">
        <v>263</v>
      </c>
      <c r="C27" s="69"/>
    </row>
    <row r="28" spans="1:3" s="451" customFormat="1" ht="12" customHeight="1">
      <c r="A28" s="445" t="s">
        <v>269</v>
      </c>
      <c r="B28" s="446" t="s">
        <v>402</v>
      </c>
      <c r="C28" s="308"/>
    </row>
    <row r="29" spans="1:3" s="451" customFormat="1" ht="12" customHeight="1">
      <c r="A29" s="445" t="s">
        <v>270</v>
      </c>
      <c r="B29" s="447" t="s">
        <v>405</v>
      </c>
      <c r="C29" s="308"/>
    </row>
    <row r="30" spans="1:3" s="451" customFormat="1" ht="12" customHeight="1" thickBot="1">
      <c r="A30" s="444" t="s">
        <v>271</v>
      </c>
      <c r="B30" s="135" t="s">
        <v>523</v>
      </c>
      <c r="C30" s="76"/>
    </row>
    <row r="31" spans="1:3" s="451" customFormat="1" ht="12" customHeight="1" thickBot="1">
      <c r="A31" s="193" t="s">
        <v>22</v>
      </c>
      <c r="B31" s="118" t="s">
        <v>406</v>
      </c>
      <c r="C31" s="310">
        <f>+C32+C33+C34</f>
        <v>0</v>
      </c>
    </row>
    <row r="32" spans="1:3" s="451" customFormat="1" ht="12" customHeight="1">
      <c r="A32" s="445" t="s">
        <v>91</v>
      </c>
      <c r="B32" s="446" t="s">
        <v>291</v>
      </c>
      <c r="C32" s="69"/>
    </row>
    <row r="33" spans="1:3" s="451" customFormat="1" ht="12" customHeight="1">
      <c r="A33" s="445" t="s">
        <v>92</v>
      </c>
      <c r="B33" s="447" t="s">
        <v>292</v>
      </c>
      <c r="C33" s="311"/>
    </row>
    <row r="34" spans="1:3" s="451" customFormat="1" ht="12" customHeight="1" thickBot="1">
      <c r="A34" s="444" t="s">
        <v>93</v>
      </c>
      <c r="B34" s="135" t="s">
        <v>293</v>
      </c>
      <c r="C34" s="76"/>
    </row>
    <row r="35" spans="1:3" s="361" customFormat="1" ht="12" customHeight="1" thickBot="1">
      <c r="A35" s="193" t="s">
        <v>23</v>
      </c>
      <c r="B35" s="118" t="s">
        <v>376</v>
      </c>
      <c r="C35" s="336"/>
    </row>
    <row r="36" spans="1:3" s="361" customFormat="1" ht="12" customHeight="1" thickBot="1">
      <c r="A36" s="193" t="s">
        <v>24</v>
      </c>
      <c r="B36" s="118" t="s">
        <v>407</v>
      </c>
      <c r="C36" s="353"/>
    </row>
    <row r="37" spans="1:3" s="361" customFormat="1" ht="12" customHeight="1" thickBot="1">
      <c r="A37" s="185" t="s">
        <v>25</v>
      </c>
      <c r="B37" s="118" t="s">
        <v>408</v>
      </c>
      <c r="C37" s="354">
        <f>+C8+C20+C25+C26+C31+C35+C36</f>
        <v>0</v>
      </c>
    </row>
    <row r="38" spans="1:3" s="361" customFormat="1" ht="12" customHeight="1" thickBot="1">
      <c r="A38" s="227" t="s">
        <v>26</v>
      </c>
      <c r="B38" s="118" t="s">
        <v>409</v>
      </c>
      <c r="C38" s="354">
        <f>+C39+C40+C41</f>
        <v>0</v>
      </c>
    </row>
    <row r="39" spans="1:3" s="361" customFormat="1" ht="12" customHeight="1">
      <c r="A39" s="445" t="s">
        <v>410</v>
      </c>
      <c r="B39" s="446" t="s">
        <v>236</v>
      </c>
      <c r="C39" s="69"/>
    </row>
    <row r="40" spans="1:3" s="361" customFormat="1" ht="12" customHeight="1">
      <c r="A40" s="445" t="s">
        <v>411</v>
      </c>
      <c r="B40" s="447" t="s">
        <v>2</v>
      </c>
      <c r="C40" s="311"/>
    </row>
    <row r="41" spans="1:3" s="451" customFormat="1" ht="12" customHeight="1" thickBot="1">
      <c r="A41" s="444" t="s">
        <v>412</v>
      </c>
      <c r="B41" s="135" t="s">
        <v>413</v>
      </c>
      <c r="C41" s="76"/>
    </row>
    <row r="42" spans="1:3" s="451" customFormat="1" ht="15.2" customHeight="1" thickBot="1">
      <c r="A42" s="227" t="s">
        <v>27</v>
      </c>
      <c r="B42" s="228" t="s">
        <v>414</v>
      </c>
      <c r="C42" s="357">
        <f>+C37+C38</f>
        <v>0</v>
      </c>
    </row>
    <row r="43" spans="1:3" s="451" customFormat="1" ht="15.2" customHeight="1">
      <c r="A43" s="229"/>
      <c r="B43" s="230"/>
      <c r="C43" s="355"/>
    </row>
    <row r="44" spans="1:3" ht="13.5" thickBot="1">
      <c r="A44" s="231"/>
      <c r="B44" s="232"/>
      <c r="C44" s="356"/>
    </row>
    <row r="45" spans="1:3" s="450" customFormat="1" ht="16.5" customHeight="1" thickBot="1">
      <c r="A45" s="233"/>
      <c r="B45" s="234" t="s">
        <v>57</v>
      </c>
      <c r="C45" s="357"/>
    </row>
    <row r="46" spans="1:3" s="452" customFormat="1" ht="12" customHeight="1" thickBot="1">
      <c r="A46" s="193" t="s">
        <v>18</v>
      </c>
      <c r="B46" s="118" t="s">
        <v>415</v>
      </c>
      <c r="C46" s="310">
        <f>SUM(C47:C51)</f>
        <v>0</v>
      </c>
    </row>
    <row r="47" spans="1:3" ht="12" customHeight="1">
      <c r="A47" s="444" t="s">
        <v>98</v>
      </c>
      <c r="B47" s="9" t="s">
        <v>49</v>
      </c>
      <c r="C47" s="69"/>
    </row>
    <row r="48" spans="1:3" ht="12" customHeight="1">
      <c r="A48" s="444" t="s">
        <v>99</v>
      </c>
      <c r="B48" s="8" t="s">
        <v>183</v>
      </c>
      <c r="C48" s="72"/>
    </row>
    <row r="49" spans="1:3" ht="12" customHeight="1">
      <c r="A49" s="444" t="s">
        <v>100</v>
      </c>
      <c r="B49" s="8" t="s">
        <v>140</v>
      </c>
      <c r="C49" s="72"/>
    </row>
    <row r="50" spans="1:3" ht="12" customHeight="1">
      <c r="A50" s="444" t="s">
        <v>101</v>
      </c>
      <c r="B50" s="8" t="s">
        <v>184</v>
      </c>
      <c r="C50" s="72"/>
    </row>
    <row r="51" spans="1:3" ht="12" customHeight="1" thickBot="1">
      <c r="A51" s="444" t="s">
        <v>148</v>
      </c>
      <c r="B51" s="8" t="s">
        <v>185</v>
      </c>
      <c r="C51" s="72"/>
    </row>
    <row r="52" spans="1:3" ht="12" customHeight="1" thickBot="1">
      <c r="A52" s="193" t="s">
        <v>19</v>
      </c>
      <c r="B52" s="118" t="s">
        <v>416</v>
      </c>
      <c r="C52" s="310">
        <f>SUM(C53:C55)</f>
        <v>0</v>
      </c>
    </row>
    <row r="53" spans="1:3" s="452" customFormat="1" ht="12" customHeight="1">
      <c r="A53" s="444" t="s">
        <v>104</v>
      </c>
      <c r="B53" s="9" t="s">
        <v>230</v>
      </c>
      <c r="C53" s="69"/>
    </row>
    <row r="54" spans="1:3" ht="12" customHeight="1">
      <c r="A54" s="444" t="s">
        <v>105</v>
      </c>
      <c r="B54" s="8" t="s">
        <v>187</v>
      </c>
      <c r="C54" s="72"/>
    </row>
    <row r="55" spans="1:3" ht="12" customHeight="1">
      <c r="A55" s="444" t="s">
        <v>106</v>
      </c>
      <c r="B55" s="8" t="s">
        <v>58</v>
      </c>
      <c r="C55" s="72"/>
    </row>
    <row r="56" spans="1:3" ht="12" customHeight="1" thickBot="1">
      <c r="A56" s="444" t="s">
        <v>107</v>
      </c>
      <c r="B56" s="8" t="s">
        <v>524</v>
      </c>
      <c r="C56" s="72"/>
    </row>
    <row r="57" spans="1:3" ht="15.2" customHeight="1" thickBot="1">
      <c r="A57" s="193" t="s">
        <v>20</v>
      </c>
      <c r="B57" s="118" t="s">
        <v>13</v>
      </c>
      <c r="C57" s="336"/>
    </row>
    <row r="58" spans="1:3" ht="13.5" thickBot="1">
      <c r="A58" s="193" t="s">
        <v>21</v>
      </c>
      <c r="B58" s="235" t="s">
        <v>529</v>
      </c>
      <c r="C58" s="358">
        <f>+C46+C52+C57</f>
        <v>0</v>
      </c>
    </row>
    <row r="59" spans="1:3" ht="15.2" customHeight="1" thickBot="1">
      <c r="C59" s="623">
        <f>C42-C58</f>
        <v>0</v>
      </c>
    </row>
    <row r="60" spans="1:3" ht="14.45" customHeight="1" thickBot="1">
      <c r="A60" s="238" t="s">
        <v>519</v>
      </c>
      <c r="B60" s="239"/>
      <c r="C60" s="115"/>
    </row>
    <row r="61" spans="1:3" ht="13.5" thickBot="1">
      <c r="A61" s="238" t="s">
        <v>206</v>
      </c>
      <c r="B61" s="239"/>
      <c r="C61" s="115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>
  <sheetPr>
    <tabColor rgb="FF92D050"/>
  </sheetPr>
  <dimension ref="A1:I61"/>
  <sheetViews>
    <sheetView topLeftCell="A34" zoomScale="120" zoomScaleNormal="120" workbookViewId="0">
      <selection activeCell="H41" sqref="H41"/>
    </sheetView>
  </sheetViews>
  <sheetFormatPr defaultRowHeight="12.75"/>
  <cols>
    <col min="1" max="1" width="13.83203125" style="236" customWidth="1"/>
    <col min="2" max="2" width="79.1640625" style="237" customWidth="1"/>
    <col min="3" max="3" width="16.83203125" style="237" customWidth="1"/>
    <col min="4" max="4" width="13" style="237" customWidth="1"/>
    <col min="5" max="5" width="14.33203125" style="237" customWidth="1"/>
    <col min="6" max="6" width="15.1640625" style="237" customWidth="1"/>
    <col min="7" max="7" width="12.1640625" style="237" customWidth="1"/>
    <col min="8" max="8" width="15.1640625" style="237" customWidth="1"/>
    <col min="9" max="9" width="12.1640625" style="237" customWidth="1"/>
    <col min="10" max="16384" width="9.33203125" style="237"/>
  </cols>
  <sheetData>
    <row r="1" spans="1:9" s="217" customFormat="1" ht="21.2" customHeight="1" thickBot="1">
      <c r="A1" s="216"/>
      <c r="B1" s="218"/>
      <c r="C1" s="588" t="str">
        <f ca="1">CONCATENATE("9.3. melléklet ",ALAPADATOK!A7," ",ALAPADATOK!B7," ",ALAPADATOK!C7," ",ALAPADATOK!D7," ",ALAPADATOK!E7," ",ALAPADATOK!F7," ",ALAPADATOK!G7," ",ALAPADATOK!H7)</f>
        <v>9.3. melléklet a … / 2019 ( … ) önkormányzati rendelethez</v>
      </c>
    </row>
    <row r="2" spans="1:9" s="448" customFormat="1" ht="36">
      <c r="A2" s="400" t="s">
        <v>204</v>
      </c>
      <c r="B2" s="645" t="str">
        <f ca="1">CONCATENATE(ALAPADATOK!B13)</f>
        <v>Dabas Sári Óvoda</v>
      </c>
      <c r="C2" s="359" t="s">
        <v>60</v>
      </c>
    </row>
    <row r="3" spans="1:9" s="448" customFormat="1" ht="24.75" thickBot="1">
      <c r="A3" s="442" t="s">
        <v>203</v>
      </c>
      <c r="B3" s="587" t="s">
        <v>398</v>
      </c>
      <c r="C3" s="360" t="s">
        <v>54</v>
      </c>
    </row>
    <row r="4" spans="1:9" s="449" customFormat="1" ht="15.95" customHeight="1" thickBot="1">
      <c r="A4" s="219"/>
      <c r="B4" s="219"/>
      <c r="C4" s="220" t="str">
        <f ca="1">KV_9.2.3.sz.mell!C4</f>
        <v/>
      </c>
    </row>
    <row r="5" spans="1:9" ht="48.75" thickBot="1">
      <c r="A5" s="401" t="s">
        <v>205</v>
      </c>
      <c r="B5" s="221" t="s">
        <v>563</v>
      </c>
      <c r="C5" s="222" t="s">
        <v>55</v>
      </c>
      <c r="D5" s="605" t="s">
        <v>753</v>
      </c>
      <c r="E5" s="605" t="s">
        <v>744</v>
      </c>
      <c r="F5" s="605" t="s">
        <v>812</v>
      </c>
      <c r="G5" s="605" t="s">
        <v>744</v>
      </c>
      <c r="H5" s="605" t="s">
        <v>826</v>
      </c>
      <c r="I5" s="605" t="s">
        <v>744</v>
      </c>
    </row>
    <row r="6" spans="1:9" s="450" customFormat="1" ht="12.95" customHeight="1" thickBot="1">
      <c r="A6" s="185"/>
      <c r="B6" s="186" t="s">
        <v>493</v>
      </c>
      <c r="C6" s="187" t="s">
        <v>494</v>
      </c>
      <c r="D6" s="720" t="s">
        <v>495</v>
      </c>
      <c r="E6" s="721" t="s">
        <v>497</v>
      </c>
      <c r="F6" s="720" t="s">
        <v>495</v>
      </c>
      <c r="G6" s="721" t="s">
        <v>497</v>
      </c>
      <c r="H6" s="720" t="s">
        <v>495</v>
      </c>
      <c r="I6" s="721" t="s">
        <v>497</v>
      </c>
    </row>
    <row r="7" spans="1:9" s="450" customFormat="1" ht="15.95" customHeight="1" thickBot="1">
      <c r="A7" s="223"/>
      <c r="B7" s="224" t="s">
        <v>56</v>
      </c>
      <c r="C7" s="225"/>
    </row>
    <row r="8" spans="1:9" s="361" customFormat="1" ht="12" customHeight="1" thickBot="1">
      <c r="A8" s="185" t="s">
        <v>18</v>
      </c>
      <c r="B8" s="226" t="s">
        <v>520</v>
      </c>
      <c r="C8" s="310">
        <f>SUM(C9:C19)</f>
        <v>0</v>
      </c>
      <c r="D8" s="710">
        <f>SUM(D9:D19)</f>
        <v>0</v>
      </c>
      <c r="E8" s="716">
        <f>SUM(C8+D8)</f>
        <v>0</v>
      </c>
      <c r="F8" s="710">
        <f>SUM(F9:F19)</f>
        <v>0</v>
      </c>
      <c r="G8" s="716">
        <f>SUM(E8+F8)</f>
        <v>0</v>
      </c>
      <c r="H8" s="710">
        <f>SUM(H9:H19)</f>
        <v>0</v>
      </c>
      <c r="I8" s="716">
        <f>SUM(G8+H8)</f>
        <v>0</v>
      </c>
    </row>
    <row r="9" spans="1:9" s="361" customFormat="1" ht="12" customHeight="1">
      <c r="A9" s="443" t="s">
        <v>98</v>
      </c>
      <c r="B9" s="10" t="s">
        <v>277</v>
      </c>
      <c r="C9" s="351"/>
      <c r="D9" s="709"/>
      <c r="E9" s="713">
        <f t="shared" ref="E9:E42" si="0">SUM(C9+D9)</f>
        <v>0</v>
      </c>
      <c r="F9" s="709"/>
      <c r="G9" s="713">
        <f t="shared" ref="G9:G42" si="1">SUM(E9+F9)</f>
        <v>0</v>
      </c>
      <c r="H9" s="709"/>
      <c r="I9" s="713">
        <f t="shared" ref="I9:I42" si="2">SUM(G9+H9)</f>
        <v>0</v>
      </c>
    </row>
    <row r="10" spans="1:9" s="361" customFormat="1" ht="12" customHeight="1">
      <c r="A10" s="444" t="s">
        <v>99</v>
      </c>
      <c r="B10" s="8" t="s">
        <v>278</v>
      </c>
      <c r="C10" s="308"/>
      <c r="D10" s="707"/>
      <c r="E10" s="714">
        <f t="shared" si="0"/>
        <v>0</v>
      </c>
      <c r="F10" s="707"/>
      <c r="G10" s="714">
        <f t="shared" si="1"/>
        <v>0</v>
      </c>
      <c r="H10" s="707"/>
      <c r="I10" s="714">
        <f t="shared" si="2"/>
        <v>0</v>
      </c>
    </row>
    <row r="11" spans="1:9" s="361" customFormat="1" ht="12" customHeight="1">
      <c r="A11" s="444" t="s">
        <v>100</v>
      </c>
      <c r="B11" s="8" t="s">
        <v>279</v>
      </c>
      <c r="C11" s="308"/>
      <c r="D11" s="707"/>
      <c r="E11" s="714">
        <f t="shared" si="0"/>
        <v>0</v>
      </c>
      <c r="F11" s="707"/>
      <c r="G11" s="714">
        <f t="shared" si="1"/>
        <v>0</v>
      </c>
      <c r="H11" s="707"/>
      <c r="I11" s="714">
        <f t="shared" si="2"/>
        <v>0</v>
      </c>
    </row>
    <row r="12" spans="1:9" s="361" customFormat="1" ht="12" customHeight="1">
      <c r="A12" s="444" t="s">
        <v>101</v>
      </c>
      <c r="B12" s="8" t="s">
        <v>280</v>
      </c>
      <c r="C12" s="308"/>
      <c r="D12" s="707"/>
      <c r="E12" s="714">
        <f t="shared" si="0"/>
        <v>0</v>
      </c>
      <c r="F12" s="707"/>
      <c r="G12" s="714">
        <f t="shared" si="1"/>
        <v>0</v>
      </c>
      <c r="H12" s="707"/>
      <c r="I12" s="714">
        <f t="shared" si="2"/>
        <v>0</v>
      </c>
    </row>
    <row r="13" spans="1:9" s="361" customFormat="1" ht="12" customHeight="1">
      <c r="A13" s="444" t="s">
        <v>148</v>
      </c>
      <c r="B13" s="8" t="s">
        <v>281</v>
      </c>
      <c r="C13" s="308"/>
      <c r="D13" s="707"/>
      <c r="E13" s="714">
        <f t="shared" si="0"/>
        <v>0</v>
      </c>
      <c r="F13" s="707"/>
      <c r="G13" s="714">
        <f t="shared" si="1"/>
        <v>0</v>
      </c>
      <c r="H13" s="707"/>
      <c r="I13" s="714">
        <f t="shared" si="2"/>
        <v>0</v>
      </c>
    </row>
    <row r="14" spans="1:9" s="361" customFormat="1" ht="12" customHeight="1">
      <c r="A14" s="444" t="s">
        <v>102</v>
      </c>
      <c r="B14" s="8" t="s">
        <v>399</v>
      </c>
      <c r="C14" s="308"/>
      <c r="D14" s="707"/>
      <c r="E14" s="714">
        <f t="shared" si="0"/>
        <v>0</v>
      </c>
      <c r="F14" s="707"/>
      <c r="G14" s="714">
        <f t="shared" si="1"/>
        <v>0</v>
      </c>
      <c r="H14" s="707"/>
      <c r="I14" s="714">
        <f t="shared" si="2"/>
        <v>0</v>
      </c>
    </row>
    <row r="15" spans="1:9" s="361" customFormat="1" ht="12" customHeight="1">
      <c r="A15" s="444" t="s">
        <v>103</v>
      </c>
      <c r="B15" s="7" t="s">
        <v>400</v>
      </c>
      <c r="C15" s="308"/>
      <c r="D15" s="707"/>
      <c r="E15" s="714">
        <f t="shared" si="0"/>
        <v>0</v>
      </c>
      <c r="F15" s="707"/>
      <c r="G15" s="714">
        <f t="shared" si="1"/>
        <v>0</v>
      </c>
      <c r="H15" s="707"/>
      <c r="I15" s="714">
        <f t="shared" si="2"/>
        <v>0</v>
      </c>
    </row>
    <row r="16" spans="1:9" s="361" customFormat="1" ht="12" customHeight="1">
      <c r="A16" s="444" t="s">
        <v>113</v>
      </c>
      <c r="B16" s="8" t="s">
        <v>284</v>
      </c>
      <c r="C16" s="352"/>
      <c r="D16" s="707"/>
      <c r="E16" s="714">
        <f t="shared" si="0"/>
        <v>0</v>
      </c>
      <c r="F16" s="707"/>
      <c r="G16" s="714">
        <f t="shared" si="1"/>
        <v>0</v>
      </c>
      <c r="H16" s="707"/>
      <c r="I16" s="714">
        <f t="shared" si="2"/>
        <v>0</v>
      </c>
    </row>
    <row r="17" spans="1:9" s="451" customFormat="1" ht="12" customHeight="1">
      <c r="A17" s="444" t="s">
        <v>114</v>
      </c>
      <c r="B17" s="8" t="s">
        <v>285</v>
      </c>
      <c r="C17" s="308"/>
      <c r="D17" s="707"/>
      <c r="E17" s="714">
        <f t="shared" si="0"/>
        <v>0</v>
      </c>
      <c r="F17" s="707"/>
      <c r="G17" s="714">
        <f t="shared" si="1"/>
        <v>0</v>
      </c>
      <c r="H17" s="707"/>
      <c r="I17" s="714">
        <f t="shared" si="2"/>
        <v>0</v>
      </c>
    </row>
    <row r="18" spans="1:9" s="451" customFormat="1" ht="12" customHeight="1">
      <c r="A18" s="444" t="s">
        <v>115</v>
      </c>
      <c r="B18" s="8" t="s">
        <v>436</v>
      </c>
      <c r="C18" s="309"/>
      <c r="D18" s="707"/>
      <c r="E18" s="714">
        <f t="shared" si="0"/>
        <v>0</v>
      </c>
      <c r="F18" s="707"/>
      <c r="G18" s="714">
        <f t="shared" si="1"/>
        <v>0</v>
      </c>
      <c r="H18" s="707"/>
      <c r="I18" s="714">
        <f t="shared" si="2"/>
        <v>0</v>
      </c>
    </row>
    <row r="19" spans="1:9" s="451" customFormat="1" ht="12" customHeight="1" thickBot="1">
      <c r="A19" s="444" t="s">
        <v>116</v>
      </c>
      <c r="B19" s="7" t="s">
        <v>286</v>
      </c>
      <c r="C19" s="309"/>
      <c r="D19" s="708"/>
      <c r="E19" s="715">
        <f t="shared" si="0"/>
        <v>0</v>
      </c>
      <c r="F19" s="708"/>
      <c r="G19" s="715">
        <f t="shared" si="1"/>
        <v>0</v>
      </c>
      <c r="H19" s="708"/>
      <c r="I19" s="715">
        <f t="shared" si="2"/>
        <v>0</v>
      </c>
    </row>
    <row r="20" spans="1:9" s="361" customFormat="1" ht="12" customHeight="1" thickBot="1">
      <c r="A20" s="185" t="s">
        <v>19</v>
      </c>
      <c r="B20" s="226" t="s">
        <v>401</v>
      </c>
      <c r="C20" s="310">
        <f>SUM(C21:C23)</f>
        <v>0</v>
      </c>
      <c r="D20" s="710">
        <f>SUM(D21:D23)</f>
        <v>0</v>
      </c>
      <c r="E20" s="716">
        <f t="shared" si="0"/>
        <v>0</v>
      </c>
      <c r="F20" s="710">
        <f>SUM(F21:F23)</f>
        <v>0</v>
      </c>
      <c r="G20" s="716">
        <f t="shared" si="1"/>
        <v>0</v>
      </c>
      <c r="H20" s="710">
        <f>SUM(H21:H23)</f>
        <v>0</v>
      </c>
      <c r="I20" s="716">
        <f t="shared" si="2"/>
        <v>0</v>
      </c>
    </row>
    <row r="21" spans="1:9" s="451" customFormat="1" ht="12" customHeight="1">
      <c r="A21" s="444" t="s">
        <v>104</v>
      </c>
      <c r="B21" s="9" t="s">
        <v>258</v>
      </c>
      <c r="C21" s="308"/>
      <c r="D21" s="709"/>
      <c r="E21" s="713">
        <f t="shared" si="0"/>
        <v>0</v>
      </c>
      <c r="F21" s="709"/>
      <c r="G21" s="713">
        <f t="shared" si="1"/>
        <v>0</v>
      </c>
      <c r="H21" s="709"/>
      <c r="I21" s="713">
        <f t="shared" si="2"/>
        <v>0</v>
      </c>
    </row>
    <row r="22" spans="1:9" s="451" customFormat="1" ht="12" customHeight="1">
      <c r="A22" s="444" t="s">
        <v>105</v>
      </c>
      <c r="B22" s="8" t="s">
        <v>402</v>
      </c>
      <c r="C22" s="308"/>
      <c r="D22" s="707"/>
      <c r="E22" s="714">
        <f t="shared" si="0"/>
        <v>0</v>
      </c>
      <c r="F22" s="707"/>
      <c r="G22" s="714">
        <f t="shared" si="1"/>
        <v>0</v>
      </c>
      <c r="H22" s="707"/>
      <c r="I22" s="714">
        <f t="shared" si="2"/>
        <v>0</v>
      </c>
    </row>
    <row r="23" spans="1:9" s="451" customFormat="1" ht="12" customHeight="1">
      <c r="A23" s="444" t="s">
        <v>106</v>
      </c>
      <c r="B23" s="8" t="s">
        <v>403</v>
      </c>
      <c r="C23" s="308"/>
      <c r="D23" s="707"/>
      <c r="E23" s="714">
        <f t="shared" si="0"/>
        <v>0</v>
      </c>
      <c r="F23" s="707"/>
      <c r="G23" s="714">
        <f t="shared" si="1"/>
        <v>0</v>
      </c>
      <c r="H23" s="707"/>
      <c r="I23" s="714">
        <f t="shared" si="2"/>
        <v>0</v>
      </c>
    </row>
    <row r="24" spans="1:9" s="451" customFormat="1" ht="12" customHeight="1" thickBot="1">
      <c r="A24" s="444" t="s">
        <v>107</v>
      </c>
      <c r="B24" s="8" t="s">
        <v>525</v>
      </c>
      <c r="C24" s="308"/>
      <c r="D24" s="708"/>
      <c r="E24" s="715">
        <f t="shared" si="0"/>
        <v>0</v>
      </c>
      <c r="F24" s="708"/>
      <c r="G24" s="715">
        <f t="shared" si="1"/>
        <v>0</v>
      </c>
      <c r="H24" s="708"/>
      <c r="I24" s="715">
        <f t="shared" si="2"/>
        <v>0</v>
      </c>
    </row>
    <row r="25" spans="1:9" s="451" customFormat="1" ht="12" customHeight="1" thickBot="1">
      <c r="A25" s="193" t="s">
        <v>20</v>
      </c>
      <c r="B25" s="118" t="s">
        <v>174</v>
      </c>
      <c r="C25" s="336"/>
      <c r="D25" s="710"/>
      <c r="E25" s="712">
        <f t="shared" si="0"/>
        <v>0</v>
      </c>
      <c r="F25" s="710"/>
      <c r="G25" s="712">
        <f t="shared" si="1"/>
        <v>0</v>
      </c>
      <c r="H25" s="710"/>
      <c r="I25" s="712">
        <f t="shared" si="2"/>
        <v>0</v>
      </c>
    </row>
    <row r="26" spans="1:9" s="451" customFormat="1" ht="12" customHeight="1" thickBot="1">
      <c r="A26" s="193" t="s">
        <v>21</v>
      </c>
      <c r="B26" s="118" t="s">
        <v>404</v>
      </c>
      <c r="C26" s="310">
        <f>+C27+C28</f>
        <v>0</v>
      </c>
      <c r="D26" s="710"/>
      <c r="E26" s="712">
        <f t="shared" si="0"/>
        <v>0</v>
      </c>
      <c r="F26" s="710"/>
      <c r="G26" s="712">
        <f t="shared" si="1"/>
        <v>0</v>
      </c>
      <c r="H26" s="710"/>
      <c r="I26" s="712">
        <f t="shared" si="2"/>
        <v>0</v>
      </c>
    </row>
    <row r="27" spans="1:9" s="451" customFormat="1" ht="12" customHeight="1">
      <c r="A27" s="445" t="s">
        <v>268</v>
      </c>
      <c r="B27" s="446" t="s">
        <v>402</v>
      </c>
      <c r="C27" s="69"/>
      <c r="D27" s="709"/>
      <c r="E27" s="713">
        <f t="shared" si="0"/>
        <v>0</v>
      </c>
      <c r="F27" s="709"/>
      <c r="G27" s="713">
        <f t="shared" si="1"/>
        <v>0</v>
      </c>
      <c r="H27" s="709"/>
      <c r="I27" s="713">
        <f t="shared" si="2"/>
        <v>0</v>
      </c>
    </row>
    <row r="28" spans="1:9" s="451" customFormat="1" ht="12" customHeight="1">
      <c r="A28" s="445" t="s">
        <v>269</v>
      </c>
      <c r="B28" s="447" t="s">
        <v>405</v>
      </c>
      <c r="C28" s="311"/>
      <c r="D28" s="707"/>
      <c r="E28" s="714">
        <f t="shared" si="0"/>
        <v>0</v>
      </c>
      <c r="F28" s="707"/>
      <c r="G28" s="714">
        <f t="shared" si="1"/>
        <v>0</v>
      </c>
      <c r="H28" s="707"/>
      <c r="I28" s="714">
        <f t="shared" si="2"/>
        <v>0</v>
      </c>
    </row>
    <row r="29" spans="1:9" s="451" customFormat="1" ht="12" customHeight="1" thickBot="1">
      <c r="A29" s="444" t="s">
        <v>270</v>
      </c>
      <c r="B29" s="135" t="s">
        <v>526</v>
      </c>
      <c r="C29" s="76"/>
      <c r="D29" s="707"/>
      <c r="E29" s="714">
        <f t="shared" si="0"/>
        <v>0</v>
      </c>
      <c r="F29" s="707"/>
      <c r="G29" s="714">
        <f t="shared" si="1"/>
        <v>0</v>
      </c>
      <c r="H29" s="707"/>
      <c r="I29" s="714">
        <f t="shared" si="2"/>
        <v>0</v>
      </c>
    </row>
    <row r="30" spans="1:9" s="451" customFormat="1" ht="12" customHeight="1" thickBot="1">
      <c r="A30" s="193" t="s">
        <v>22</v>
      </c>
      <c r="B30" s="118" t="s">
        <v>406</v>
      </c>
      <c r="C30" s="310">
        <f>+C31+C32+C33</f>
        <v>0</v>
      </c>
      <c r="D30" s="708"/>
      <c r="E30" s="715">
        <f t="shared" si="0"/>
        <v>0</v>
      </c>
      <c r="F30" s="708"/>
      <c r="G30" s="715">
        <f t="shared" si="1"/>
        <v>0</v>
      </c>
      <c r="H30" s="708"/>
      <c r="I30" s="715">
        <f t="shared" si="2"/>
        <v>0</v>
      </c>
    </row>
    <row r="31" spans="1:9" s="451" customFormat="1" ht="12" customHeight="1" thickBot="1">
      <c r="A31" s="445" t="s">
        <v>91</v>
      </c>
      <c r="B31" s="446" t="s">
        <v>291</v>
      </c>
      <c r="C31" s="69"/>
      <c r="D31" s="710"/>
      <c r="E31" s="712">
        <f t="shared" si="0"/>
        <v>0</v>
      </c>
      <c r="F31" s="710"/>
      <c r="G31" s="712">
        <f t="shared" si="1"/>
        <v>0</v>
      </c>
      <c r="H31" s="710"/>
      <c r="I31" s="712">
        <f t="shared" si="2"/>
        <v>0</v>
      </c>
    </row>
    <row r="32" spans="1:9" s="451" customFormat="1" ht="12" customHeight="1">
      <c r="A32" s="445" t="s">
        <v>92</v>
      </c>
      <c r="B32" s="447" t="s">
        <v>292</v>
      </c>
      <c r="C32" s="311"/>
      <c r="D32" s="709"/>
      <c r="E32" s="713">
        <f t="shared" si="0"/>
        <v>0</v>
      </c>
      <c r="F32" s="709"/>
      <c r="G32" s="713">
        <f t="shared" si="1"/>
        <v>0</v>
      </c>
      <c r="H32" s="709"/>
      <c r="I32" s="713">
        <f t="shared" si="2"/>
        <v>0</v>
      </c>
    </row>
    <row r="33" spans="1:9" s="451" customFormat="1" ht="12" customHeight="1" thickBot="1">
      <c r="A33" s="444" t="s">
        <v>93</v>
      </c>
      <c r="B33" s="135" t="s">
        <v>293</v>
      </c>
      <c r="C33" s="76"/>
      <c r="D33" s="707"/>
      <c r="E33" s="714">
        <f t="shared" si="0"/>
        <v>0</v>
      </c>
      <c r="F33" s="707"/>
      <c r="G33" s="714">
        <f t="shared" si="1"/>
        <v>0</v>
      </c>
      <c r="H33" s="707"/>
      <c r="I33" s="714">
        <f t="shared" si="2"/>
        <v>0</v>
      </c>
    </row>
    <row r="34" spans="1:9" s="361" customFormat="1" ht="12" customHeight="1" thickBot="1">
      <c r="A34" s="193" t="s">
        <v>23</v>
      </c>
      <c r="B34" s="118" t="s">
        <v>376</v>
      </c>
      <c r="C34" s="336"/>
      <c r="D34" s="708"/>
      <c r="E34" s="715">
        <f t="shared" si="0"/>
        <v>0</v>
      </c>
      <c r="F34" s="708"/>
      <c r="G34" s="715">
        <f t="shared" si="1"/>
        <v>0</v>
      </c>
      <c r="H34" s="708"/>
      <c r="I34" s="715">
        <f t="shared" si="2"/>
        <v>0</v>
      </c>
    </row>
    <row r="35" spans="1:9" s="361" customFormat="1" ht="12" customHeight="1" thickBot="1">
      <c r="A35" s="193" t="s">
        <v>24</v>
      </c>
      <c r="B35" s="118" t="s">
        <v>407</v>
      </c>
      <c r="C35" s="353"/>
      <c r="D35" s="710"/>
      <c r="E35" s="712">
        <f t="shared" si="0"/>
        <v>0</v>
      </c>
      <c r="F35" s="710"/>
      <c r="G35" s="712">
        <f t="shared" si="1"/>
        <v>0</v>
      </c>
      <c r="H35" s="710"/>
      <c r="I35" s="712">
        <f t="shared" si="2"/>
        <v>0</v>
      </c>
    </row>
    <row r="36" spans="1:9" s="361" customFormat="1" ht="12" customHeight="1" thickBot="1">
      <c r="A36" s="185" t="s">
        <v>25</v>
      </c>
      <c r="B36" s="118" t="s">
        <v>527</v>
      </c>
      <c r="C36" s="354">
        <f>+C8+C20+C25+C26+C30+C34+C35</f>
        <v>0</v>
      </c>
      <c r="D36" s="710"/>
      <c r="E36" s="712">
        <f t="shared" si="0"/>
        <v>0</v>
      </c>
      <c r="F36" s="710"/>
      <c r="G36" s="712">
        <f t="shared" si="1"/>
        <v>0</v>
      </c>
      <c r="H36" s="710"/>
      <c r="I36" s="712">
        <f t="shared" si="2"/>
        <v>0</v>
      </c>
    </row>
    <row r="37" spans="1:9" s="361" customFormat="1" ht="12" customHeight="1" thickBot="1">
      <c r="A37" s="227" t="s">
        <v>26</v>
      </c>
      <c r="B37" s="118" t="s">
        <v>409</v>
      </c>
      <c r="C37" s="354">
        <f>+C38+C39+C40</f>
        <v>124906891</v>
      </c>
      <c r="D37" s="710">
        <f>SUM(D38:D40)</f>
        <v>2286164</v>
      </c>
      <c r="E37" s="716">
        <f t="shared" si="0"/>
        <v>127193055</v>
      </c>
      <c r="F37" s="710">
        <f>SUM(F38:F40)</f>
        <v>420735</v>
      </c>
      <c r="G37" s="716">
        <f t="shared" si="1"/>
        <v>127613790</v>
      </c>
      <c r="H37" s="710">
        <f>SUM(H38:H40)</f>
        <v>370917</v>
      </c>
      <c r="I37" s="716">
        <f t="shared" si="2"/>
        <v>127984707</v>
      </c>
    </row>
    <row r="38" spans="1:9" s="361" customFormat="1" ht="12" customHeight="1" thickBot="1">
      <c r="A38" s="445" t="s">
        <v>410</v>
      </c>
      <c r="B38" s="446" t="s">
        <v>236</v>
      </c>
      <c r="C38" s="69"/>
      <c r="D38" s="710">
        <v>2286164</v>
      </c>
      <c r="E38" s="716">
        <f t="shared" si="0"/>
        <v>2286164</v>
      </c>
      <c r="F38" s="710"/>
      <c r="G38" s="716">
        <f t="shared" si="1"/>
        <v>2286164</v>
      </c>
      <c r="H38" s="710"/>
      <c r="I38" s="716">
        <f t="shared" si="2"/>
        <v>2286164</v>
      </c>
    </row>
    <row r="39" spans="1:9" s="361" customFormat="1" ht="12" customHeight="1">
      <c r="A39" s="445" t="s">
        <v>411</v>
      </c>
      <c r="B39" s="447" t="s">
        <v>2</v>
      </c>
      <c r="C39" s="311"/>
      <c r="D39" s="709"/>
      <c r="E39" s="713">
        <f t="shared" si="0"/>
        <v>0</v>
      </c>
      <c r="F39" s="709"/>
      <c r="G39" s="713">
        <f t="shared" si="1"/>
        <v>0</v>
      </c>
      <c r="H39" s="709"/>
      <c r="I39" s="713">
        <f t="shared" si="2"/>
        <v>0</v>
      </c>
    </row>
    <row r="40" spans="1:9" s="451" customFormat="1" ht="12" customHeight="1" thickBot="1">
      <c r="A40" s="444" t="s">
        <v>412</v>
      </c>
      <c r="B40" s="135" t="s">
        <v>413</v>
      </c>
      <c r="C40" s="76">
        <v>124906891</v>
      </c>
      <c r="D40" s="707"/>
      <c r="E40" s="714">
        <f t="shared" si="0"/>
        <v>124906891</v>
      </c>
      <c r="F40" s="707">
        <v>420735</v>
      </c>
      <c r="G40" s="714">
        <f t="shared" si="1"/>
        <v>125327626</v>
      </c>
      <c r="H40" s="707">
        <v>370917</v>
      </c>
      <c r="I40" s="714">
        <f t="shared" si="2"/>
        <v>125698543</v>
      </c>
    </row>
    <row r="41" spans="1:9" s="451" customFormat="1" ht="15.2" customHeight="1" thickBot="1">
      <c r="A41" s="227" t="s">
        <v>27</v>
      </c>
      <c r="B41" s="228" t="s">
        <v>414</v>
      </c>
      <c r="C41" s="357">
        <f>+C36+C37</f>
        <v>124906891</v>
      </c>
      <c r="D41" s="708">
        <f>SUM(D37+D36)</f>
        <v>2286164</v>
      </c>
      <c r="E41" s="794">
        <f t="shared" si="0"/>
        <v>127193055</v>
      </c>
      <c r="F41" s="708">
        <f>SUM(F37+F36)</f>
        <v>420735</v>
      </c>
      <c r="G41" s="794">
        <f t="shared" si="1"/>
        <v>127613790</v>
      </c>
      <c r="H41" s="708">
        <f>SUM(H37+H36)</f>
        <v>370917</v>
      </c>
      <c r="I41" s="794">
        <f t="shared" si="2"/>
        <v>127984707</v>
      </c>
    </row>
    <row r="42" spans="1:9" s="451" customFormat="1" ht="15.2" customHeight="1">
      <c r="A42" s="229"/>
      <c r="B42" s="230"/>
      <c r="C42" s="355"/>
      <c r="D42" s="757"/>
      <c r="E42" s="758">
        <f t="shared" si="0"/>
        <v>0</v>
      </c>
      <c r="F42" s="757"/>
      <c r="G42" s="758">
        <f t="shared" si="1"/>
        <v>0</v>
      </c>
      <c r="H42" s="757"/>
      <c r="I42" s="758">
        <f t="shared" si="2"/>
        <v>0</v>
      </c>
    </row>
    <row r="43" spans="1:9" ht="15.75" thickBot="1">
      <c r="A43" s="231"/>
      <c r="B43" s="232"/>
      <c r="C43" s="356"/>
      <c r="D43" s="451"/>
      <c r="E43" s="451"/>
      <c r="F43" s="451"/>
      <c r="G43" s="451"/>
      <c r="H43" s="451"/>
      <c r="I43" s="451"/>
    </row>
    <row r="44" spans="1:9" s="450" customFormat="1" ht="16.5" customHeight="1" thickBot="1">
      <c r="A44" s="233"/>
      <c r="B44" s="234" t="s">
        <v>57</v>
      </c>
      <c r="C44" s="357"/>
      <c r="D44" s="705"/>
      <c r="E44" s="706"/>
      <c r="F44" s="705"/>
      <c r="G44" s="706"/>
      <c r="H44" s="705"/>
      <c r="I44" s="706"/>
    </row>
    <row r="45" spans="1:9" s="452" customFormat="1" ht="12" customHeight="1" thickBot="1">
      <c r="A45" s="193" t="s">
        <v>18</v>
      </c>
      <c r="B45" s="118" t="s">
        <v>415</v>
      </c>
      <c r="C45" s="310">
        <f>SUM(C46:C50)</f>
        <v>124906891</v>
      </c>
      <c r="D45" s="710">
        <f>SUM(D46:D50)</f>
        <v>2132596</v>
      </c>
      <c r="E45" s="716">
        <f>SUM(C45+D45)</f>
        <v>127039487</v>
      </c>
      <c r="F45" s="710">
        <f>SUM(F46:F50)</f>
        <v>420735</v>
      </c>
      <c r="G45" s="716">
        <f>SUM(E45+F45)</f>
        <v>127460222</v>
      </c>
      <c r="H45" s="710">
        <f>SUM(H46:H50)</f>
        <v>370917</v>
      </c>
      <c r="I45" s="716">
        <f>SUM(G45+H45)</f>
        <v>127831139</v>
      </c>
    </row>
    <row r="46" spans="1:9" ht="12" customHeight="1">
      <c r="A46" s="444" t="s">
        <v>98</v>
      </c>
      <c r="B46" s="9" t="s">
        <v>49</v>
      </c>
      <c r="C46" s="69">
        <v>95214135</v>
      </c>
      <c r="D46" s="709"/>
      <c r="E46" s="717">
        <f>SUM(C46+D46)</f>
        <v>95214135</v>
      </c>
      <c r="F46" s="709">
        <v>345000</v>
      </c>
      <c r="G46" s="717">
        <f>SUM(E46+F46)</f>
        <v>95559135</v>
      </c>
      <c r="H46" s="709">
        <v>370917</v>
      </c>
      <c r="I46" s="717">
        <f>SUM(G46+H46)</f>
        <v>95930052</v>
      </c>
    </row>
    <row r="47" spans="1:9" ht="12" customHeight="1">
      <c r="A47" s="444" t="s">
        <v>99</v>
      </c>
      <c r="B47" s="8" t="s">
        <v>183</v>
      </c>
      <c r="C47" s="72">
        <v>18566756</v>
      </c>
      <c r="D47" s="707"/>
      <c r="E47" s="717">
        <f t="shared" ref="E47:E60" si="3">SUM(C47+D47)</f>
        <v>18566756</v>
      </c>
      <c r="F47" s="707">
        <v>75735</v>
      </c>
      <c r="G47" s="717">
        <f t="shared" ref="G47:G60" si="4">SUM(E47+F47)</f>
        <v>18642491</v>
      </c>
      <c r="H47" s="707"/>
      <c r="I47" s="717">
        <f t="shared" ref="I47:I60" si="5">SUM(G47+H47)</f>
        <v>18642491</v>
      </c>
    </row>
    <row r="48" spans="1:9" ht="12" customHeight="1">
      <c r="A48" s="444" t="s">
        <v>100</v>
      </c>
      <c r="B48" s="8" t="s">
        <v>140</v>
      </c>
      <c r="C48" s="72">
        <v>11126000</v>
      </c>
      <c r="D48" s="707">
        <v>2132596</v>
      </c>
      <c r="E48" s="717">
        <f t="shared" si="3"/>
        <v>13258596</v>
      </c>
      <c r="F48" s="707"/>
      <c r="G48" s="717">
        <f t="shared" si="4"/>
        <v>13258596</v>
      </c>
      <c r="H48" s="707"/>
      <c r="I48" s="717">
        <f t="shared" si="5"/>
        <v>13258596</v>
      </c>
    </row>
    <row r="49" spans="1:9" ht="12" customHeight="1">
      <c r="A49" s="444" t="s">
        <v>101</v>
      </c>
      <c r="B49" s="8" t="s">
        <v>184</v>
      </c>
      <c r="C49" s="72"/>
      <c r="D49" s="707"/>
      <c r="E49" s="717">
        <f t="shared" si="3"/>
        <v>0</v>
      </c>
      <c r="F49" s="707"/>
      <c r="G49" s="717">
        <f t="shared" si="4"/>
        <v>0</v>
      </c>
      <c r="H49" s="707"/>
      <c r="I49" s="717">
        <f t="shared" si="5"/>
        <v>0</v>
      </c>
    </row>
    <row r="50" spans="1:9" ht="12" customHeight="1" thickBot="1">
      <c r="A50" s="444" t="s">
        <v>148</v>
      </c>
      <c r="B50" s="8" t="s">
        <v>185</v>
      </c>
      <c r="C50" s="72"/>
      <c r="D50" s="708"/>
      <c r="E50" s="718">
        <f t="shared" si="3"/>
        <v>0</v>
      </c>
      <c r="F50" s="708"/>
      <c r="G50" s="718">
        <f t="shared" si="4"/>
        <v>0</v>
      </c>
      <c r="H50" s="708"/>
      <c r="I50" s="718">
        <f t="shared" si="5"/>
        <v>0</v>
      </c>
    </row>
    <row r="51" spans="1:9" ht="12" customHeight="1" thickBot="1">
      <c r="A51" s="193" t="s">
        <v>19</v>
      </c>
      <c r="B51" s="118" t="s">
        <v>416</v>
      </c>
      <c r="C51" s="310">
        <f>SUM(C52:C54)</f>
        <v>0</v>
      </c>
      <c r="D51" s="710">
        <f>SUM(D52:D54)</f>
        <v>153568</v>
      </c>
      <c r="E51" s="716">
        <f t="shared" si="3"/>
        <v>153568</v>
      </c>
      <c r="F51" s="710">
        <f>SUM(F52:F54)</f>
        <v>0</v>
      </c>
      <c r="G51" s="716">
        <f t="shared" si="4"/>
        <v>153568</v>
      </c>
      <c r="H51" s="710">
        <f>SUM(H52:H54)</f>
        <v>0</v>
      </c>
      <c r="I51" s="716">
        <f t="shared" si="5"/>
        <v>153568</v>
      </c>
    </row>
    <row r="52" spans="1:9" s="452" customFormat="1" ht="12" customHeight="1">
      <c r="A52" s="444" t="s">
        <v>104</v>
      </c>
      <c r="B52" s="9" t="s">
        <v>230</v>
      </c>
      <c r="C52" s="69"/>
      <c r="D52" s="709">
        <v>153568</v>
      </c>
      <c r="E52" s="717">
        <f t="shared" si="3"/>
        <v>153568</v>
      </c>
      <c r="F52" s="709"/>
      <c r="G52" s="717">
        <f t="shared" si="4"/>
        <v>153568</v>
      </c>
      <c r="H52" s="709"/>
      <c r="I52" s="717">
        <f t="shared" si="5"/>
        <v>153568</v>
      </c>
    </row>
    <row r="53" spans="1:9" ht="12" customHeight="1">
      <c r="A53" s="444" t="s">
        <v>105</v>
      </c>
      <c r="B53" s="8" t="s">
        <v>187</v>
      </c>
      <c r="C53" s="72"/>
      <c r="D53" s="707"/>
      <c r="E53" s="717">
        <f t="shared" si="3"/>
        <v>0</v>
      </c>
      <c r="F53" s="707"/>
      <c r="G53" s="717">
        <f t="shared" si="4"/>
        <v>0</v>
      </c>
      <c r="H53" s="707"/>
      <c r="I53" s="717">
        <f t="shared" si="5"/>
        <v>0</v>
      </c>
    </row>
    <row r="54" spans="1:9" ht="12" customHeight="1">
      <c r="A54" s="444" t="s">
        <v>106</v>
      </c>
      <c r="B54" s="8" t="s">
        <v>58</v>
      </c>
      <c r="C54" s="72"/>
      <c r="D54" s="707"/>
      <c r="E54" s="717">
        <f t="shared" si="3"/>
        <v>0</v>
      </c>
      <c r="F54" s="707"/>
      <c r="G54" s="717">
        <f t="shared" si="4"/>
        <v>0</v>
      </c>
      <c r="H54" s="707"/>
      <c r="I54" s="717">
        <f t="shared" si="5"/>
        <v>0</v>
      </c>
    </row>
    <row r="55" spans="1:9" ht="12" customHeight="1" thickBot="1">
      <c r="A55" s="444" t="s">
        <v>107</v>
      </c>
      <c r="B55" s="8" t="s">
        <v>524</v>
      </c>
      <c r="C55" s="72"/>
      <c r="D55" s="708"/>
      <c r="E55" s="718">
        <f t="shared" si="3"/>
        <v>0</v>
      </c>
      <c r="F55" s="708"/>
      <c r="G55" s="718">
        <f t="shared" si="4"/>
        <v>0</v>
      </c>
      <c r="H55" s="708"/>
      <c r="I55" s="718">
        <f t="shared" si="5"/>
        <v>0</v>
      </c>
    </row>
    <row r="56" spans="1:9" ht="15.2" customHeight="1" thickBot="1">
      <c r="A56" s="193" t="s">
        <v>20</v>
      </c>
      <c r="B56" s="118" t="s">
        <v>13</v>
      </c>
      <c r="C56" s="336"/>
      <c r="D56" s="710"/>
      <c r="E56" s="712">
        <f t="shared" si="3"/>
        <v>0</v>
      </c>
      <c r="F56" s="710"/>
      <c r="G56" s="712">
        <f t="shared" si="4"/>
        <v>0</v>
      </c>
      <c r="H56" s="710"/>
      <c r="I56" s="712">
        <f t="shared" si="5"/>
        <v>0</v>
      </c>
    </row>
    <row r="57" spans="1:9" ht="13.5" thickBot="1">
      <c r="A57" s="193" t="s">
        <v>21</v>
      </c>
      <c r="B57" s="235" t="s">
        <v>529</v>
      </c>
      <c r="C57" s="358">
        <f>+C45+C51+C56</f>
        <v>124906891</v>
      </c>
      <c r="D57" s="710">
        <f>SUM(D45+D51+D56)</f>
        <v>2286164</v>
      </c>
      <c r="E57" s="716">
        <f t="shared" si="3"/>
        <v>127193055</v>
      </c>
      <c r="F57" s="710">
        <f>SUM(F45+F51+F56)</f>
        <v>420735</v>
      </c>
      <c r="G57" s="716">
        <f t="shared" si="4"/>
        <v>127613790</v>
      </c>
      <c r="H57" s="710">
        <f>SUM(H45+H51+H56)</f>
        <v>370917</v>
      </c>
      <c r="I57" s="716">
        <f t="shared" si="5"/>
        <v>127984707</v>
      </c>
    </row>
    <row r="58" spans="1:9" ht="15.2" customHeight="1" thickBot="1">
      <c r="C58" s="623">
        <f>C41-C57</f>
        <v>0</v>
      </c>
      <c r="D58" s="711"/>
      <c r="E58" s="712">
        <f t="shared" si="3"/>
        <v>0</v>
      </c>
      <c r="F58" s="711"/>
      <c r="G58" s="712">
        <f t="shared" si="4"/>
        <v>0</v>
      </c>
      <c r="H58" s="711"/>
      <c r="I58" s="712">
        <f t="shared" si="5"/>
        <v>0</v>
      </c>
    </row>
    <row r="59" spans="1:9" ht="14.45" customHeight="1" thickBot="1">
      <c r="A59" s="238" t="s">
        <v>519</v>
      </c>
      <c r="B59" s="239"/>
      <c r="C59" s="115">
        <v>25</v>
      </c>
      <c r="D59" s="710"/>
      <c r="E59" s="716">
        <f t="shared" si="3"/>
        <v>25</v>
      </c>
      <c r="F59" s="710">
        <v>1</v>
      </c>
      <c r="G59" s="716">
        <f t="shared" si="4"/>
        <v>26</v>
      </c>
      <c r="H59" s="710"/>
      <c r="I59" s="716">
        <f t="shared" si="5"/>
        <v>26</v>
      </c>
    </row>
    <row r="60" spans="1:9" ht="13.5" thickBot="1">
      <c r="A60" s="238" t="s">
        <v>206</v>
      </c>
      <c r="B60" s="239"/>
      <c r="C60" s="115"/>
      <c r="D60" s="710"/>
      <c r="E60" s="712">
        <f t="shared" si="3"/>
        <v>0</v>
      </c>
      <c r="F60" s="710"/>
      <c r="G60" s="712">
        <f t="shared" si="4"/>
        <v>0</v>
      </c>
      <c r="H60" s="710"/>
      <c r="I60" s="712">
        <f t="shared" si="5"/>
        <v>0</v>
      </c>
    </row>
    <row r="61" spans="1:9">
      <c r="D61" s="759"/>
      <c r="E61" s="760"/>
    </row>
  </sheetData>
  <sheetProtection formatCells="0"/>
  <printOptions horizontalCentered="1"/>
  <pageMargins left="0.78740157480314965" right="0.78740157480314965" top="0.98425196850393704" bottom="0.98425196850393704" header="0.78740157480314965" footer="0.78740157480314965"/>
  <pageSetup paperSize="8" scale="75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C39" sqref="C39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16384" width="9.33203125" style="237"/>
  </cols>
  <sheetData>
    <row r="1" spans="1:3" s="217" customFormat="1" ht="21.2" customHeight="1" thickBot="1">
      <c r="A1" s="216"/>
      <c r="B1" s="218"/>
      <c r="C1" s="588" t="str">
        <f ca="1">CONCATENATE("9.3.1. melléklet ",ALAPADATOK!A7," ",ALAPADATOK!B7," ",ALAPADATOK!C7," ",ALAPADATOK!D7," ",ALAPADATOK!E7," ",ALAPADATOK!F7," ",ALAPADATOK!G7," ",ALAPADATOK!H7)</f>
        <v>9.3.1. melléklet a … / 2019 ( … ) önkormányzati rendelethez</v>
      </c>
    </row>
    <row r="2" spans="1:3" s="448" customFormat="1" ht="36">
      <c r="A2" s="400" t="s">
        <v>204</v>
      </c>
      <c r="B2" s="586" t="str">
        <f ca="1">CONCATENATE(KV_9.3.sz.mell!B2)</f>
        <v>Dabas Sári Óvoda</v>
      </c>
      <c r="C2" s="359" t="s">
        <v>60</v>
      </c>
    </row>
    <row r="3" spans="1:3" s="448" customFormat="1" ht="24.75" thickBot="1">
      <c r="A3" s="442" t="s">
        <v>203</v>
      </c>
      <c r="B3" s="587" t="s">
        <v>417</v>
      </c>
      <c r="C3" s="360" t="s">
        <v>59</v>
      </c>
    </row>
    <row r="4" spans="1:3" s="449" customFormat="1" ht="15.95" customHeight="1" thickBot="1">
      <c r="A4" s="219"/>
      <c r="B4" s="219"/>
      <c r="C4" s="220" t="str">
        <f ca="1">KV_9.3.sz.mell!C4</f>
        <v/>
      </c>
    </row>
    <row r="5" spans="1:3" ht="13.5" thickBot="1">
      <c r="A5" s="401" t="s">
        <v>205</v>
      </c>
      <c r="B5" s="221" t="s">
        <v>563</v>
      </c>
      <c r="C5" s="222" t="s">
        <v>55</v>
      </c>
    </row>
    <row r="6" spans="1:3" s="450" customFormat="1" ht="12.95" customHeight="1" thickBot="1">
      <c r="A6" s="185"/>
      <c r="B6" s="186" t="s">
        <v>493</v>
      </c>
      <c r="C6" s="187" t="s">
        <v>494</v>
      </c>
    </row>
    <row r="7" spans="1:3" s="450" customFormat="1" ht="15.95" customHeight="1" thickBot="1">
      <c r="A7" s="223"/>
      <c r="B7" s="224" t="s">
        <v>56</v>
      </c>
      <c r="C7" s="225"/>
    </row>
    <row r="8" spans="1:3" s="361" customFormat="1" ht="12" customHeight="1" thickBot="1">
      <c r="A8" s="185" t="s">
        <v>18</v>
      </c>
      <c r="B8" s="226" t="s">
        <v>520</v>
      </c>
      <c r="C8" s="310">
        <f>SUM(C9:C19)</f>
        <v>0</v>
      </c>
    </row>
    <row r="9" spans="1:3" s="361" customFormat="1" ht="12" customHeight="1">
      <c r="A9" s="443" t="s">
        <v>98</v>
      </c>
      <c r="B9" s="10" t="s">
        <v>277</v>
      </c>
      <c r="C9" s="351"/>
    </row>
    <row r="10" spans="1:3" s="361" customFormat="1" ht="12" customHeight="1">
      <c r="A10" s="444" t="s">
        <v>99</v>
      </c>
      <c r="B10" s="8" t="s">
        <v>278</v>
      </c>
      <c r="C10" s="308"/>
    </row>
    <row r="11" spans="1:3" s="361" customFormat="1" ht="12" customHeight="1">
      <c r="A11" s="444" t="s">
        <v>100</v>
      </c>
      <c r="B11" s="8" t="s">
        <v>279</v>
      </c>
      <c r="C11" s="308"/>
    </row>
    <row r="12" spans="1:3" s="361" customFormat="1" ht="12" customHeight="1">
      <c r="A12" s="444" t="s">
        <v>101</v>
      </c>
      <c r="B12" s="8" t="s">
        <v>280</v>
      </c>
      <c r="C12" s="308"/>
    </row>
    <row r="13" spans="1:3" s="361" customFormat="1" ht="12" customHeight="1">
      <c r="A13" s="444" t="s">
        <v>148</v>
      </c>
      <c r="B13" s="8" t="s">
        <v>281</v>
      </c>
      <c r="C13" s="308"/>
    </row>
    <row r="14" spans="1:3" s="361" customFormat="1" ht="12" customHeight="1">
      <c r="A14" s="444" t="s">
        <v>102</v>
      </c>
      <c r="B14" s="8" t="s">
        <v>399</v>
      </c>
      <c r="C14" s="308"/>
    </row>
    <row r="15" spans="1:3" s="361" customFormat="1" ht="12" customHeight="1">
      <c r="A15" s="444" t="s">
        <v>103</v>
      </c>
      <c r="B15" s="7" t="s">
        <v>400</v>
      </c>
      <c r="C15" s="308"/>
    </row>
    <row r="16" spans="1:3" s="361" customFormat="1" ht="12" customHeight="1">
      <c r="A16" s="444" t="s">
        <v>113</v>
      </c>
      <c r="B16" s="8" t="s">
        <v>284</v>
      </c>
      <c r="C16" s="352"/>
    </row>
    <row r="17" spans="1:3" s="451" customFormat="1" ht="12" customHeight="1">
      <c r="A17" s="444" t="s">
        <v>114</v>
      </c>
      <c r="B17" s="8" t="s">
        <v>285</v>
      </c>
      <c r="C17" s="308"/>
    </row>
    <row r="18" spans="1:3" s="451" customFormat="1" ht="12" customHeight="1">
      <c r="A18" s="444" t="s">
        <v>115</v>
      </c>
      <c r="B18" s="8" t="s">
        <v>436</v>
      </c>
      <c r="C18" s="309"/>
    </row>
    <row r="19" spans="1:3" s="451" customFormat="1" ht="12" customHeight="1" thickBot="1">
      <c r="A19" s="444" t="s">
        <v>116</v>
      </c>
      <c r="B19" s="7" t="s">
        <v>286</v>
      </c>
      <c r="C19" s="309"/>
    </row>
    <row r="20" spans="1:3" s="361" customFormat="1" ht="12" customHeight="1" thickBot="1">
      <c r="A20" s="185" t="s">
        <v>19</v>
      </c>
      <c r="B20" s="226" t="s">
        <v>401</v>
      </c>
      <c r="C20" s="310">
        <f>SUM(C21:C23)</f>
        <v>0</v>
      </c>
    </row>
    <row r="21" spans="1:3" s="451" customFormat="1" ht="12" customHeight="1">
      <c r="A21" s="444" t="s">
        <v>104</v>
      </c>
      <c r="B21" s="9" t="s">
        <v>258</v>
      </c>
      <c r="C21" s="308"/>
    </row>
    <row r="22" spans="1:3" s="451" customFormat="1" ht="12" customHeight="1">
      <c r="A22" s="444" t="s">
        <v>105</v>
      </c>
      <c r="B22" s="8" t="s">
        <v>402</v>
      </c>
      <c r="C22" s="308"/>
    </row>
    <row r="23" spans="1:3" s="451" customFormat="1" ht="12" customHeight="1">
      <c r="A23" s="444" t="s">
        <v>106</v>
      </c>
      <c r="B23" s="8" t="s">
        <v>403</v>
      </c>
      <c r="C23" s="308"/>
    </row>
    <row r="24" spans="1:3" s="451" customFormat="1" ht="12" customHeight="1" thickBot="1">
      <c r="A24" s="444" t="s">
        <v>107</v>
      </c>
      <c r="B24" s="8" t="s">
        <v>525</v>
      </c>
      <c r="C24" s="308"/>
    </row>
    <row r="25" spans="1:3" s="451" customFormat="1" ht="12" customHeight="1" thickBot="1">
      <c r="A25" s="193" t="s">
        <v>20</v>
      </c>
      <c r="B25" s="118" t="s">
        <v>174</v>
      </c>
      <c r="C25" s="336"/>
    </row>
    <row r="26" spans="1:3" s="451" customFormat="1" ht="12" customHeight="1" thickBot="1">
      <c r="A26" s="193" t="s">
        <v>21</v>
      </c>
      <c r="B26" s="118" t="s">
        <v>404</v>
      </c>
      <c r="C26" s="310">
        <f>+C27+C28</f>
        <v>0</v>
      </c>
    </row>
    <row r="27" spans="1:3" s="451" customFormat="1" ht="12" customHeight="1">
      <c r="A27" s="445" t="s">
        <v>268</v>
      </c>
      <c r="B27" s="446" t="s">
        <v>402</v>
      </c>
      <c r="C27" s="69"/>
    </row>
    <row r="28" spans="1:3" s="451" customFormat="1" ht="12" customHeight="1">
      <c r="A28" s="445" t="s">
        <v>269</v>
      </c>
      <c r="B28" s="447" t="s">
        <v>405</v>
      </c>
      <c r="C28" s="311"/>
    </row>
    <row r="29" spans="1:3" s="451" customFormat="1" ht="12" customHeight="1" thickBot="1">
      <c r="A29" s="444" t="s">
        <v>270</v>
      </c>
      <c r="B29" s="135" t="s">
        <v>526</v>
      </c>
      <c r="C29" s="76"/>
    </row>
    <row r="30" spans="1:3" s="451" customFormat="1" ht="12" customHeight="1" thickBot="1">
      <c r="A30" s="193" t="s">
        <v>22</v>
      </c>
      <c r="B30" s="118" t="s">
        <v>406</v>
      </c>
      <c r="C30" s="310">
        <f>+C31+C32+C33</f>
        <v>0</v>
      </c>
    </row>
    <row r="31" spans="1:3" s="451" customFormat="1" ht="12" customHeight="1">
      <c r="A31" s="445" t="s">
        <v>91</v>
      </c>
      <c r="B31" s="446" t="s">
        <v>291</v>
      </c>
      <c r="C31" s="69"/>
    </row>
    <row r="32" spans="1:3" s="451" customFormat="1" ht="12" customHeight="1">
      <c r="A32" s="445" t="s">
        <v>92</v>
      </c>
      <c r="B32" s="447" t="s">
        <v>292</v>
      </c>
      <c r="C32" s="311"/>
    </row>
    <row r="33" spans="1:3" s="451" customFormat="1" ht="12" customHeight="1" thickBot="1">
      <c r="A33" s="444" t="s">
        <v>93</v>
      </c>
      <c r="B33" s="135" t="s">
        <v>293</v>
      </c>
      <c r="C33" s="76"/>
    </row>
    <row r="34" spans="1:3" s="361" customFormat="1" ht="12" customHeight="1" thickBot="1">
      <c r="A34" s="193" t="s">
        <v>23</v>
      </c>
      <c r="B34" s="118" t="s">
        <v>376</v>
      </c>
      <c r="C34" s="336"/>
    </row>
    <row r="35" spans="1:3" s="361" customFormat="1" ht="12" customHeight="1" thickBot="1">
      <c r="A35" s="193" t="s">
        <v>24</v>
      </c>
      <c r="B35" s="118" t="s">
        <v>407</v>
      </c>
      <c r="C35" s="353"/>
    </row>
    <row r="36" spans="1:3" s="361" customFormat="1" ht="12" customHeight="1" thickBot="1">
      <c r="A36" s="185" t="s">
        <v>25</v>
      </c>
      <c r="B36" s="118" t="s">
        <v>527</v>
      </c>
      <c r="C36" s="354">
        <f>+C8+C20+C25+C26+C30+C34+C35</f>
        <v>0</v>
      </c>
    </row>
    <row r="37" spans="1:3" s="361" customFormat="1" ht="12" customHeight="1" thickBot="1">
      <c r="A37" s="227" t="s">
        <v>26</v>
      </c>
      <c r="B37" s="118" t="s">
        <v>409</v>
      </c>
      <c r="C37" s="354">
        <f>+C38+C39+C40</f>
        <v>0</v>
      </c>
    </row>
    <row r="38" spans="1:3" s="361" customFormat="1" ht="12" customHeight="1">
      <c r="A38" s="445" t="s">
        <v>410</v>
      </c>
      <c r="B38" s="446" t="s">
        <v>236</v>
      </c>
      <c r="C38" s="69"/>
    </row>
    <row r="39" spans="1:3" s="361" customFormat="1" ht="12" customHeight="1">
      <c r="A39" s="445" t="s">
        <v>411</v>
      </c>
      <c r="B39" s="447" t="s">
        <v>2</v>
      </c>
      <c r="C39" s="311"/>
    </row>
    <row r="40" spans="1:3" s="451" customFormat="1" ht="12" customHeight="1" thickBot="1">
      <c r="A40" s="444" t="s">
        <v>412</v>
      </c>
      <c r="B40" s="135" t="s">
        <v>413</v>
      </c>
      <c r="C40" s="76"/>
    </row>
    <row r="41" spans="1:3" s="451" customFormat="1" ht="15.2" customHeight="1" thickBot="1">
      <c r="A41" s="227" t="s">
        <v>27</v>
      </c>
      <c r="B41" s="228" t="s">
        <v>414</v>
      </c>
      <c r="C41" s="357">
        <f>+C36+C37</f>
        <v>0</v>
      </c>
    </row>
    <row r="42" spans="1:3" s="451" customFormat="1" ht="15.2" customHeight="1">
      <c r="A42" s="229"/>
      <c r="B42" s="230"/>
      <c r="C42" s="355"/>
    </row>
    <row r="43" spans="1:3" ht="13.5" thickBot="1">
      <c r="A43" s="231"/>
      <c r="B43" s="232"/>
      <c r="C43" s="356"/>
    </row>
    <row r="44" spans="1:3" s="450" customFormat="1" ht="16.5" customHeight="1" thickBot="1">
      <c r="A44" s="233"/>
      <c r="B44" s="234" t="s">
        <v>57</v>
      </c>
      <c r="C44" s="357"/>
    </row>
    <row r="45" spans="1:3" s="452" customFormat="1" ht="12" customHeight="1" thickBot="1">
      <c r="A45" s="193" t="s">
        <v>18</v>
      </c>
      <c r="B45" s="118" t="s">
        <v>415</v>
      </c>
      <c r="C45" s="310">
        <f>SUM(C46:C50)</f>
        <v>0</v>
      </c>
    </row>
    <row r="46" spans="1:3" ht="12" customHeight="1">
      <c r="A46" s="444" t="s">
        <v>98</v>
      </c>
      <c r="B46" s="9" t="s">
        <v>49</v>
      </c>
      <c r="C46" s="69"/>
    </row>
    <row r="47" spans="1:3" ht="12" customHeight="1">
      <c r="A47" s="444" t="s">
        <v>99</v>
      </c>
      <c r="B47" s="8" t="s">
        <v>183</v>
      </c>
      <c r="C47" s="72"/>
    </row>
    <row r="48" spans="1:3" ht="12" customHeight="1">
      <c r="A48" s="444" t="s">
        <v>100</v>
      </c>
      <c r="B48" s="8" t="s">
        <v>140</v>
      </c>
      <c r="C48" s="72"/>
    </row>
    <row r="49" spans="1:3" ht="12" customHeight="1">
      <c r="A49" s="444" t="s">
        <v>101</v>
      </c>
      <c r="B49" s="8" t="s">
        <v>184</v>
      </c>
      <c r="C49" s="72"/>
    </row>
    <row r="50" spans="1:3" ht="12" customHeight="1" thickBot="1">
      <c r="A50" s="444" t="s">
        <v>148</v>
      </c>
      <c r="B50" s="8" t="s">
        <v>185</v>
      </c>
      <c r="C50" s="72"/>
    </row>
    <row r="51" spans="1:3" ht="12" customHeight="1" thickBot="1">
      <c r="A51" s="193" t="s">
        <v>19</v>
      </c>
      <c r="B51" s="118" t="s">
        <v>416</v>
      </c>
      <c r="C51" s="310">
        <f>SUM(C52:C54)</f>
        <v>0</v>
      </c>
    </row>
    <row r="52" spans="1:3" s="452" customFormat="1" ht="12" customHeight="1">
      <c r="A52" s="444" t="s">
        <v>104</v>
      </c>
      <c r="B52" s="9" t="s">
        <v>230</v>
      </c>
      <c r="C52" s="69"/>
    </row>
    <row r="53" spans="1:3" ht="12" customHeight="1">
      <c r="A53" s="444" t="s">
        <v>105</v>
      </c>
      <c r="B53" s="8" t="s">
        <v>187</v>
      </c>
      <c r="C53" s="72"/>
    </row>
    <row r="54" spans="1:3" ht="12" customHeight="1">
      <c r="A54" s="444" t="s">
        <v>106</v>
      </c>
      <c r="B54" s="8" t="s">
        <v>58</v>
      </c>
      <c r="C54" s="72"/>
    </row>
    <row r="55" spans="1:3" ht="12" customHeight="1" thickBot="1">
      <c r="A55" s="444" t="s">
        <v>107</v>
      </c>
      <c r="B55" s="8" t="s">
        <v>524</v>
      </c>
      <c r="C55" s="72"/>
    </row>
    <row r="56" spans="1:3" ht="15.2" customHeight="1" thickBot="1">
      <c r="A56" s="193" t="s">
        <v>20</v>
      </c>
      <c r="B56" s="118" t="s">
        <v>13</v>
      </c>
      <c r="C56" s="336"/>
    </row>
    <row r="57" spans="1:3" ht="13.5" thickBot="1">
      <c r="A57" s="193" t="s">
        <v>21</v>
      </c>
      <c r="B57" s="235" t="s">
        <v>529</v>
      </c>
      <c r="C57" s="358">
        <f>+C45+C51+C56</f>
        <v>0</v>
      </c>
    </row>
    <row r="58" spans="1:3" ht="15.2" customHeight="1" thickBot="1">
      <c r="C58" s="623">
        <f>C41-C57</f>
        <v>0</v>
      </c>
    </row>
    <row r="59" spans="1:3" ht="14.45" customHeight="1" thickBot="1">
      <c r="A59" s="238" t="s">
        <v>519</v>
      </c>
      <c r="B59" s="239"/>
      <c r="C59" s="115"/>
    </row>
    <row r="60" spans="1:3" ht="13.5" thickBot="1">
      <c r="A60" s="238" t="s">
        <v>206</v>
      </c>
      <c r="B60" s="239"/>
      <c r="C60" s="115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C39" sqref="C39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16384" width="9.33203125" style="237"/>
  </cols>
  <sheetData>
    <row r="1" spans="1:3" s="217" customFormat="1" ht="21.2" customHeight="1" thickBot="1">
      <c r="A1" s="216"/>
      <c r="B1" s="218"/>
      <c r="C1" s="588" t="str">
        <f ca="1">CONCATENATE("9.3.2. melléklet ",ALAPADATOK!A7," ",ALAPADATOK!B7," ",ALAPADATOK!C7," ",ALAPADATOK!D7," ",ALAPADATOK!E7," ",ALAPADATOK!F7," ",ALAPADATOK!G7," ",ALAPADATOK!H7)</f>
        <v>9.3.2. melléklet a … / 2019 ( … ) önkormányzati rendelethez</v>
      </c>
    </row>
    <row r="2" spans="1:3" s="448" customFormat="1" ht="36">
      <c r="A2" s="400" t="s">
        <v>204</v>
      </c>
      <c r="B2" s="586" t="str">
        <f ca="1">CONCATENATE(KV_9.3.1.sz.mell!B2)</f>
        <v>Dabas Sári Óvoda</v>
      </c>
      <c r="C2" s="359" t="s">
        <v>60</v>
      </c>
    </row>
    <row r="3" spans="1:3" s="448" customFormat="1" ht="24.75" thickBot="1">
      <c r="A3" s="442" t="s">
        <v>203</v>
      </c>
      <c r="B3" s="587" t="s">
        <v>418</v>
      </c>
      <c r="C3" s="360" t="s">
        <v>60</v>
      </c>
    </row>
    <row r="4" spans="1:3" s="449" customFormat="1" ht="15.95" customHeight="1" thickBot="1">
      <c r="A4" s="219"/>
      <c r="B4" s="219"/>
      <c r="C4" s="220" t="str">
        <f ca="1">KV_9.3.1.sz.mell!C4</f>
        <v/>
      </c>
    </row>
    <row r="5" spans="1:3" ht="13.5" thickBot="1">
      <c r="A5" s="401" t="s">
        <v>205</v>
      </c>
      <c r="B5" s="221" t="s">
        <v>563</v>
      </c>
      <c r="C5" s="222" t="s">
        <v>55</v>
      </c>
    </row>
    <row r="6" spans="1:3" s="450" customFormat="1" ht="12.95" customHeight="1" thickBot="1">
      <c r="A6" s="185"/>
      <c r="B6" s="186" t="s">
        <v>493</v>
      </c>
      <c r="C6" s="187" t="s">
        <v>494</v>
      </c>
    </row>
    <row r="7" spans="1:3" s="450" customFormat="1" ht="15.95" customHeight="1" thickBot="1">
      <c r="A7" s="223"/>
      <c r="B7" s="224" t="s">
        <v>56</v>
      </c>
      <c r="C7" s="225"/>
    </row>
    <row r="8" spans="1:3" s="361" customFormat="1" ht="12" customHeight="1" thickBot="1">
      <c r="A8" s="185" t="s">
        <v>18</v>
      </c>
      <c r="B8" s="226" t="s">
        <v>520</v>
      </c>
      <c r="C8" s="310">
        <f>SUM(C9:C19)</f>
        <v>0</v>
      </c>
    </row>
    <row r="9" spans="1:3" s="361" customFormat="1" ht="12" customHeight="1">
      <c r="A9" s="443" t="s">
        <v>98</v>
      </c>
      <c r="B9" s="10" t="s">
        <v>277</v>
      </c>
      <c r="C9" s="351"/>
    </row>
    <row r="10" spans="1:3" s="361" customFormat="1" ht="12" customHeight="1">
      <c r="A10" s="444" t="s">
        <v>99</v>
      </c>
      <c r="B10" s="8" t="s">
        <v>278</v>
      </c>
      <c r="C10" s="308"/>
    </row>
    <row r="11" spans="1:3" s="361" customFormat="1" ht="12" customHeight="1">
      <c r="A11" s="444" t="s">
        <v>100</v>
      </c>
      <c r="B11" s="8" t="s">
        <v>279</v>
      </c>
      <c r="C11" s="308"/>
    </row>
    <row r="12" spans="1:3" s="361" customFormat="1" ht="12" customHeight="1">
      <c r="A12" s="444" t="s">
        <v>101</v>
      </c>
      <c r="B12" s="8" t="s">
        <v>280</v>
      </c>
      <c r="C12" s="308"/>
    </row>
    <row r="13" spans="1:3" s="361" customFormat="1" ht="12" customHeight="1">
      <c r="A13" s="444" t="s">
        <v>148</v>
      </c>
      <c r="B13" s="8" t="s">
        <v>281</v>
      </c>
      <c r="C13" s="308"/>
    </row>
    <row r="14" spans="1:3" s="361" customFormat="1" ht="12" customHeight="1">
      <c r="A14" s="444" t="s">
        <v>102</v>
      </c>
      <c r="B14" s="8" t="s">
        <v>399</v>
      </c>
      <c r="C14" s="308"/>
    </row>
    <row r="15" spans="1:3" s="361" customFormat="1" ht="12" customHeight="1">
      <c r="A15" s="444" t="s">
        <v>103</v>
      </c>
      <c r="B15" s="7" t="s">
        <v>400</v>
      </c>
      <c r="C15" s="308"/>
    </row>
    <row r="16" spans="1:3" s="361" customFormat="1" ht="12" customHeight="1">
      <c r="A16" s="444" t="s">
        <v>113</v>
      </c>
      <c r="B16" s="8" t="s">
        <v>284</v>
      </c>
      <c r="C16" s="352"/>
    </row>
    <row r="17" spans="1:3" s="451" customFormat="1" ht="12" customHeight="1">
      <c r="A17" s="444" t="s">
        <v>114</v>
      </c>
      <c r="B17" s="8" t="s">
        <v>285</v>
      </c>
      <c r="C17" s="308"/>
    </row>
    <row r="18" spans="1:3" s="451" customFormat="1" ht="12" customHeight="1">
      <c r="A18" s="444" t="s">
        <v>115</v>
      </c>
      <c r="B18" s="8" t="s">
        <v>436</v>
      </c>
      <c r="C18" s="309"/>
    </row>
    <row r="19" spans="1:3" s="451" customFormat="1" ht="12" customHeight="1" thickBot="1">
      <c r="A19" s="444" t="s">
        <v>116</v>
      </c>
      <c r="B19" s="7" t="s">
        <v>286</v>
      </c>
      <c r="C19" s="309"/>
    </row>
    <row r="20" spans="1:3" s="361" customFormat="1" ht="12" customHeight="1" thickBot="1">
      <c r="A20" s="185" t="s">
        <v>19</v>
      </c>
      <c r="B20" s="226" t="s">
        <v>401</v>
      </c>
      <c r="C20" s="310">
        <f>SUM(C21:C23)</f>
        <v>0</v>
      </c>
    </row>
    <row r="21" spans="1:3" s="451" customFormat="1" ht="12" customHeight="1">
      <c r="A21" s="444" t="s">
        <v>104</v>
      </c>
      <c r="B21" s="9" t="s">
        <v>258</v>
      </c>
      <c r="C21" s="308"/>
    </row>
    <row r="22" spans="1:3" s="451" customFormat="1" ht="12" customHeight="1">
      <c r="A22" s="444" t="s">
        <v>105</v>
      </c>
      <c r="B22" s="8" t="s">
        <v>402</v>
      </c>
      <c r="C22" s="308"/>
    </row>
    <row r="23" spans="1:3" s="451" customFormat="1" ht="12" customHeight="1">
      <c r="A23" s="444" t="s">
        <v>106</v>
      </c>
      <c r="B23" s="8" t="s">
        <v>403</v>
      </c>
      <c r="C23" s="308"/>
    </row>
    <row r="24" spans="1:3" s="451" customFormat="1" ht="12" customHeight="1" thickBot="1">
      <c r="A24" s="444" t="s">
        <v>107</v>
      </c>
      <c r="B24" s="8" t="s">
        <v>525</v>
      </c>
      <c r="C24" s="308"/>
    </row>
    <row r="25" spans="1:3" s="451" customFormat="1" ht="12" customHeight="1" thickBot="1">
      <c r="A25" s="193" t="s">
        <v>20</v>
      </c>
      <c r="B25" s="118" t="s">
        <v>174</v>
      </c>
      <c r="C25" s="336"/>
    </row>
    <row r="26" spans="1:3" s="451" customFormat="1" ht="12" customHeight="1" thickBot="1">
      <c r="A26" s="193" t="s">
        <v>21</v>
      </c>
      <c r="B26" s="118" t="s">
        <v>404</v>
      </c>
      <c r="C26" s="310">
        <f>+C27+C28</f>
        <v>0</v>
      </c>
    </row>
    <row r="27" spans="1:3" s="451" customFormat="1" ht="12" customHeight="1">
      <c r="A27" s="445" t="s">
        <v>268</v>
      </c>
      <c r="B27" s="446" t="s">
        <v>402</v>
      </c>
      <c r="C27" s="69"/>
    </row>
    <row r="28" spans="1:3" s="451" customFormat="1" ht="12" customHeight="1">
      <c r="A28" s="445" t="s">
        <v>269</v>
      </c>
      <c r="B28" s="447" t="s">
        <v>405</v>
      </c>
      <c r="C28" s="311"/>
    </row>
    <row r="29" spans="1:3" s="451" customFormat="1" ht="12" customHeight="1" thickBot="1">
      <c r="A29" s="444" t="s">
        <v>270</v>
      </c>
      <c r="B29" s="135" t="s">
        <v>526</v>
      </c>
      <c r="C29" s="76"/>
    </row>
    <row r="30" spans="1:3" s="451" customFormat="1" ht="12" customHeight="1" thickBot="1">
      <c r="A30" s="193" t="s">
        <v>22</v>
      </c>
      <c r="B30" s="118" t="s">
        <v>406</v>
      </c>
      <c r="C30" s="310">
        <f>+C31+C32+C33</f>
        <v>0</v>
      </c>
    </row>
    <row r="31" spans="1:3" s="451" customFormat="1" ht="12" customHeight="1">
      <c r="A31" s="445" t="s">
        <v>91</v>
      </c>
      <c r="B31" s="446" t="s">
        <v>291</v>
      </c>
      <c r="C31" s="69"/>
    </row>
    <row r="32" spans="1:3" s="451" customFormat="1" ht="12" customHeight="1">
      <c r="A32" s="445" t="s">
        <v>92</v>
      </c>
      <c r="B32" s="447" t="s">
        <v>292</v>
      </c>
      <c r="C32" s="311"/>
    </row>
    <row r="33" spans="1:3" s="451" customFormat="1" ht="12" customHeight="1" thickBot="1">
      <c r="A33" s="444" t="s">
        <v>93</v>
      </c>
      <c r="B33" s="135" t="s">
        <v>293</v>
      </c>
      <c r="C33" s="76"/>
    </row>
    <row r="34" spans="1:3" s="361" customFormat="1" ht="12" customHeight="1" thickBot="1">
      <c r="A34" s="193" t="s">
        <v>23</v>
      </c>
      <c r="B34" s="118" t="s">
        <v>376</v>
      </c>
      <c r="C34" s="336"/>
    </row>
    <row r="35" spans="1:3" s="361" customFormat="1" ht="12" customHeight="1" thickBot="1">
      <c r="A35" s="193" t="s">
        <v>24</v>
      </c>
      <c r="B35" s="118" t="s">
        <v>407</v>
      </c>
      <c r="C35" s="353"/>
    </row>
    <row r="36" spans="1:3" s="361" customFormat="1" ht="12" customHeight="1" thickBot="1">
      <c r="A36" s="185" t="s">
        <v>25</v>
      </c>
      <c r="B36" s="118" t="s">
        <v>527</v>
      </c>
      <c r="C36" s="354">
        <f>+C8+C20+C25+C26+C30+C34+C35</f>
        <v>0</v>
      </c>
    </row>
    <row r="37" spans="1:3" s="361" customFormat="1" ht="12" customHeight="1" thickBot="1">
      <c r="A37" s="227" t="s">
        <v>26</v>
      </c>
      <c r="B37" s="118" t="s">
        <v>409</v>
      </c>
      <c r="C37" s="354">
        <f>+C38+C39+C40</f>
        <v>0</v>
      </c>
    </row>
    <row r="38" spans="1:3" s="361" customFormat="1" ht="12" customHeight="1">
      <c r="A38" s="445" t="s">
        <v>410</v>
      </c>
      <c r="B38" s="446" t="s">
        <v>236</v>
      </c>
      <c r="C38" s="69"/>
    </row>
    <row r="39" spans="1:3" s="361" customFormat="1" ht="12" customHeight="1">
      <c r="A39" s="445" t="s">
        <v>411</v>
      </c>
      <c r="B39" s="447" t="s">
        <v>2</v>
      </c>
      <c r="C39" s="311"/>
    </row>
    <row r="40" spans="1:3" s="451" customFormat="1" ht="12" customHeight="1" thickBot="1">
      <c r="A40" s="444" t="s">
        <v>412</v>
      </c>
      <c r="B40" s="135" t="s">
        <v>413</v>
      </c>
      <c r="C40" s="76"/>
    </row>
    <row r="41" spans="1:3" s="451" customFormat="1" ht="15.2" customHeight="1" thickBot="1">
      <c r="A41" s="227" t="s">
        <v>27</v>
      </c>
      <c r="B41" s="228" t="s">
        <v>414</v>
      </c>
      <c r="C41" s="357">
        <f>+C36+C37</f>
        <v>0</v>
      </c>
    </row>
    <row r="42" spans="1:3" s="451" customFormat="1" ht="15.2" customHeight="1">
      <c r="A42" s="229"/>
      <c r="B42" s="230"/>
      <c r="C42" s="355"/>
    </row>
    <row r="43" spans="1:3" ht="13.5" thickBot="1">
      <c r="A43" s="231"/>
      <c r="B43" s="232"/>
      <c r="C43" s="356"/>
    </row>
    <row r="44" spans="1:3" s="450" customFormat="1" ht="16.5" customHeight="1" thickBot="1">
      <c r="A44" s="233"/>
      <c r="B44" s="234" t="s">
        <v>57</v>
      </c>
      <c r="C44" s="357"/>
    </row>
    <row r="45" spans="1:3" s="452" customFormat="1" ht="12" customHeight="1" thickBot="1">
      <c r="A45" s="193" t="s">
        <v>18</v>
      </c>
      <c r="B45" s="118" t="s">
        <v>415</v>
      </c>
      <c r="C45" s="310">
        <f>SUM(C46:C50)</f>
        <v>0</v>
      </c>
    </row>
    <row r="46" spans="1:3" ht="12" customHeight="1">
      <c r="A46" s="444" t="s">
        <v>98</v>
      </c>
      <c r="B46" s="9" t="s">
        <v>49</v>
      </c>
      <c r="C46" s="69"/>
    </row>
    <row r="47" spans="1:3" ht="12" customHeight="1">
      <c r="A47" s="444" t="s">
        <v>99</v>
      </c>
      <c r="B47" s="8" t="s">
        <v>183</v>
      </c>
      <c r="C47" s="72"/>
    </row>
    <row r="48" spans="1:3" ht="12" customHeight="1">
      <c r="A48" s="444" t="s">
        <v>100</v>
      </c>
      <c r="B48" s="8" t="s">
        <v>140</v>
      </c>
      <c r="C48" s="72"/>
    </row>
    <row r="49" spans="1:3" ht="12" customHeight="1">
      <c r="A49" s="444" t="s">
        <v>101</v>
      </c>
      <c r="B49" s="8" t="s">
        <v>184</v>
      </c>
      <c r="C49" s="72"/>
    </row>
    <row r="50" spans="1:3" ht="12" customHeight="1" thickBot="1">
      <c r="A50" s="444" t="s">
        <v>148</v>
      </c>
      <c r="B50" s="8" t="s">
        <v>185</v>
      </c>
      <c r="C50" s="72"/>
    </row>
    <row r="51" spans="1:3" ht="12" customHeight="1" thickBot="1">
      <c r="A51" s="193" t="s">
        <v>19</v>
      </c>
      <c r="B51" s="118" t="s">
        <v>416</v>
      </c>
      <c r="C51" s="310">
        <f>SUM(C52:C54)</f>
        <v>0</v>
      </c>
    </row>
    <row r="52" spans="1:3" s="452" customFormat="1" ht="12" customHeight="1">
      <c r="A52" s="444" t="s">
        <v>104</v>
      </c>
      <c r="B52" s="9" t="s">
        <v>230</v>
      </c>
      <c r="C52" s="69"/>
    </row>
    <row r="53" spans="1:3" ht="12" customHeight="1">
      <c r="A53" s="444" t="s">
        <v>105</v>
      </c>
      <c r="B53" s="8" t="s">
        <v>187</v>
      </c>
      <c r="C53" s="72"/>
    </row>
    <row r="54" spans="1:3" ht="12" customHeight="1">
      <c r="A54" s="444" t="s">
        <v>106</v>
      </c>
      <c r="B54" s="8" t="s">
        <v>58</v>
      </c>
      <c r="C54" s="72"/>
    </row>
    <row r="55" spans="1:3" ht="12" customHeight="1" thickBot="1">
      <c r="A55" s="444" t="s">
        <v>107</v>
      </c>
      <c r="B55" s="8" t="s">
        <v>524</v>
      </c>
      <c r="C55" s="72"/>
    </row>
    <row r="56" spans="1:3" ht="15.2" customHeight="1" thickBot="1">
      <c r="A56" s="193" t="s">
        <v>20</v>
      </c>
      <c r="B56" s="118" t="s">
        <v>13</v>
      </c>
      <c r="C56" s="336"/>
    </row>
    <row r="57" spans="1:3" ht="13.5" thickBot="1">
      <c r="A57" s="193" t="s">
        <v>21</v>
      </c>
      <c r="B57" s="235" t="s">
        <v>529</v>
      </c>
      <c r="C57" s="358">
        <f>+C45+C51+C56</f>
        <v>0</v>
      </c>
    </row>
    <row r="58" spans="1:3" ht="15.2" customHeight="1" thickBot="1">
      <c r="C58" s="623">
        <f>C41-C57</f>
        <v>0</v>
      </c>
    </row>
    <row r="59" spans="1:3" ht="14.45" customHeight="1" thickBot="1">
      <c r="A59" s="238" t="s">
        <v>519</v>
      </c>
      <c r="B59" s="239"/>
      <c r="C59" s="115"/>
    </row>
    <row r="60" spans="1:3" ht="13.5" thickBot="1">
      <c r="A60" s="238" t="s">
        <v>206</v>
      </c>
      <c r="B60" s="239"/>
      <c r="C60" s="115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C39" sqref="C39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16384" width="9.33203125" style="237"/>
  </cols>
  <sheetData>
    <row r="1" spans="1:3" s="217" customFormat="1" ht="21.2" customHeight="1" thickBot="1">
      <c r="A1" s="593"/>
      <c r="B1" s="594"/>
      <c r="C1" s="588" t="str">
        <f ca="1">CONCATENATE("9.3.3. melléklet ",ALAPADATOK!A7," ",ALAPADATOK!B7," ",ALAPADATOK!C7," ",ALAPADATOK!D7," ",ALAPADATOK!E7," ",ALAPADATOK!F7," ",ALAPADATOK!G7," ",ALAPADATOK!H7)</f>
        <v>9.3.3. melléklet a … / 2019 ( … ) önkormányzati rendelethez</v>
      </c>
    </row>
    <row r="2" spans="1:3" s="448" customFormat="1" ht="36">
      <c r="A2" s="595" t="s">
        <v>204</v>
      </c>
      <c r="B2" s="596" t="str">
        <f ca="1">CONCATENATE(KV_9.3.2.sz.mell!B2)</f>
        <v>Dabas Sári Óvoda</v>
      </c>
      <c r="C2" s="616" t="s">
        <v>60</v>
      </c>
    </row>
    <row r="3" spans="1:3" s="448" customFormat="1" ht="24.75" thickBot="1">
      <c r="A3" s="617" t="s">
        <v>203</v>
      </c>
      <c r="B3" s="599" t="s">
        <v>530</v>
      </c>
      <c r="C3" s="618" t="s">
        <v>431</v>
      </c>
    </row>
    <row r="4" spans="1:3" s="449" customFormat="1" ht="15.95" customHeight="1" thickBot="1">
      <c r="A4" s="601"/>
      <c r="B4" s="601"/>
      <c r="C4" s="602" t="str">
        <f ca="1">KV_9.3.2.sz.mell!C4</f>
        <v/>
      </c>
    </row>
    <row r="5" spans="1:3" ht="13.5" thickBot="1">
      <c r="A5" s="401" t="s">
        <v>205</v>
      </c>
      <c r="B5" s="221" t="s">
        <v>563</v>
      </c>
      <c r="C5" s="547" t="s">
        <v>55</v>
      </c>
    </row>
    <row r="6" spans="1:3" s="450" customFormat="1" ht="12.95" customHeight="1" thickBot="1">
      <c r="A6" s="185"/>
      <c r="B6" s="186" t="s">
        <v>493</v>
      </c>
      <c r="C6" s="187" t="s">
        <v>494</v>
      </c>
    </row>
    <row r="7" spans="1:3" s="450" customFormat="1" ht="15.95" customHeight="1" thickBot="1">
      <c r="A7" s="223"/>
      <c r="B7" s="224" t="s">
        <v>56</v>
      </c>
      <c r="C7" s="225"/>
    </row>
    <row r="8" spans="1:3" s="361" customFormat="1" ht="12" customHeight="1" thickBot="1">
      <c r="A8" s="185" t="s">
        <v>18</v>
      </c>
      <c r="B8" s="226" t="s">
        <v>520</v>
      </c>
      <c r="C8" s="310">
        <f>SUM(C9:C19)</f>
        <v>0</v>
      </c>
    </row>
    <row r="9" spans="1:3" s="361" customFormat="1" ht="12" customHeight="1">
      <c r="A9" s="443" t="s">
        <v>98</v>
      </c>
      <c r="B9" s="10" t="s">
        <v>277</v>
      </c>
      <c r="C9" s="351"/>
    </row>
    <row r="10" spans="1:3" s="361" customFormat="1" ht="12" customHeight="1">
      <c r="A10" s="444" t="s">
        <v>99</v>
      </c>
      <c r="B10" s="8" t="s">
        <v>278</v>
      </c>
      <c r="C10" s="308"/>
    </row>
    <row r="11" spans="1:3" s="361" customFormat="1" ht="12" customHeight="1">
      <c r="A11" s="444" t="s">
        <v>100</v>
      </c>
      <c r="B11" s="8" t="s">
        <v>279</v>
      </c>
      <c r="C11" s="308"/>
    </row>
    <row r="12" spans="1:3" s="361" customFormat="1" ht="12" customHeight="1">
      <c r="A12" s="444" t="s">
        <v>101</v>
      </c>
      <c r="B12" s="8" t="s">
        <v>280</v>
      </c>
      <c r="C12" s="308"/>
    </row>
    <row r="13" spans="1:3" s="361" customFormat="1" ht="12" customHeight="1">
      <c r="A13" s="444" t="s">
        <v>148</v>
      </c>
      <c r="B13" s="8" t="s">
        <v>281</v>
      </c>
      <c r="C13" s="308"/>
    </row>
    <row r="14" spans="1:3" s="361" customFormat="1" ht="12" customHeight="1">
      <c r="A14" s="444" t="s">
        <v>102</v>
      </c>
      <c r="B14" s="8" t="s">
        <v>399</v>
      </c>
      <c r="C14" s="308"/>
    </row>
    <row r="15" spans="1:3" s="361" customFormat="1" ht="12" customHeight="1">
      <c r="A15" s="444" t="s">
        <v>103</v>
      </c>
      <c r="B15" s="7" t="s">
        <v>400</v>
      </c>
      <c r="C15" s="308"/>
    </row>
    <row r="16" spans="1:3" s="361" customFormat="1" ht="12" customHeight="1">
      <c r="A16" s="444" t="s">
        <v>113</v>
      </c>
      <c r="B16" s="8" t="s">
        <v>284</v>
      </c>
      <c r="C16" s="352"/>
    </row>
    <row r="17" spans="1:3" s="451" customFormat="1" ht="12" customHeight="1">
      <c r="A17" s="444" t="s">
        <v>114</v>
      </c>
      <c r="B17" s="8" t="s">
        <v>285</v>
      </c>
      <c r="C17" s="308"/>
    </row>
    <row r="18" spans="1:3" s="451" customFormat="1" ht="12" customHeight="1">
      <c r="A18" s="444" t="s">
        <v>115</v>
      </c>
      <c r="B18" s="8" t="s">
        <v>436</v>
      </c>
      <c r="C18" s="309"/>
    </row>
    <row r="19" spans="1:3" s="451" customFormat="1" ht="12" customHeight="1" thickBot="1">
      <c r="A19" s="444" t="s">
        <v>116</v>
      </c>
      <c r="B19" s="7" t="s">
        <v>286</v>
      </c>
      <c r="C19" s="309"/>
    </row>
    <row r="20" spans="1:3" s="361" customFormat="1" ht="12" customHeight="1" thickBot="1">
      <c r="A20" s="185" t="s">
        <v>19</v>
      </c>
      <c r="B20" s="226" t="s">
        <v>401</v>
      </c>
      <c r="C20" s="310">
        <f>SUM(C21:C23)</f>
        <v>0</v>
      </c>
    </row>
    <row r="21" spans="1:3" s="451" customFormat="1" ht="12" customHeight="1">
      <c r="A21" s="444" t="s">
        <v>104</v>
      </c>
      <c r="B21" s="9" t="s">
        <v>258</v>
      </c>
      <c r="C21" s="308"/>
    </row>
    <row r="22" spans="1:3" s="451" customFormat="1" ht="12" customHeight="1">
      <c r="A22" s="444" t="s">
        <v>105</v>
      </c>
      <c r="B22" s="8" t="s">
        <v>402</v>
      </c>
      <c r="C22" s="308"/>
    </row>
    <row r="23" spans="1:3" s="451" customFormat="1" ht="12" customHeight="1">
      <c r="A23" s="444" t="s">
        <v>106</v>
      </c>
      <c r="B23" s="8" t="s">
        <v>403</v>
      </c>
      <c r="C23" s="308"/>
    </row>
    <row r="24" spans="1:3" s="451" customFormat="1" ht="12" customHeight="1" thickBot="1">
      <c r="A24" s="444" t="s">
        <v>107</v>
      </c>
      <c r="B24" s="8" t="s">
        <v>525</v>
      </c>
      <c r="C24" s="308"/>
    </row>
    <row r="25" spans="1:3" s="451" customFormat="1" ht="12" customHeight="1" thickBot="1">
      <c r="A25" s="193" t="s">
        <v>20</v>
      </c>
      <c r="B25" s="118" t="s">
        <v>174</v>
      </c>
      <c r="C25" s="336"/>
    </row>
    <row r="26" spans="1:3" s="451" customFormat="1" ht="12" customHeight="1" thickBot="1">
      <c r="A26" s="193" t="s">
        <v>21</v>
      </c>
      <c r="B26" s="118" t="s">
        <v>404</v>
      </c>
      <c r="C26" s="310">
        <f>+C27+C28</f>
        <v>0</v>
      </c>
    </row>
    <row r="27" spans="1:3" s="451" customFormat="1" ht="12" customHeight="1">
      <c r="A27" s="445" t="s">
        <v>268</v>
      </c>
      <c r="B27" s="446" t="s">
        <v>402</v>
      </c>
      <c r="C27" s="69"/>
    </row>
    <row r="28" spans="1:3" s="451" customFormat="1" ht="12" customHeight="1">
      <c r="A28" s="445" t="s">
        <v>269</v>
      </c>
      <c r="B28" s="447" t="s">
        <v>405</v>
      </c>
      <c r="C28" s="311"/>
    </row>
    <row r="29" spans="1:3" s="451" customFormat="1" ht="12" customHeight="1" thickBot="1">
      <c r="A29" s="444" t="s">
        <v>270</v>
      </c>
      <c r="B29" s="135" t="s">
        <v>526</v>
      </c>
      <c r="C29" s="76"/>
    </row>
    <row r="30" spans="1:3" s="451" customFormat="1" ht="12" customHeight="1" thickBot="1">
      <c r="A30" s="193" t="s">
        <v>22</v>
      </c>
      <c r="B30" s="118" t="s">
        <v>406</v>
      </c>
      <c r="C30" s="310">
        <f>+C31+C32+C33</f>
        <v>0</v>
      </c>
    </row>
    <row r="31" spans="1:3" s="451" customFormat="1" ht="12" customHeight="1">
      <c r="A31" s="445" t="s">
        <v>91</v>
      </c>
      <c r="B31" s="446" t="s">
        <v>291</v>
      </c>
      <c r="C31" s="69"/>
    </row>
    <row r="32" spans="1:3" s="451" customFormat="1" ht="12" customHeight="1">
      <c r="A32" s="445" t="s">
        <v>92</v>
      </c>
      <c r="B32" s="447" t="s">
        <v>292</v>
      </c>
      <c r="C32" s="311"/>
    </row>
    <row r="33" spans="1:3" s="451" customFormat="1" ht="12" customHeight="1" thickBot="1">
      <c r="A33" s="444" t="s">
        <v>93</v>
      </c>
      <c r="B33" s="135" t="s">
        <v>293</v>
      </c>
      <c r="C33" s="76"/>
    </row>
    <row r="34" spans="1:3" s="361" customFormat="1" ht="12" customHeight="1" thickBot="1">
      <c r="A34" s="193" t="s">
        <v>23</v>
      </c>
      <c r="B34" s="118" t="s">
        <v>376</v>
      </c>
      <c r="C34" s="336"/>
    </row>
    <row r="35" spans="1:3" s="361" customFormat="1" ht="12" customHeight="1" thickBot="1">
      <c r="A35" s="193" t="s">
        <v>24</v>
      </c>
      <c r="B35" s="118" t="s">
        <v>407</v>
      </c>
      <c r="C35" s="353"/>
    </row>
    <row r="36" spans="1:3" s="361" customFormat="1" ht="12" customHeight="1" thickBot="1">
      <c r="A36" s="185" t="s">
        <v>25</v>
      </c>
      <c r="B36" s="118" t="s">
        <v>527</v>
      </c>
      <c r="C36" s="354">
        <f>+C8+C20+C25+C26+C30+C34+C35</f>
        <v>0</v>
      </c>
    </row>
    <row r="37" spans="1:3" s="361" customFormat="1" ht="12" customHeight="1" thickBot="1">
      <c r="A37" s="227" t="s">
        <v>26</v>
      </c>
      <c r="B37" s="118" t="s">
        <v>409</v>
      </c>
      <c r="C37" s="354">
        <f>+C38+C39+C40</f>
        <v>0</v>
      </c>
    </row>
    <row r="38" spans="1:3" s="361" customFormat="1" ht="12" customHeight="1">
      <c r="A38" s="445" t="s">
        <v>410</v>
      </c>
      <c r="B38" s="446" t="s">
        <v>236</v>
      </c>
      <c r="C38" s="69"/>
    </row>
    <row r="39" spans="1:3" s="361" customFormat="1" ht="12" customHeight="1">
      <c r="A39" s="445" t="s">
        <v>411</v>
      </c>
      <c r="B39" s="447" t="s">
        <v>2</v>
      </c>
      <c r="C39" s="311"/>
    </row>
    <row r="40" spans="1:3" s="451" customFormat="1" ht="12" customHeight="1" thickBot="1">
      <c r="A40" s="444" t="s">
        <v>412</v>
      </c>
      <c r="B40" s="135" t="s">
        <v>413</v>
      </c>
      <c r="C40" s="76"/>
    </row>
    <row r="41" spans="1:3" s="451" customFormat="1" ht="15.2" customHeight="1" thickBot="1">
      <c r="A41" s="227" t="s">
        <v>27</v>
      </c>
      <c r="B41" s="228" t="s">
        <v>414</v>
      </c>
      <c r="C41" s="357">
        <f>+C36+C37</f>
        <v>0</v>
      </c>
    </row>
    <row r="42" spans="1:3" s="451" customFormat="1" ht="15.2" customHeight="1">
      <c r="A42" s="229"/>
      <c r="B42" s="230"/>
      <c r="C42" s="355"/>
    </row>
    <row r="43" spans="1:3" ht="13.5" thickBot="1">
      <c r="A43" s="231"/>
      <c r="B43" s="232"/>
      <c r="C43" s="356"/>
    </row>
    <row r="44" spans="1:3" s="450" customFormat="1" ht="16.5" customHeight="1" thickBot="1">
      <c r="A44" s="233"/>
      <c r="B44" s="234" t="s">
        <v>57</v>
      </c>
      <c r="C44" s="357"/>
    </row>
    <row r="45" spans="1:3" s="452" customFormat="1" ht="12" customHeight="1" thickBot="1">
      <c r="A45" s="193" t="s">
        <v>18</v>
      </c>
      <c r="B45" s="118" t="s">
        <v>415</v>
      </c>
      <c r="C45" s="310">
        <f>SUM(C46:C50)</f>
        <v>0</v>
      </c>
    </row>
    <row r="46" spans="1:3" ht="12" customHeight="1">
      <c r="A46" s="444" t="s">
        <v>98</v>
      </c>
      <c r="B46" s="9" t="s">
        <v>49</v>
      </c>
      <c r="C46" s="69"/>
    </row>
    <row r="47" spans="1:3" ht="12" customHeight="1">
      <c r="A47" s="444" t="s">
        <v>99</v>
      </c>
      <c r="B47" s="8" t="s">
        <v>183</v>
      </c>
      <c r="C47" s="72"/>
    </row>
    <row r="48" spans="1:3" ht="12" customHeight="1">
      <c r="A48" s="444" t="s">
        <v>100</v>
      </c>
      <c r="B48" s="8" t="s">
        <v>140</v>
      </c>
      <c r="C48" s="72"/>
    </row>
    <row r="49" spans="1:3" ht="12" customHeight="1">
      <c r="A49" s="444" t="s">
        <v>101</v>
      </c>
      <c r="B49" s="8" t="s">
        <v>184</v>
      </c>
      <c r="C49" s="72"/>
    </row>
    <row r="50" spans="1:3" ht="12" customHeight="1" thickBot="1">
      <c r="A50" s="444" t="s">
        <v>148</v>
      </c>
      <c r="B50" s="8" t="s">
        <v>185</v>
      </c>
      <c r="C50" s="72"/>
    </row>
    <row r="51" spans="1:3" ht="12" customHeight="1" thickBot="1">
      <c r="A51" s="193" t="s">
        <v>19</v>
      </c>
      <c r="B51" s="118" t="s">
        <v>416</v>
      </c>
      <c r="C51" s="310">
        <f>SUM(C52:C54)</f>
        <v>0</v>
      </c>
    </row>
    <row r="52" spans="1:3" s="452" customFormat="1" ht="12" customHeight="1">
      <c r="A52" s="444" t="s">
        <v>104</v>
      </c>
      <c r="B52" s="9" t="s">
        <v>230</v>
      </c>
      <c r="C52" s="69"/>
    </row>
    <row r="53" spans="1:3" ht="12" customHeight="1">
      <c r="A53" s="444" t="s">
        <v>105</v>
      </c>
      <c r="B53" s="8" t="s">
        <v>187</v>
      </c>
      <c r="C53" s="72"/>
    </row>
    <row r="54" spans="1:3" ht="12" customHeight="1">
      <c r="A54" s="444" t="s">
        <v>106</v>
      </c>
      <c r="B54" s="8" t="s">
        <v>58</v>
      </c>
      <c r="C54" s="72"/>
    </row>
    <row r="55" spans="1:3" ht="12" customHeight="1" thickBot="1">
      <c r="A55" s="444" t="s">
        <v>107</v>
      </c>
      <c r="B55" s="8" t="s">
        <v>524</v>
      </c>
      <c r="C55" s="72"/>
    </row>
    <row r="56" spans="1:3" ht="15.2" customHeight="1" thickBot="1">
      <c r="A56" s="193" t="s">
        <v>20</v>
      </c>
      <c r="B56" s="118" t="s">
        <v>13</v>
      </c>
      <c r="C56" s="336"/>
    </row>
    <row r="57" spans="1:3" ht="13.5" thickBot="1">
      <c r="A57" s="193" t="s">
        <v>21</v>
      </c>
      <c r="B57" s="235" t="s">
        <v>529</v>
      </c>
      <c r="C57" s="358">
        <f>+C45+C51+C56</f>
        <v>0</v>
      </c>
    </row>
    <row r="58" spans="1:3" ht="15.2" customHeight="1" thickBot="1">
      <c r="C58" s="623">
        <f>C41-C57</f>
        <v>0</v>
      </c>
    </row>
    <row r="59" spans="1:3" ht="14.45" customHeight="1" thickBot="1">
      <c r="A59" s="238" t="s">
        <v>519</v>
      </c>
      <c r="B59" s="239"/>
      <c r="C59" s="115"/>
    </row>
    <row r="60" spans="1:3" ht="13.5" thickBot="1">
      <c r="A60" s="238" t="s">
        <v>206</v>
      </c>
      <c r="B60" s="239"/>
      <c r="C60" s="115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>
  <sheetPr>
    <tabColor rgb="FF92D050"/>
  </sheetPr>
  <dimension ref="A1:I60"/>
  <sheetViews>
    <sheetView topLeftCell="A34" zoomScale="120" zoomScaleNormal="120" workbookViewId="0">
      <selection activeCell="H49" sqref="H49"/>
    </sheetView>
  </sheetViews>
  <sheetFormatPr defaultRowHeight="12.75"/>
  <cols>
    <col min="1" max="1" width="13.83203125" style="236" customWidth="1"/>
    <col min="2" max="2" width="79.1640625" style="237" customWidth="1"/>
    <col min="3" max="3" width="16.1640625" style="237" customWidth="1"/>
    <col min="4" max="4" width="15.83203125" style="237" customWidth="1"/>
    <col min="5" max="5" width="14.5" style="237" customWidth="1"/>
    <col min="6" max="6" width="13.1640625" style="237" customWidth="1"/>
    <col min="7" max="7" width="15.1640625" style="237" customWidth="1"/>
    <col min="8" max="8" width="13.1640625" style="237" customWidth="1"/>
    <col min="9" max="9" width="12.83203125" style="237" customWidth="1"/>
    <col min="10" max="16384" width="9.33203125" style="237"/>
  </cols>
  <sheetData>
    <row r="1" spans="1:9" s="217" customFormat="1" ht="21.2" customHeight="1" thickBot="1">
      <c r="A1" s="216"/>
      <c r="B1" s="218"/>
      <c r="C1" s="588" t="str">
        <f ca="1">CONCATENATE("9.4. melléklet ",ALAPADATOK!A7," ",ALAPADATOK!B7," ",ALAPADATOK!C7," ",ALAPADATOK!D7," ",ALAPADATOK!E7," ",ALAPADATOK!F7," ",ALAPADATOK!G7," ",ALAPADATOK!H7)</f>
        <v>9.4. melléklet a … / 2019 ( … ) önkormányzati rendelethez</v>
      </c>
    </row>
    <row r="2" spans="1:9" s="448" customFormat="1" ht="36">
      <c r="A2" s="400" t="s">
        <v>204</v>
      </c>
      <c r="B2" s="586" t="str">
        <f ca="1">CONCATENATE(ALAPADATOK!B15)</f>
        <v>Dabasi Egyesített Óvodák</v>
      </c>
      <c r="C2" s="359" t="s">
        <v>431</v>
      </c>
    </row>
    <row r="3" spans="1:9" s="448" customFormat="1" ht="24.75" thickBot="1">
      <c r="A3" s="442" t="s">
        <v>203</v>
      </c>
      <c r="B3" s="587" t="s">
        <v>398</v>
      </c>
      <c r="C3" s="360" t="s">
        <v>54</v>
      </c>
    </row>
    <row r="4" spans="1:9" s="449" customFormat="1" ht="15.95" customHeight="1" thickBot="1">
      <c r="A4" s="219"/>
      <c r="B4" s="219"/>
      <c r="C4" s="220" t="str">
        <f ca="1">KV_9.2.3.sz.mell!C4</f>
        <v/>
      </c>
    </row>
    <row r="5" spans="1:9" ht="24.75" thickBot="1">
      <c r="A5" s="401" t="s">
        <v>205</v>
      </c>
      <c r="B5" s="221" t="s">
        <v>563</v>
      </c>
      <c r="C5" s="222" t="s">
        <v>55</v>
      </c>
      <c r="D5" s="605" t="s">
        <v>753</v>
      </c>
      <c r="E5" s="605" t="s">
        <v>744</v>
      </c>
      <c r="F5" s="605" t="s">
        <v>812</v>
      </c>
      <c r="G5" s="605" t="s">
        <v>744</v>
      </c>
      <c r="H5" s="605" t="s">
        <v>826</v>
      </c>
      <c r="I5" s="605" t="s">
        <v>744</v>
      </c>
    </row>
    <row r="6" spans="1:9" s="450" customFormat="1" ht="12.95" customHeight="1" thickBot="1">
      <c r="A6" s="185"/>
      <c r="B6" s="186" t="s">
        <v>493</v>
      </c>
      <c r="C6" s="187" t="s">
        <v>494</v>
      </c>
      <c r="D6" s="720" t="s">
        <v>495</v>
      </c>
      <c r="E6" s="721" t="s">
        <v>497</v>
      </c>
      <c r="F6" s="720" t="s">
        <v>495</v>
      </c>
      <c r="G6" s="721" t="s">
        <v>497</v>
      </c>
      <c r="H6" s="720" t="s">
        <v>495</v>
      </c>
      <c r="I6" s="721" t="s">
        <v>497</v>
      </c>
    </row>
    <row r="7" spans="1:9" s="450" customFormat="1" ht="15.95" customHeight="1" thickBot="1">
      <c r="A7" s="223"/>
      <c r="B7" s="224" t="s">
        <v>56</v>
      </c>
      <c r="C7" s="225"/>
    </row>
    <row r="8" spans="1:9" s="361" customFormat="1" ht="12" customHeight="1" thickBot="1">
      <c r="A8" s="185" t="s">
        <v>18</v>
      </c>
      <c r="B8" s="226" t="s">
        <v>520</v>
      </c>
      <c r="C8" s="310">
        <f>SUM(C9:C19)</f>
        <v>0</v>
      </c>
      <c r="D8" s="710">
        <f>SUM(D9:D19)</f>
        <v>0</v>
      </c>
      <c r="E8" s="716">
        <f>SUM(C8+D8)</f>
        <v>0</v>
      </c>
      <c r="F8" s="710">
        <f>SUM(F9:F19)</f>
        <v>0</v>
      </c>
      <c r="G8" s="716">
        <f>SUM(E8+F8)</f>
        <v>0</v>
      </c>
      <c r="H8" s="710">
        <f>SUM(H9:H19)</f>
        <v>0</v>
      </c>
      <c r="I8" s="716">
        <f>SUM(G8+H8)</f>
        <v>0</v>
      </c>
    </row>
    <row r="9" spans="1:9" s="361" customFormat="1" ht="12" customHeight="1">
      <c r="A9" s="443" t="s">
        <v>98</v>
      </c>
      <c r="B9" s="10" t="s">
        <v>277</v>
      </c>
      <c r="C9" s="351"/>
      <c r="D9" s="709"/>
      <c r="E9" s="713">
        <f t="shared" ref="E9:E42" si="0">SUM(C9+D9)</f>
        <v>0</v>
      </c>
      <c r="F9" s="709"/>
      <c r="G9" s="713">
        <f t="shared" ref="G9:G42" si="1">SUM(E9+F9)</f>
        <v>0</v>
      </c>
      <c r="H9" s="709"/>
      <c r="I9" s="713">
        <f t="shared" ref="I9:I42" si="2">SUM(G9+H9)</f>
        <v>0</v>
      </c>
    </row>
    <row r="10" spans="1:9" s="361" customFormat="1" ht="12" customHeight="1">
      <c r="A10" s="444" t="s">
        <v>99</v>
      </c>
      <c r="B10" s="8" t="s">
        <v>278</v>
      </c>
      <c r="C10" s="308"/>
      <c r="D10" s="707"/>
      <c r="E10" s="714">
        <f t="shared" si="0"/>
        <v>0</v>
      </c>
      <c r="F10" s="707"/>
      <c r="G10" s="714">
        <f t="shared" si="1"/>
        <v>0</v>
      </c>
      <c r="H10" s="707"/>
      <c r="I10" s="714">
        <f t="shared" si="2"/>
        <v>0</v>
      </c>
    </row>
    <row r="11" spans="1:9" s="361" customFormat="1" ht="12" customHeight="1">
      <c r="A11" s="444" t="s">
        <v>100</v>
      </c>
      <c r="B11" s="8" t="s">
        <v>279</v>
      </c>
      <c r="C11" s="308"/>
      <c r="D11" s="707"/>
      <c r="E11" s="714">
        <f t="shared" si="0"/>
        <v>0</v>
      </c>
      <c r="F11" s="707"/>
      <c r="G11" s="714">
        <f t="shared" si="1"/>
        <v>0</v>
      </c>
      <c r="H11" s="707"/>
      <c r="I11" s="714">
        <f t="shared" si="2"/>
        <v>0</v>
      </c>
    </row>
    <row r="12" spans="1:9" s="361" customFormat="1" ht="12" customHeight="1">
      <c r="A12" s="444" t="s">
        <v>101</v>
      </c>
      <c r="B12" s="8" t="s">
        <v>280</v>
      </c>
      <c r="C12" s="308"/>
      <c r="D12" s="707"/>
      <c r="E12" s="714">
        <f t="shared" si="0"/>
        <v>0</v>
      </c>
      <c r="F12" s="707"/>
      <c r="G12" s="714">
        <f t="shared" si="1"/>
        <v>0</v>
      </c>
      <c r="H12" s="707"/>
      <c r="I12" s="714">
        <f t="shared" si="2"/>
        <v>0</v>
      </c>
    </row>
    <row r="13" spans="1:9" s="361" customFormat="1" ht="12" customHeight="1">
      <c r="A13" s="444" t="s">
        <v>148</v>
      </c>
      <c r="B13" s="8" t="s">
        <v>281</v>
      </c>
      <c r="C13" s="308"/>
      <c r="D13" s="707"/>
      <c r="E13" s="714">
        <f t="shared" si="0"/>
        <v>0</v>
      </c>
      <c r="F13" s="707"/>
      <c r="G13" s="714">
        <f t="shared" si="1"/>
        <v>0</v>
      </c>
      <c r="H13" s="707"/>
      <c r="I13" s="714">
        <f t="shared" si="2"/>
        <v>0</v>
      </c>
    </row>
    <row r="14" spans="1:9" s="361" customFormat="1" ht="12" customHeight="1">
      <c r="A14" s="444" t="s">
        <v>102</v>
      </c>
      <c r="B14" s="8" t="s">
        <v>399</v>
      </c>
      <c r="C14" s="308"/>
      <c r="D14" s="707"/>
      <c r="E14" s="714">
        <f t="shared" si="0"/>
        <v>0</v>
      </c>
      <c r="F14" s="707"/>
      <c r="G14" s="714">
        <f t="shared" si="1"/>
        <v>0</v>
      </c>
      <c r="H14" s="707"/>
      <c r="I14" s="714">
        <f t="shared" si="2"/>
        <v>0</v>
      </c>
    </row>
    <row r="15" spans="1:9" s="361" customFormat="1" ht="12" customHeight="1">
      <c r="A15" s="444" t="s">
        <v>103</v>
      </c>
      <c r="B15" s="7" t="s">
        <v>400</v>
      </c>
      <c r="C15" s="308"/>
      <c r="D15" s="707"/>
      <c r="E15" s="714">
        <f t="shared" si="0"/>
        <v>0</v>
      </c>
      <c r="F15" s="707"/>
      <c r="G15" s="714">
        <f t="shared" si="1"/>
        <v>0</v>
      </c>
      <c r="H15" s="707"/>
      <c r="I15" s="714">
        <f t="shared" si="2"/>
        <v>0</v>
      </c>
    </row>
    <row r="16" spans="1:9" s="361" customFormat="1" ht="12" customHeight="1">
      <c r="A16" s="444" t="s">
        <v>113</v>
      </c>
      <c r="B16" s="8" t="s">
        <v>284</v>
      </c>
      <c r="C16" s="352"/>
      <c r="D16" s="707"/>
      <c r="E16" s="714">
        <f t="shared" si="0"/>
        <v>0</v>
      </c>
      <c r="F16" s="707"/>
      <c r="G16" s="714">
        <f t="shared" si="1"/>
        <v>0</v>
      </c>
      <c r="H16" s="707"/>
      <c r="I16" s="714">
        <f t="shared" si="2"/>
        <v>0</v>
      </c>
    </row>
    <row r="17" spans="1:9" s="451" customFormat="1" ht="12" customHeight="1">
      <c r="A17" s="444" t="s">
        <v>114</v>
      </c>
      <c r="B17" s="8" t="s">
        <v>285</v>
      </c>
      <c r="C17" s="308"/>
      <c r="D17" s="707"/>
      <c r="E17" s="714">
        <f t="shared" si="0"/>
        <v>0</v>
      </c>
      <c r="F17" s="707"/>
      <c r="G17" s="714">
        <f t="shared" si="1"/>
        <v>0</v>
      </c>
      <c r="H17" s="707"/>
      <c r="I17" s="714">
        <f t="shared" si="2"/>
        <v>0</v>
      </c>
    </row>
    <row r="18" spans="1:9" s="451" customFormat="1" ht="12" customHeight="1">
      <c r="A18" s="444" t="s">
        <v>115</v>
      </c>
      <c r="B18" s="8" t="s">
        <v>436</v>
      </c>
      <c r="C18" s="309"/>
      <c r="D18" s="707"/>
      <c r="E18" s="714">
        <f t="shared" si="0"/>
        <v>0</v>
      </c>
      <c r="F18" s="707"/>
      <c r="G18" s="714">
        <f t="shared" si="1"/>
        <v>0</v>
      </c>
      <c r="H18" s="707"/>
      <c r="I18" s="714">
        <f t="shared" si="2"/>
        <v>0</v>
      </c>
    </row>
    <row r="19" spans="1:9" s="451" customFormat="1" ht="12" customHeight="1" thickBot="1">
      <c r="A19" s="444" t="s">
        <v>116</v>
      </c>
      <c r="B19" s="7" t="s">
        <v>286</v>
      </c>
      <c r="C19" s="309"/>
      <c r="D19" s="708"/>
      <c r="E19" s="715">
        <f t="shared" si="0"/>
        <v>0</v>
      </c>
      <c r="F19" s="708"/>
      <c r="G19" s="715">
        <f t="shared" si="1"/>
        <v>0</v>
      </c>
      <c r="H19" s="708"/>
      <c r="I19" s="715">
        <f t="shared" si="2"/>
        <v>0</v>
      </c>
    </row>
    <row r="20" spans="1:9" s="361" customFormat="1" ht="12" customHeight="1" thickBot="1">
      <c r="A20" s="185" t="s">
        <v>19</v>
      </c>
      <c r="B20" s="226" t="s">
        <v>401</v>
      </c>
      <c r="C20" s="310">
        <f>SUM(C21:C23)</f>
        <v>0</v>
      </c>
      <c r="D20" s="710">
        <f>SUM(D21:D23)</f>
        <v>0</v>
      </c>
      <c r="E20" s="716">
        <f t="shared" si="0"/>
        <v>0</v>
      </c>
      <c r="F20" s="710">
        <f>SUM(F21:F23)</f>
        <v>0</v>
      </c>
      <c r="G20" s="716">
        <f t="shared" si="1"/>
        <v>0</v>
      </c>
      <c r="H20" s="710">
        <f>SUM(H21:H23)</f>
        <v>0</v>
      </c>
      <c r="I20" s="716">
        <f t="shared" si="2"/>
        <v>0</v>
      </c>
    </row>
    <row r="21" spans="1:9" s="451" customFormat="1" ht="12" customHeight="1">
      <c r="A21" s="444" t="s">
        <v>104</v>
      </c>
      <c r="B21" s="9" t="s">
        <v>258</v>
      </c>
      <c r="C21" s="308"/>
      <c r="D21" s="709"/>
      <c r="E21" s="713">
        <f t="shared" si="0"/>
        <v>0</v>
      </c>
      <c r="F21" s="709"/>
      <c r="G21" s="713">
        <f t="shared" si="1"/>
        <v>0</v>
      </c>
      <c r="H21" s="709"/>
      <c r="I21" s="713">
        <f t="shared" si="2"/>
        <v>0</v>
      </c>
    </row>
    <row r="22" spans="1:9" s="451" customFormat="1" ht="12" customHeight="1">
      <c r="A22" s="444" t="s">
        <v>105</v>
      </c>
      <c r="B22" s="8" t="s">
        <v>402</v>
      </c>
      <c r="C22" s="308"/>
      <c r="D22" s="707"/>
      <c r="E22" s="714">
        <f t="shared" si="0"/>
        <v>0</v>
      </c>
      <c r="F22" s="707"/>
      <c r="G22" s="714">
        <f t="shared" si="1"/>
        <v>0</v>
      </c>
      <c r="H22" s="707"/>
      <c r="I22" s="714">
        <f t="shared" si="2"/>
        <v>0</v>
      </c>
    </row>
    <row r="23" spans="1:9" s="451" customFormat="1" ht="12" customHeight="1">
      <c r="A23" s="444" t="s">
        <v>106</v>
      </c>
      <c r="B23" s="8" t="s">
        <v>403</v>
      </c>
      <c r="C23" s="308"/>
      <c r="D23" s="707"/>
      <c r="E23" s="714">
        <f t="shared" si="0"/>
        <v>0</v>
      </c>
      <c r="F23" s="707"/>
      <c r="G23" s="714">
        <f t="shared" si="1"/>
        <v>0</v>
      </c>
      <c r="H23" s="707"/>
      <c r="I23" s="714">
        <f t="shared" si="2"/>
        <v>0</v>
      </c>
    </row>
    <row r="24" spans="1:9" s="451" customFormat="1" ht="12" customHeight="1" thickBot="1">
      <c r="A24" s="444" t="s">
        <v>107</v>
      </c>
      <c r="B24" s="8" t="s">
        <v>525</v>
      </c>
      <c r="C24" s="308"/>
      <c r="D24" s="708"/>
      <c r="E24" s="715">
        <f t="shared" si="0"/>
        <v>0</v>
      </c>
      <c r="F24" s="708"/>
      <c r="G24" s="715">
        <f t="shared" si="1"/>
        <v>0</v>
      </c>
      <c r="H24" s="708"/>
      <c r="I24" s="715">
        <f t="shared" si="2"/>
        <v>0</v>
      </c>
    </row>
    <row r="25" spans="1:9" s="451" customFormat="1" ht="12" customHeight="1" thickBot="1">
      <c r="A25" s="193" t="s">
        <v>20</v>
      </c>
      <c r="B25" s="118" t="s">
        <v>174</v>
      </c>
      <c r="C25" s="336"/>
      <c r="D25" s="710"/>
      <c r="E25" s="712">
        <f t="shared" si="0"/>
        <v>0</v>
      </c>
      <c r="F25" s="710"/>
      <c r="G25" s="712">
        <f t="shared" si="1"/>
        <v>0</v>
      </c>
      <c r="H25" s="710"/>
      <c r="I25" s="712">
        <f t="shared" si="2"/>
        <v>0</v>
      </c>
    </row>
    <row r="26" spans="1:9" s="451" customFormat="1" ht="12" customHeight="1" thickBot="1">
      <c r="A26" s="193" t="s">
        <v>21</v>
      </c>
      <c r="B26" s="118" t="s">
        <v>404</v>
      </c>
      <c r="C26" s="310">
        <f>+C27+C28</f>
        <v>0</v>
      </c>
      <c r="D26" s="710"/>
      <c r="E26" s="712">
        <f t="shared" si="0"/>
        <v>0</v>
      </c>
      <c r="F26" s="710"/>
      <c r="G26" s="712">
        <f t="shared" si="1"/>
        <v>0</v>
      </c>
      <c r="H26" s="710"/>
      <c r="I26" s="712">
        <f t="shared" si="2"/>
        <v>0</v>
      </c>
    </row>
    <row r="27" spans="1:9" s="451" customFormat="1" ht="12" customHeight="1">
      <c r="A27" s="445" t="s">
        <v>268</v>
      </c>
      <c r="B27" s="446" t="s">
        <v>402</v>
      </c>
      <c r="C27" s="69"/>
      <c r="D27" s="709"/>
      <c r="E27" s="713">
        <f t="shared" si="0"/>
        <v>0</v>
      </c>
      <c r="F27" s="709"/>
      <c r="G27" s="713">
        <f t="shared" si="1"/>
        <v>0</v>
      </c>
      <c r="H27" s="709"/>
      <c r="I27" s="713">
        <f t="shared" si="2"/>
        <v>0</v>
      </c>
    </row>
    <row r="28" spans="1:9" s="451" customFormat="1" ht="12" customHeight="1">
      <c r="A28" s="445" t="s">
        <v>269</v>
      </c>
      <c r="B28" s="447" t="s">
        <v>405</v>
      </c>
      <c r="C28" s="311"/>
      <c r="D28" s="707"/>
      <c r="E28" s="714">
        <f t="shared" si="0"/>
        <v>0</v>
      </c>
      <c r="F28" s="707"/>
      <c r="G28" s="714">
        <f t="shared" si="1"/>
        <v>0</v>
      </c>
      <c r="H28" s="707"/>
      <c r="I28" s="714">
        <f t="shared" si="2"/>
        <v>0</v>
      </c>
    </row>
    <row r="29" spans="1:9" s="451" customFormat="1" ht="12" customHeight="1" thickBot="1">
      <c r="A29" s="444" t="s">
        <v>270</v>
      </c>
      <c r="B29" s="135" t="s">
        <v>526</v>
      </c>
      <c r="C29" s="76"/>
      <c r="D29" s="707"/>
      <c r="E29" s="714">
        <f t="shared" si="0"/>
        <v>0</v>
      </c>
      <c r="F29" s="707"/>
      <c r="G29" s="714">
        <f t="shared" si="1"/>
        <v>0</v>
      </c>
      <c r="H29" s="707"/>
      <c r="I29" s="714">
        <f t="shared" si="2"/>
        <v>0</v>
      </c>
    </row>
    <row r="30" spans="1:9" s="451" customFormat="1" ht="12" customHeight="1" thickBot="1">
      <c r="A30" s="193" t="s">
        <v>22</v>
      </c>
      <c r="B30" s="118" t="s">
        <v>406</v>
      </c>
      <c r="C30" s="310">
        <f>+C31+C32+C33</f>
        <v>0</v>
      </c>
      <c r="D30" s="708"/>
      <c r="E30" s="715">
        <f t="shared" si="0"/>
        <v>0</v>
      </c>
      <c r="F30" s="708"/>
      <c r="G30" s="715">
        <f t="shared" si="1"/>
        <v>0</v>
      </c>
      <c r="H30" s="708"/>
      <c r="I30" s="715">
        <f t="shared" si="2"/>
        <v>0</v>
      </c>
    </row>
    <row r="31" spans="1:9" s="451" customFormat="1" ht="12" customHeight="1" thickBot="1">
      <c r="A31" s="445" t="s">
        <v>91</v>
      </c>
      <c r="B31" s="446" t="s">
        <v>291</v>
      </c>
      <c r="C31" s="69"/>
      <c r="D31" s="710"/>
      <c r="E31" s="712">
        <f t="shared" si="0"/>
        <v>0</v>
      </c>
      <c r="F31" s="710"/>
      <c r="G31" s="712">
        <f t="shared" si="1"/>
        <v>0</v>
      </c>
      <c r="H31" s="710"/>
      <c r="I31" s="712">
        <f t="shared" si="2"/>
        <v>0</v>
      </c>
    </row>
    <row r="32" spans="1:9" s="451" customFormat="1" ht="12" customHeight="1">
      <c r="A32" s="445" t="s">
        <v>92</v>
      </c>
      <c r="B32" s="447" t="s">
        <v>292</v>
      </c>
      <c r="C32" s="311"/>
      <c r="D32" s="709"/>
      <c r="E32" s="713">
        <f t="shared" si="0"/>
        <v>0</v>
      </c>
      <c r="F32" s="709"/>
      <c r="G32" s="713">
        <f t="shared" si="1"/>
        <v>0</v>
      </c>
      <c r="H32" s="709"/>
      <c r="I32" s="713">
        <f t="shared" si="2"/>
        <v>0</v>
      </c>
    </row>
    <row r="33" spans="1:9" s="451" customFormat="1" ht="12" customHeight="1" thickBot="1">
      <c r="A33" s="444" t="s">
        <v>93</v>
      </c>
      <c r="B33" s="135" t="s">
        <v>293</v>
      </c>
      <c r="C33" s="76"/>
      <c r="D33" s="707"/>
      <c r="E33" s="714">
        <f t="shared" si="0"/>
        <v>0</v>
      </c>
      <c r="F33" s="707"/>
      <c r="G33" s="714">
        <f t="shared" si="1"/>
        <v>0</v>
      </c>
      <c r="H33" s="707"/>
      <c r="I33" s="714">
        <f t="shared" si="2"/>
        <v>0</v>
      </c>
    </row>
    <row r="34" spans="1:9" s="361" customFormat="1" ht="12" customHeight="1" thickBot="1">
      <c r="A34" s="193" t="s">
        <v>23</v>
      </c>
      <c r="B34" s="118" t="s">
        <v>376</v>
      </c>
      <c r="C34" s="336"/>
      <c r="D34" s="708"/>
      <c r="E34" s="715">
        <f t="shared" si="0"/>
        <v>0</v>
      </c>
      <c r="F34" s="708"/>
      <c r="G34" s="715">
        <f t="shared" si="1"/>
        <v>0</v>
      </c>
      <c r="H34" s="708"/>
      <c r="I34" s="715">
        <f t="shared" si="2"/>
        <v>0</v>
      </c>
    </row>
    <row r="35" spans="1:9" s="361" customFormat="1" ht="12" customHeight="1" thickBot="1">
      <c r="A35" s="193" t="s">
        <v>24</v>
      </c>
      <c r="B35" s="118" t="s">
        <v>407</v>
      </c>
      <c r="C35" s="353"/>
      <c r="D35" s="710"/>
      <c r="E35" s="712">
        <f t="shared" si="0"/>
        <v>0</v>
      </c>
      <c r="F35" s="710"/>
      <c r="G35" s="712">
        <f t="shared" si="1"/>
        <v>0</v>
      </c>
      <c r="H35" s="710"/>
      <c r="I35" s="712">
        <f t="shared" si="2"/>
        <v>0</v>
      </c>
    </row>
    <row r="36" spans="1:9" s="361" customFormat="1" ht="12" customHeight="1" thickBot="1">
      <c r="A36" s="185" t="s">
        <v>25</v>
      </c>
      <c r="B36" s="118" t="s">
        <v>527</v>
      </c>
      <c r="C36" s="354">
        <f>+C8+C20+C25+C26+C30+C34+C35</f>
        <v>0</v>
      </c>
      <c r="D36" s="710"/>
      <c r="E36" s="712">
        <f t="shared" si="0"/>
        <v>0</v>
      </c>
      <c r="F36" s="710"/>
      <c r="G36" s="712">
        <f t="shared" si="1"/>
        <v>0</v>
      </c>
      <c r="H36" s="710"/>
      <c r="I36" s="712">
        <f t="shared" si="2"/>
        <v>0</v>
      </c>
    </row>
    <row r="37" spans="1:9" s="361" customFormat="1" ht="12" customHeight="1" thickBot="1">
      <c r="A37" s="227" t="s">
        <v>26</v>
      </c>
      <c r="B37" s="118" t="s">
        <v>409</v>
      </c>
      <c r="C37" s="354">
        <f>+C38+C39+C40</f>
        <v>320972610</v>
      </c>
      <c r="D37" s="710">
        <f>SUM(D38:D40)</f>
        <v>13604831</v>
      </c>
      <c r="E37" s="716">
        <f t="shared" si="0"/>
        <v>334577441</v>
      </c>
      <c r="F37" s="710">
        <f>SUM(F38:F40)</f>
        <v>9706685</v>
      </c>
      <c r="G37" s="716">
        <f t="shared" si="1"/>
        <v>344284126</v>
      </c>
      <c r="H37" s="710">
        <f>SUM(H38:H40)</f>
        <v>7527933</v>
      </c>
      <c r="I37" s="716">
        <f t="shared" si="2"/>
        <v>351812059</v>
      </c>
    </row>
    <row r="38" spans="1:9" s="361" customFormat="1" ht="12" customHeight="1" thickBot="1">
      <c r="A38" s="445" t="s">
        <v>410</v>
      </c>
      <c r="B38" s="446" t="s">
        <v>236</v>
      </c>
      <c r="C38" s="69"/>
      <c r="D38" s="710">
        <v>13541735</v>
      </c>
      <c r="E38" s="716">
        <f t="shared" si="0"/>
        <v>13541735</v>
      </c>
      <c r="F38" s="710"/>
      <c r="G38" s="716">
        <f t="shared" si="1"/>
        <v>13541735</v>
      </c>
      <c r="H38" s="710"/>
      <c r="I38" s="716">
        <f t="shared" si="2"/>
        <v>13541735</v>
      </c>
    </row>
    <row r="39" spans="1:9" s="361" customFormat="1" ht="12" customHeight="1">
      <c r="A39" s="445" t="s">
        <v>411</v>
      </c>
      <c r="B39" s="447" t="s">
        <v>2</v>
      </c>
      <c r="C39" s="311"/>
      <c r="D39" s="709"/>
      <c r="E39" s="713">
        <f t="shared" si="0"/>
        <v>0</v>
      </c>
      <c r="F39" s="709"/>
      <c r="G39" s="713">
        <f t="shared" si="1"/>
        <v>0</v>
      </c>
      <c r="H39" s="709"/>
      <c r="I39" s="713">
        <f t="shared" si="2"/>
        <v>0</v>
      </c>
    </row>
    <row r="40" spans="1:9" s="451" customFormat="1" ht="12" customHeight="1" thickBot="1">
      <c r="A40" s="444" t="s">
        <v>412</v>
      </c>
      <c r="B40" s="135" t="s">
        <v>413</v>
      </c>
      <c r="C40" s="76">
        <v>320972610</v>
      </c>
      <c r="D40" s="707">
        <v>63096</v>
      </c>
      <c r="E40" s="714">
        <f t="shared" si="0"/>
        <v>321035706</v>
      </c>
      <c r="F40" s="707">
        <v>9706685</v>
      </c>
      <c r="G40" s="714">
        <f t="shared" si="1"/>
        <v>330742391</v>
      </c>
      <c r="H40" s="707">
        <v>7527933</v>
      </c>
      <c r="I40" s="714">
        <f t="shared" si="2"/>
        <v>338270324</v>
      </c>
    </row>
    <row r="41" spans="1:9" s="451" customFormat="1" ht="15.2" customHeight="1" thickBot="1">
      <c r="A41" s="227" t="s">
        <v>27</v>
      </c>
      <c r="B41" s="228" t="s">
        <v>414</v>
      </c>
      <c r="C41" s="357">
        <f>+C36+C37</f>
        <v>320972610</v>
      </c>
      <c r="D41" s="708">
        <f>SUM(D37+D36)</f>
        <v>13604831</v>
      </c>
      <c r="E41" s="794">
        <f t="shared" si="0"/>
        <v>334577441</v>
      </c>
      <c r="F41" s="708">
        <f>SUM(F37+F36)</f>
        <v>9706685</v>
      </c>
      <c r="G41" s="794">
        <f t="shared" si="1"/>
        <v>344284126</v>
      </c>
      <c r="H41" s="708">
        <f>SUM(H37+H36)</f>
        <v>7527933</v>
      </c>
      <c r="I41" s="794">
        <f t="shared" si="2"/>
        <v>351812059</v>
      </c>
    </row>
    <row r="42" spans="1:9" s="451" customFormat="1" ht="15.2" customHeight="1">
      <c r="A42" s="229"/>
      <c r="B42" s="230"/>
      <c r="C42" s="355"/>
      <c r="D42" s="757"/>
      <c r="E42" s="758">
        <f t="shared" si="0"/>
        <v>0</v>
      </c>
      <c r="F42" s="757"/>
      <c r="G42" s="758">
        <f t="shared" si="1"/>
        <v>0</v>
      </c>
      <c r="H42" s="757"/>
      <c r="I42" s="758">
        <f t="shared" si="2"/>
        <v>0</v>
      </c>
    </row>
    <row r="43" spans="1:9" ht="15.75" thickBot="1">
      <c r="A43" s="231"/>
      <c r="B43" s="232"/>
      <c r="C43" s="356"/>
      <c r="D43" s="451"/>
      <c r="E43" s="451"/>
      <c r="F43" s="451"/>
      <c r="G43" s="451"/>
      <c r="H43" s="451"/>
      <c r="I43" s="451"/>
    </row>
    <row r="44" spans="1:9" s="450" customFormat="1" ht="16.5" customHeight="1" thickBot="1">
      <c r="A44" s="233"/>
      <c r="B44" s="234" t="s">
        <v>57</v>
      </c>
      <c r="C44" s="357"/>
      <c r="D44" s="705"/>
      <c r="E44" s="706"/>
      <c r="F44" s="705"/>
      <c r="G44" s="706"/>
      <c r="H44" s="705"/>
      <c r="I44" s="706"/>
    </row>
    <row r="45" spans="1:9" s="452" customFormat="1" ht="12" customHeight="1" thickBot="1">
      <c r="A45" s="193" t="s">
        <v>18</v>
      </c>
      <c r="B45" s="118" t="s">
        <v>415</v>
      </c>
      <c r="C45" s="310">
        <f>SUM(C46:C50)</f>
        <v>320972610</v>
      </c>
      <c r="D45" s="710">
        <f>SUM(D46:D50)</f>
        <v>13047727</v>
      </c>
      <c r="E45" s="716">
        <f>SUM(C45+D45)</f>
        <v>334020337</v>
      </c>
      <c r="F45" s="710">
        <f>SUM(F46:F50)</f>
        <v>7018336</v>
      </c>
      <c r="G45" s="716">
        <f>SUM(E45+F45)</f>
        <v>341038673</v>
      </c>
      <c r="H45" s="710">
        <f>SUM(H46:H50)</f>
        <v>7261653</v>
      </c>
      <c r="I45" s="716">
        <f>SUM(G45+H45)</f>
        <v>348300326</v>
      </c>
    </row>
    <row r="46" spans="1:9" ht="12" customHeight="1">
      <c r="A46" s="444" t="s">
        <v>98</v>
      </c>
      <c r="B46" s="9" t="s">
        <v>49</v>
      </c>
      <c r="C46" s="69">
        <v>246798000</v>
      </c>
      <c r="D46" s="709">
        <v>52800</v>
      </c>
      <c r="E46" s="717">
        <f>SUM(C46+D46)</f>
        <v>246850800</v>
      </c>
      <c r="F46" s="709">
        <v>5299520</v>
      </c>
      <c r="G46" s="717">
        <f>SUM(E46+F46)</f>
        <v>252150320</v>
      </c>
      <c r="H46" s="709">
        <v>1544000</v>
      </c>
      <c r="I46" s="717">
        <f>SUM(G46+H46)</f>
        <v>253694320</v>
      </c>
    </row>
    <row r="47" spans="1:9" ht="12" customHeight="1">
      <c r="A47" s="444" t="s">
        <v>99</v>
      </c>
      <c r="B47" s="8" t="s">
        <v>183</v>
      </c>
      <c r="C47" s="72">
        <v>48125610</v>
      </c>
      <c r="D47" s="707">
        <v>10296</v>
      </c>
      <c r="E47" s="717">
        <f t="shared" ref="E47:E60" si="3">SUM(C47+D47)</f>
        <v>48135906</v>
      </c>
      <c r="F47" s="707">
        <v>927416</v>
      </c>
      <c r="G47" s="717">
        <f t="shared" ref="G47:G60" si="4">SUM(E47+F47)</f>
        <v>49063322</v>
      </c>
      <c r="H47" s="707">
        <v>3507876</v>
      </c>
      <c r="I47" s="717">
        <f t="shared" ref="I47:I60" si="5">SUM(G47+H47)</f>
        <v>52571198</v>
      </c>
    </row>
    <row r="48" spans="1:9" ht="12" customHeight="1">
      <c r="A48" s="444" t="s">
        <v>100</v>
      </c>
      <c r="B48" s="8" t="s">
        <v>140</v>
      </c>
      <c r="C48" s="72">
        <v>26049000</v>
      </c>
      <c r="D48" s="707">
        <v>12984631</v>
      </c>
      <c r="E48" s="717">
        <f t="shared" si="3"/>
        <v>39033631</v>
      </c>
      <c r="F48" s="707">
        <v>791400</v>
      </c>
      <c r="G48" s="717">
        <f t="shared" si="4"/>
        <v>39825031</v>
      </c>
      <c r="H48" s="707">
        <v>2209777</v>
      </c>
      <c r="I48" s="717">
        <f t="shared" si="5"/>
        <v>42034808</v>
      </c>
    </row>
    <row r="49" spans="1:9" ht="12" customHeight="1">
      <c r="A49" s="444" t="s">
        <v>101</v>
      </c>
      <c r="B49" s="8" t="s">
        <v>184</v>
      </c>
      <c r="C49" s="72"/>
      <c r="D49" s="707"/>
      <c r="E49" s="717">
        <f t="shared" si="3"/>
        <v>0</v>
      </c>
      <c r="F49" s="707"/>
      <c r="G49" s="717">
        <f t="shared" si="4"/>
        <v>0</v>
      </c>
      <c r="H49" s="707"/>
      <c r="I49" s="717">
        <f t="shared" si="5"/>
        <v>0</v>
      </c>
    </row>
    <row r="50" spans="1:9" ht="12" customHeight="1" thickBot="1">
      <c r="A50" s="444" t="s">
        <v>148</v>
      </c>
      <c r="B50" s="8" t="s">
        <v>185</v>
      </c>
      <c r="C50" s="72"/>
      <c r="D50" s="708"/>
      <c r="E50" s="718">
        <f t="shared" si="3"/>
        <v>0</v>
      </c>
      <c r="F50" s="708"/>
      <c r="G50" s="718">
        <f t="shared" si="4"/>
        <v>0</v>
      </c>
      <c r="H50" s="708"/>
      <c r="I50" s="718">
        <f t="shared" si="5"/>
        <v>0</v>
      </c>
    </row>
    <row r="51" spans="1:9" ht="12" customHeight="1" thickBot="1">
      <c r="A51" s="193" t="s">
        <v>19</v>
      </c>
      <c r="B51" s="118" t="s">
        <v>416</v>
      </c>
      <c r="C51" s="310">
        <f>SUM(C52:C54)</f>
        <v>0</v>
      </c>
      <c r="D51" s="710">
        <f>SUM(D52:D54)</f>
        <v>557104</v>
      </c>
      <c r="E51" s="716">
        <f t="shared" si="3"/>
        <v>557104</v>
      </c>
      <c r="F51" s="710">
        <f>SUM(F52:F54)</f>
        <v>2688349</v>
      </c>
      <c r="G51" s="716">
        <f t="shared" si="4"/>
        <v>3245453</v>
      </c>
      <c r="H51" s="710">
        <f>SUM(H52:H54)</f>
        <v>266280</v>
      </c>
      <c r="I51" s="716">
        <f t="shared" si="5"/>
        <v>3511733</v>
      </c>
    </row>
    <row r="52" spans="1:9" s="452" customFormat="1" ht="12" customHeight="1">
      <c r="A52" s="444" t="s">
        <v>104</v>
      </c>
      <c r="B52" s="9" t="s">
        <v>230</v>
      </c>
      <c r="C52" s="69"/>
      <c r="D52" s="709">
        <v>557104</v>
      </c>
      <c r="E52" s="717">
        <f t="shared" si="3"/>
        <v>557104</v>
      </c>
      <c r="F52" s="709">
        <v>2688349</v>
      </c>
      <c r="G52" s="717">
        <f t="shared" si="4"/>
        <v>3245453</v>
      </c>
      <c r="H52" s="709">
        <v>266280</v>
      </c>
      <c r="I52" s="717">
        <f t="shared" si="5"/>
        <v>3511733</v>
      </c>
    </row>
    <row r="53" spans="1:9" ht="12" customHeight="1">
      <c r="A53" s="444" t="s">
        <v>105</v>
      </c>
      <c r="B53" s="8" t="s">
        <v>187</v>
      </c>
      <c r="C53" s="72"/>
      <c r="D53" s="707"/>
      <c r="E53" s="717">
        <f t="shared" si="3"/>
        <v>0</v>
      </c>
      <c r="F53" s="707"/>
      <c r="G53" s="717">
        <f t="shared" si="4"/>
        <v>0</v>
      </c>
      <c r="H53" s="707"/>
      <c r="I53" s="717">
        <f t="shared" si="5"/>
        <v>0</v>
      </c>
    </row>
    <row r="54" spans="1:9" ht="12" customHeight="1">
      <c r="A54" s="444" t="s">
        <v>106</v>
      </c>
      <c r="B54" s="8" t="s">
        <v>58</v>
      </c>
      <c r="C54" s="72"/>
      <c r="D54" s="707"/>
      <c r="E54" s="717">
        <f t="shared" si="3"/>
        <v>0</v>
      </c>
      <c r="F54" s="707"/>
      <c r="G54" s="717">
        <f t="shared" si="4"/>
        <v>0</v>
      </c>
      <c r="H54" s="707"/>
      <c r="I54" s="717">
        <f t="shared" si="5"/>
        <v>0</v>
      </c>
    </row>
    <row r="55" spans="1:9" ht="12" customHeight="1" thickBot="1">
      <c r="A55" s="444" t="s">
        <v>107</v>
      </c>
      <c r="B55" s="8" t="s">
        <v>524</v>
      </c>
      <c r="C55" s="72"/>
      <c r="D55" s="708"/>
      <c r="E55" s="718">
        <f t="shared" si="3"/>
        <v>0</v>
      </c>
      <c r="F55" s="708"/>
      <c r="G55" s="718">
        <f t="shared" si="4"/>
        <v>0</v>
      </c>
      <c r="H55" s="708"/>
      <c r="I55" s="718">
        <f t="shared" si="5"/>
        <v>0</v>
      </c>
    </row>
    <row r="56" spans="1:9" ht="15.2" customHeight="1" thickBot="1">
      <c r="A56" s="193" t="s">
        <v>20</v>
      </c>
      <c r="B56" s="118" t="s">
        <v>13</v>
      </c>
      <c r="C56" s="336"/>
      <c r="D56" s="710"/>
      <c r="E56" s="712">
        <f t="shared" si="3"/>
        <v>0</v>
      </c>
      <c r="F56" s="710"/>
      <c r="G56" s="712">
        <f t="shared" si="4"/>
        <v>0</v>
      </c>
      <c r="H56" s="710"/>
      <c r="I56" s="712">
        <f t="shared" si="5"/>
        <v>0</v>
      </c>
    </row>
    <row r="57" spans="1:9" ht="13.5" thickBot="1">
      <c r="A57" s="193" t="s">
        <v>21</v>
      </c>
      <c r="B57" s="235" t="s">
        <v>529</v>
      </c>
      <c r="C57" s="358">
        <f>+C45+C51+C56</f>
        <v>320972610</v>
      </c>
      <c r="D57" s="710">
        <f>SUM(D45+D51+D56)</f>
        <v>13604831</v>
      </c>
      <c r="E57" s="716">
        <f t="shared" si="3"/>
        <v>334577441</v>
      </c>
      <c r="F57" s="710">
        <f>SUM(F45+F51+F56)</f>
        <v>9706685</v>
      </c>
      <c r="G57" s="716">
        <f t="shared" si="4"/>
        <v>344284126</v>
      </c>
      <c r="H57" s="710">
        <f>SUM(H45+H51+H56)</f>
        <v>7527933</v>
      </c>
      <c r="I57" s="716">
        <f t="shared" si="5"/>
        <v>351812059</v>
      </c>
    </row>
    <row r="58" spans="1:9" ht="15.2" customHeight="1" thickBot="1">
      <c r="C58" s="623">
        <f>C41-C57</f>
        <v>0</v>
      </c>
      <c r="D58" s="711"/>
      <c r="E58" s="712">
        <f t="shared" si="3"/>
        <v>0</v>
      </c>
      <c r="F58" s="711"/>
      <c r="G58" s="712">
        <f t="shared" si="4"/>
        <v>0</v>
      </c>
      <c r="H58" s="711"/>
      <c r="I58" s="712">
        <f t="shared" si="5"/>
        <v>0</v>
      </c>
    </row>
    <row r="59" spans="1:9" ht="14.45" customHeight="1" thickBot="1">
      <c r="A59" s="238" t="s">
        <v>519</v>
      </c>
      <c r="B59" s="239"/>
      <c r="C59" s="115">
        <v>74</v>
      </c>
      <c r="D59" s="710"/>
      <c r="E59" s="716">
        <f t="shared" si="3"/>
        <v>74</v>
      </c>
      <c r="F59" s="710">
        <v>7</v>
      </c>
      <c r="G59" s="716">
        <f t="shared" si="4"/>
        <v>81</v>
      </c>
      <c r="H59" s="710"/>
      <c r="I59" s="716">
        <f t="shared" si="5"/>
        <v>81</v>
      </c>
    </row>
    <row r="60" spans="1:9" ht="13.5" thickBot="1">
      <c r="A60" s="238" t="s">
        <v>206</v>
      </c>
      <c r="B60" s="239"/>
      <c r="C60" s="115"/>
      <c r="D60" s="710"/>
      <c r="E60" s="712">
        <f t="shared" si="3"/>
        <v>0</v>
      </c>
      <c r="F60" s="710"/>
      <c r="G60" s="712">
        <f t="shared" si="4"/>
        <v>0</v>
      </c>
      <c r="H60" s="710"/>
      <c r="I60" s="712">
        <f t="shared" si="5"/>
        <v>0</v>
      </c>
    </row>
  </sheetData>
  <sheetProtection formatCells="0"/>
  <printOptions horizontalCentered="1"/>
  <pageMargins left="0.78740157480314965" right="0.78740157480314965" top="0.98425196850393704" bottom="0.98425196850393704" header="0.78740157480314965" footer="0.78740157480314965"/>
  <pageSetup paperSize="8" scale="8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E4" sqref="E4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16384" width="9.33203125" style="237"/>
  </cols>
  <sheetData>
    <row r="1" spans="1:3" s="217" customFormat="1" ht="21.2" customHeight="1" thickBot="1">
      <c r="A1" s="216"/>
      <c r="B1" s="218"/>
      <c r="C1" s="588" t="str">
        <f ca="1">CONCATENATE("9.4.1. melléklet ",ALAPADATOK!A7," ",ALAPADATOK!B7," ",ALAPADATOK!C7," ",ALAPADATOK!D7," ",ALAPADATOK!E7," ",ALAPADATOK!F7," ",ALAPADATOK!G7," ",ALAPADATOK!H7)</f>
        <v>9.4.1. melléklet a … / 2019 ( … ) önkormányzati rendelethez</v>
      </c>
    </row>
    <row r="2" spans="1:3" s="448" customFormat="1" ht="36">
      <c r="A2" s="400" t="s">
        <v>204</v>
      </c>
      <c r="B2" s="586" t="str">
        <f ca="1">CONCATENATE(KV_9.4.sz.mell!B2)</f>
        <v>Dabasi Egyesített Óvodák</v>
      </c>
      <c r="C2" s="359" t="s">
        <v>431</v>
      </c>
    </row>
    <row r="3" spans="1:3" s="448" customFormat="1" ht="24.75" thickBot="1">
      <c r="A3" s="442" t="s">
        <v>203</v>
      </c>
      <c r="B3" s="587" t="s">
        <v>417</v>
      </c>
      <c r="C3" s="360" t="s">
        <v>59</v>
      </c>
    </row>
    <row r="4" spans="1:3" s="449" customFormat="1" ht="15.95" customHeight="1" thickBot="1">
      <c r="A4" s="219"/>
      <c r="B4" s="219"/>
      <c r="C4" s="220" t="str">
        <f ca="1">KV_9.4.sz.mell!C4</f>
        <v/>
      </c>
    </row>
    <row r="5" spans="1:3" ht="13.5" thickBot="1">
      <c r="A5" s="401" t="s">
        <v>205</v>
      </c>
      <c r="B5" s="221" t="s">
        <v>563</v>
      </c>
      <c r="C5" s="222" t="s">
        <v>55</v>
      </c>
    </row>
    <row r="6" spans="1:3" s="450" customFormat="1" ht="12.95" customHeight="1" thickBot="1">
      <c r="A6" s="185"/>
      <c r="B6" s="186" t="s">
        <v>493</v>
      </c>
      <c r="C6" s="187" t="s">
        <v>494</v>
      </c>
    </row>
    <row r="7" spans="1:3" s="450" customFormat="1" ht="15.95" customHeight="1" thickBot="1">
      <c r="A7" s="223"/>
      <c r="B7" s="224" t="s">
        <v>56</v>
      </c>
      <c r="C7" s="225"/>
    </row>
    <row r="8" spans="1:3" s="361" customFormat="1" ht="12" customHeight="1" thickBot="1">
      <c r="A8" s="185" t="s">
        <v>18</v>
      </c>
      <c r="B8" s="226" t="s">
        <v>520</v>
      </c>
      <c r="C8" s="310">
        <f>SUM(C9:C19)</f>
        <v>0</v>
      </c>
    </row>
    <row r="9" spans="1:3" s="361" customFormat="1" ht="12" customHeight="1">
      <c r="A9" s="443" t="s">
        <v>98</v>
      </c>
      <c r="B9" s="10" t="s">
        <v>277</v>
      </c>
      <c r="C9" s="351"/>
    </row>
    <row r="10" spans="1:3" s="361" customFormat="1" ht="12" customHeight="1">
      <c r="A10" s="444" t="s">
        <v>99</v>
      </c>
      <c r="B10" s="8" t="s">
        <v>278</v>
      </c>
      <c r="C10" s="308"/>
    </row>
    <row r="11" spans="1:3" s="361" customFormat="1" ht="12" customHeight="1">
      <c r="A11" s="444" t="s">
        <v>100</v>
      </c>
      <c r="B11" s="8" t="s">
        <v>279</v>
      </c>
      <c r="C11" s="308"/>
    </row>
    <row r="12" spans="1:3" s="361" customFormat="1" ht="12" customHeight="1">
      <c r="A12" s="444" t="s">
        <v>101</v>
      </c>
      <c r="B12" s="8" t="s">
        <v>280</v>
      </c>
      <c r="C12" s="308"/>
    </row>
    <row r="13" spans="1:3" s="361" customFormat="1" ht="12" customHeight="1">
      <c r="A13" s="444" t="s">
        <v>148</v>
      </c>
      <c r="B13" s="8" t="s">
        <v>281</v>
      </c>
      <c r="C13" s="308"/>
    </row>
    <row r="14" spans="1:3" s="361" customFormat="1" ht="12" customHeight="1">
      <c r="A14" s="444" t="s">
        <v>102</v>
      </c>
      <c r="B14" s="8" t="s">
        <v>399</v>
      </c>
      <c r="C14" s="308"/>
    </row>
    <row r="15" spans="1:3" s="361" customFormat="1" ht="12" customHeight="1">
      <c r="A15" s="444" t="s">
        <v>103</v>
      </c>
      <c r="B15" s="7" t="s">
        <v>400</v>
      </c>
      <c r="C15" s="308"/>
    </row>
    <row r="16" spans="1:3" s="361" customFormat="1" ht="12" customHeight="1">
      <c r="A16" s="444" t="s">
        <v>113</v>
      </c>
      <c r="B16" s="8" t="s">
        <v>284</v>
      </c>
      <c r="C16" s="352"/>
    </row>
    <row r="17" spans="1:3" s="451" customFormat="1" ht="12" customHeight="1">
      <c r="A17" s="444" t="s">
        <v>114</v>
      </c>
      <c r="B17" s="8" t="s">
        <v>285</v>
      </c>
      <c r="C17" s="308"/>
    </row>
    <row r="18" spans="1:3" s="451" customFormat="1" ht="12" customHeight="1">
      <c r="A18" s="444" t="s">
        <v>115</v>
      </c>
      <c r="B18" s="8" t="s">
        <v>436</v>
      </c>
      <c r="C18" s="309"/>
    </row>
    <row r="19" spans="1:3" s="451" customFormat="1" ht="12" customHeight="1" thickBot="1">
      <c r="A19" s="444" t="s">
        <v>116</v>
      </c>
      <c r="B19" s="7" t="s">
        <v>286</v>
      </c>
      <c r="C19" s="309"/>
    </row>
    <row r="20" spans="1:3" s="361" customFormat="1" ht="12" customHeight="1" thickBot="1">
      <c r="A20" s="185" t="s">
        <v>19</v>
      </c>
      <c r="B20" s="226" t="s">
        <v>401</v>
      </c>
      <c r="C20" s="310">
        <f>SUM(C21:C23)</f>
        <v>0</v>
      </c>
    </row>
    <row r="21" spans="1:3" s="451" customFormat="1" ht="12" customHeight="1">
      <c r="A21" s="444" t="s">
        <v>104</v>
      </c>
      <c r="B21" s="9" t="s">
        <v>258</v>
      </c>
      <c r="C21" s="308"/>
    </row>
    <row r="22" spans="1:3" s="451" customFormat="1" ht="12" customHeight="1">
      <c r="A22" s="444" t="s">
        <v>105</v>
      </c>
      <c r="B22" s="8" t="s">
        <v>402</v>
      </c>
      <c r="C22" s="308"/>
    </row>
    <row r="23" spans="1:3" s="451" customFormat="1" ht="12" customHeight="1">
      <c r="A23" s="444" t="s">
        <v>106</v>
      </c>
      <c r="B23" s="8" t="s">
        <v>403</v>
      </c>
      <c r="C23" s="308"/>
    </row>
    <row r="24" spans="1:3" s="451" customFormat="1" ht="12" customHeight="1" thickBot="1">
      <c r="A24" s="444" t="s">
        <v>107</v>
      </c>
      <c r="B24" s="8" t="s">
        <v>525</v>
      </c>
      <c r="C24" s="308"/>
    </row>
    <row r="25" spans="1:3" s="451" customFormat="1" ht="12" customHeight="1" thickBot="1">
      <c r="A25" s="193" t="s">
        <v>20</v>
      </c>
      <c r="B25" s="118" t="s">
        <v>174</v>
      </c>
      <c r="C25" s="336"/>
    </row>
    <row r="26" spans="1:3" s="451" customFormat="1" ht="12" customHeight="1" thickBot="1">
      <c r="A26" s="193" t="s">
        <v>21</v>
      </c>
      <c r="B26" s="118" t="s">
        <v>404</v>
      </c>
      <c r="C26" s="310">
        <f>+C27+C28</f>
        <v>0</v>
      </c>
    </row>
    <row r="27" spans="1:3" s="451" customFormat="1" ht="12" customHeight="1">
      <c r="A27" s="445" t="s">
        <v>268</v>
      </c>
      <c r="B27" s="446" t="s">
        <v>402</v>
      </c>
      <c r="C27" s="69"/>
    </row>
    <row r="28" spans="1:3" s="451" customFormat="1" ht="12" customHeight="1">
      <c r="A28" s="445" t="s">
        <v>269</v>
      </c>
      <c r="B28" s="447" t="s">
        <v>405</v>
      </c>
      <c r="C28" s="311"/>
    </row>
    <row r="29" spans="1:3" s="451" customFormat="1" ht="12" customHeight="1" thickBot="1">
      <c r="A29" s="444" t="s">
        <v>270</v>
      </c>
      <c r="B29" s="135" t="s">
        <v>526</v>
      </c>
      <c r="C29" s="76"/>
    </row>
    <row r="30" spans="1:3" s="451" customFormat="1" ht="12" customHeight="1" thickBot="1">
      <c r="A30" s="193" t="s">
        <v>22</v>
      </c>
      <c r="B30" s="118" t="s">
        <v>406</v>
      </c>
      <c r="C30" s="310">
        <f>+C31+C32+C33</f>
        <v>0</v>
      </c>
    </row>
    <row r="31" spans="1:3" s="451" customFormat="1" ht="12" customHeight="1">
      <c r="A31" s="445" t="s">
        <v>91</v>
      </c>
      <c r="B31" s="446" t="s">
        <v>291</v>
      </c>
      <c r="C31" s="69"/>
    </row>
    <row r="32" spans="1:3" s="451" customFormat="1" ht="12" customHeight="1">
      <c r="A32" s="445" t="s">
        <v>92</v>
      </c>
      <c r="B32" s="447" t="s">
        <v>292</v>
      </c>
      <c r="C32" s="311"/>
    </row>
    <row r="33" spans="1:3" s="451" customFormat="1" ht="12" customHeight="1" thickBot="1">
      <c r="A33" s="444" t="s">
        <v>93</v>
      </c>
      <c r="B33" s="135" t="s">
        <v>293</v>
      </c>
      <c r="C33" s="76"/>
    </row>
    <row r="34" spans="1:3" s="361" customFormat="1" ht="12" customHeight="1" thickBot="1">
      <c r="A34" s="193" t="s">
        <v>23</v>
      </c>
      <c r="B34" s="118" t="s">
        <v>376</v>
      </c>
      <c r="C34" s="336"/>
    </row>
    <row r="35" spans="1:3" s="361" customFormat="1" ht="12" customHeight="1" thickBot="1">
      <c r="A35" s="193" t="s">
        <v>24</v>
      </c>
      <c r="B35" s="118" t="s">
        <v>407</v>
      </c>
      <c r="C35" s="353"/>
    </row>
    <row r="36" spans="1:3" s="361" customFormat="1" ht="12" customHeight="1" thickBot="1">
      <c r="A36" s="185" t="s">
        <v>25</v>
      </c>
      <c r="B36" s="118" t="s">
        <v>527</v>
      </c>
      <c r="C36" s="354">
        <f>+C8+C20+C25+C26+C30+C34+C35</f>
        <v>0</v>
      </c>
    </row>
    <row r="37" spans="1:3" s="361" customFormat="1" ht="12" customHeight="1" thickBot="1">
      <c r="A37" s="227" t="s">
        <v>26</v>
      </c>
      <c r="B37" s="118" t="s">
        <v>409</v>
      </c>
      <c r="C37" s="354">
        <f>+C38+C39+C40</f>
        <v>0</v>
      </c>
    </row>
    <row r="38" spans="1:3" s="361" customFormat="1" ht="12" customHeight="1">
      <c r="A38" s="445" t="s">
        <v>410</v>
      </c>
      <c r="B38" s="446" t="s">
        <v>236</v>
      </c>
      <c r="C38" s="69"/>
    </row>
    <row r="39" spans="1:3" s="361" customFormat="1" ht="12" customHeight="1">
      <c r="A39" s="445" t="s">
        <v>411</v>
      </c>
      <c r="B39" s="447" t="s">
        <v>2</v>
      </c>
      <c r="C39" s="311"/>
    </row>
    <row r="40" spans="1:3" s="451" customFormat="1" ht="12" customHeight="1" thickBot="1">
      <c r="A40" s="444" t="s">
        <v>412</v>
      </c>
      <c r="B40" s="135" t="s">
        <v>413</v>
      </c>
      <c r="C40" s="76"/>
    </row>
    <row r="41" spans="1:3" s="451" customFormat="1" ht="15.2" customHeight="1" thickBot="1">
      <c r="A41" s="227" t="s">
        <v>27</v>
      </c>
      <c r="B41" s="228" t="s">
        <v>414</v>
      </c>
      <c r="C41" s="357">
        <f>+C36+C37</f>
        <v>0</v>
      </c>
    </row>
    <row r="42" spans="1:3" s="451" customFormat="1" ht="15.2" customHeight="1">
      <c r="A42" s="229"/>
      <c r="B42" s="230"/>
      <c r="C42" s="355"/>
    </row>
    <row r="43" spans="1:3" ht="13.5" thickBot="1">
      <c r="A43" s="231"/>
      <c r="B43" s="232"/>
      <c r="C43" s="356"/>
    </row>
    <row r="44" spans="1:3" s="450" customFormat="1" ht="16.5" customHeight="1" thickBot="1">
      <c r="A44" s="233"/>
      <c r="B44" s="234" t="s">
        <v>57</v>
      </c>
      <c r="C44" s="357"/>
    </row>
    <row r="45" spans="1:3" s="452" customFormat="1" ht="12" customHeight="1" thickBot="1">
      <c r="A45" s="193" t="s">
        <v>18</v>
      </c>
      <c r="B45" s="118" t="s">
        <v>415</v>
      </c>
      <c r="C45" s="310">
        <f>SUM(C46:C50)</f>
        <v>0</v>
      </c>
    </row>
    <row r="46" spans="1:3" ht="12" customHeight="1">
      <c r="A46" s="444" t="s">
        <v>98</v>
      </c>
      <c r="B46" s="9" t="s">
        <v>49</v>
      </c>
      <c r="C46" s="69"/>
    </row>
    <row r="47" spans="1:3" ht="12" customHeight="1">
      <c r="A47" s="444" t="s">
        <v>99</v>
      </c>
      <c r="B47" s="8" t="s">
        <v>183</v>
      </c>
      <c r="C47" s="72"/>
    </row>
    <row r="48" spans="1:3" ht="12" customHeight="1">
      <c r="A48" s="444" t="s">
        <v>100</v>
      </c>
      <c r="B48" s="8" t="s">
        <v>140</v>
      </c>
      <c r="C48" s="72"/>
    </row>
    <row r="49" spans="1:3" ht="12" customHeight="1">
      <c r="A49" s="444" t="s">
        <v>101</v>
      </c>
      <c r="B49" s="8" t="s">
        <v>184</v>
      </c>
      <c r="C49" s="72"/>
    </row>
    <row r="50" spans="1:3" ht="12" customHeight="1" thickBot="1">
      <c r="A50" s="444" t="s">
        <v>148</v>
      </c>
      <c r="B50" s="8" t="s">
        <v>185</v>
      </c>
      <c r="C50" s="72"/>
    </row>
    <row r="51" spans="1:3" ht="12" customHeight="1" thickBot="1">
      <c r="A51" s="193" t="s">
        <v>19</v>
      </c>
      <c r="B51" s="118" t="s">
        <v>416</v>
      </c>
      <c r="C51" s="310">
        <f>SUM(C52:C54)</f>
        <v>0</v>
      </c>
    </row>
    <row r="52" spans="1:3" s="452" customFormat="1" ht="12" customHeight="1">
      <c r="A52" s="444" t="s">
        <v>104</v>
      </c>
      <c r="B52" s="9" t="s">
        <v>230</v>
      </c>
      <c r="C52" s="69"/>
    </row>
    <row r="53" spans="1:3" ht="12" customHeight="1">
      <c r="A53" s="444" t="s">
        <v>105</v>
      </c>
      <c r="B53" s="8" t="s">
        <v>187</v>
      </c>
      <c r="C53" s="72"/>
    </row>
    <row r="54" spans="1:3" ht="12" customHeight="1">
      <c r="A54" s="444" t="s">
        <v>106</v>
      </c>
      <c r="B54" s="8" t="s">
        <v>58</v>
      </c>
      <c r="C54" s="72"/>
    </row>
    <row r="55" spans="1:3" ht="12" customHeight="1" thickBot="1">
      <c r="A55" s="444" t="s">
        <v>107</v>
      </c>
      <c r="B55" s="8" t="s">
        <v>524</v>
      </c>
      <c r="C55" s="72"/>
    </row>
    <row r="56" spans="1:3" ht="15.2" customHeight="1" thickBot="1">
      <c r="A56" s="193" t="s">
        <v>20</v>
      </c>
      <c r="B56" s="118" t="s">
        <v>13</v>
      </c>
      <c r="C56" s="336"/>
    </row>
    <row r="57" spans="1:3" ht="13.5" thickBot="1">
      <c r="A57" s="193" t="s">
        <v>21</v>
      </c>
      <c r="B57" s="235" t="s">
        <v>529</v>
      </c>
      <c r="C57" s="358">
        <f>+C45+C51+C56</f>
        <v>0</v>
      </c>
    </row>
    <row r="58" spans="1:3" ht="15.2" customHeight="1" thickBot="1">
      <c r="C58" s="623">
        <f>C41-C57</f>
        <v>0</v>
      </c>
    </row>
    <row r="59" spans="1:3" ht="14.45" customHeight="1" thickBot="1">
      <c r="A59" s="238" t="s">
        <v>519</v>
      </c>
      <c r="B59" s="239"/>
      <c r="C59" s="115"/>
    </row>
    <row r="60" spans="1:3" ht="13.5" thickBot="1">
      <c r="A60" s="238" t="s">
        <v>206</v>
      </c>
      <c r="B60" s="239"/>
      <c r="C60" s="115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E4" sqref="E4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16384" width="9.33203125" style="237"/>
  </cols>
  <sheetData>
    <row r="1" spans="1:3" s="217" customFormat="1" ht="21.2" customHeight="1" thickBot="1">
      <c r="A1" s="216"/>
      <c r="B1" s="218"/>
      <c r="C1" s="588" t="str">
        <f ca="1">CONCATENATE("9.4.2. melléklet ",ALAPADATOK!A7," ",ALAPADATOK!B7," ",ALAPADATOK!C7," ",ALAPADATOK!D7," ",ALAPADATOK!E7," ",ALAPADATOK!F7," ",ALAPADATOK!G7," ",ALAPADATOK!H7)</f>
        <v>9.4.2. melléklet a … / 2019 ( … ) önkormányzati rendelethez</v>
      </c>
    </row>
    <row r="2" spans="1:3" s="448" customFormat="1" ht="36">
      <c r="A2" s="400" t="s">
        <v>204</v>
      </c>
      <c r="B2" s="586" t="str">
        <f ca="1">CONCATENATE(KV_9.4.1.sz.mell!B2)</f>
        <v>Dabasi Egyesített Óvodák</v>
      </c>
      <c r="C2" s="359" t="s">
        <v>431</v>
      </c>
    </row>
    <row r="3" spans="1:3" s="448" customFormat="1" ht="24.75" thickBot="1">
      <c r="A3" s="442" t="s">
        <v>203</v>
      </c>
      <c r="B3" s="587" t="s">
        <v>418</v>
      </c>
      <c r="C3" s="360" t="s">
        <v>60</v>
      </c>
    </row>
    <row r="4" spans="1:3" s="449" customFormat="1" ht="15.95" customHeight="1" thickBot="1">
      <c r="A4" s="219"/>
      <c r="B4" s="219"/>
      <c r="C4" s="220" t="str">
        <f ca="1">KV_9.4.1.sz.mell!C4</f>
        <v/>
      </c>
    </row>
    <row r="5" spans="1:3" ht="13.5" thickBot="1">
      <c r="A5" s="401" t="s">
        <v>205</v>
      </c>
      <c r="B5" s="221" t="s">
        <v>563</v>
      </c>
      <c r="C5" s="222" t="s">
        <v>55</v>
      </c>
    </row>
    <row r="6" spans="1:3" s="450" customFormat="1" ht="12.95" customHeight="1" thickBot="1">
      <c r="A6" s="185"/>
      <c r="B6" s="186" t="s">
        <v>493</v>
      </c>
      <c r="C6" s="187" t="s">
        <v>494</v>
      </c>
    </row>
    <row r="7" spans="1:3" s="450" customFormat="1" ht="15.95" customHeight="1" thickBot="1">
      <c r="A7" s="223"/>
      <c r="B7" s="224" t="s">
        <v>56</v>
      </c>
      <c r="C7" s="225"/>
    </row>
    <row r="8" spans="1:3" s="361" customFormat="1" ht="12" customHeight="1" thickBot="1">
      <c r="A8" s="185" t="s">
        <v>18</v>
      </c>
      <c r="B8" s="226" t="s">
        <v>520</v>
      </c>
      <c r="C8" s="310">
        <f>SUM(C9:C19)</f>
        <v>0</v>
      </c>
    </row>
    <row r="9" spans="1:3" s="361" customFormat="1" ht="12" customHeight="1">
      <c r="A9" s="443" t="s">
        <v>98</v>
      </c>
      <c r="B9" s="10" t="s">
        <v>277</v>
      </c>
      <c r="C9" s="351"/>
    </row>
    <row r="10" spans="1:3" s="361" customFormat="1" ht="12" customHeight="1">
      <c r="A10" s="444" t="s">
        <v>99</v>
      </c>
      <c r="B10" s="8" t="s">
        <v>278</v>
      </c>
      <c r="C10" s="308"/>
    </row>
    <row r="11" spans="1:3" s="361" customFormat="1" ht="12" customHeight="1">
      <c r="A11" s="444" t="s">
        <v>100</v>
      </c>
      <c r="B11" s="8" t="s">
        <v>279</v>
      </c>
      <c r="C11" s="308"/>
    </row>
    <row r="12" spans="1:3" s="361" customFormat="1" ht="12" customHeight="1">
      <c r="A12" s="444" t="s">
        <v>101</v>
      </c>
      <c r="B12" s="8" t="s">
        <v>280</v>
      </c>
      <c r="C12" s="308"/>
    </row>
    <row r="13" spans="1:3" s="361" customFormat="1" ht="12" customHeight="1">
      <c r="A13" s="444" t="s">
        <v>148</v>
      </c>
      <c r="B13" s="8" t="s">
        <v>281</v>
      </c>
      <c r="C13" s="308"/>
    </row>
    <row r="14" spans="1:3" s="361" customFormat="1" ht="12" customHeight="1">
      <c r="A14" s="444" t="s">
        <v>102</v>
      </c>
      <c r="B14" s="8" t="s">
        <v>399</v>
      </c>
      <c r="C14" s="308"/>
    </row>
    <row r="15" spans="1:3" s="361" customFormat="1" ht="12" customHeight="1">
      <c r="A15" s="444" t="s">
        <v>103</v>
      </c>
      <c r="B15" s="7" t="s">
        <v>400</v>
      </c>
      <c r="C15" s="308"/>
    </row>
    <row r="16" spans="1:3" s="361" customFormat="1" ht="12" customHeight="1">
      <c r="A16" s="444" t="s">
        <v>113</v>
      </c>
      <c r="B16" s="8" t="s">
        <v>284</v>
      </c>
      <c r="C16" s="352"/>
    </row>
    <row r="17" spans="1:3" s="451" customFormat="1" ht="12" customHeight="1">
      <c r="A17" s="444" t="s">
        <v>114</v>
      </c>
      <c r="B17" s="8" t="s">
        <v>285</v>
      </c>
      <c r="C17" s="308"/>
    </row>
    <row r="18" spans="1:3" s="451" customFormat="1" ht="12" customHeight="1">
      <c r="A18" s="444" t="s">
        <v>115</v>
      </c>
      <c r="B18" s="8" t="s">
        <v>436</v>
      </c>
      <c r="C18" s="309"/>
    </row>
    <row r="19" spans="1:3" s="451" customFormat="1" ht="12" customHeight="1" thickBot="1">
      <c r="A19" s="444" t="s">
        <v>116</v>
      </c>
      <c r="B19" s="7" t="s">
        <v>286</v>
      </c>
      <c r="C19" s="309"/>
    </row>
    <row r="20" spans="1:3" s="361" customFormat="1" ht="12" customHeight="1" thickBot="1">
      <c r="A20" s="185" t="s">
        <v>19</v>
      </c>
      <c r="B20" s="226" t="s">
        <v>401</v>
      </c>
      <c r="C20" s="310">
        <f>SUM(C21:C23)</f>
        <v>0</v>
      </c>
    </row>
    <row r="21" spans="1:3" s="451" customFormat="1" ht="12" customHeight="1">
      <c r="A21" s="444" t="s">
        <v>104</v>
      </c>
      <c r="B21" s="9" t="s">
        <v>258</v>
      </c>
      <c r="C21" s="308"/>
    </row>
    <row r="22" spans="1:3" s="451" customFormat="1" ht="12" customHeight="1">
      <c r="A22" s="444" t="s">
        <v>105</v>
      </c>
      <c r="B22" s="8" t="s">
        <v>402</v>
      </c>
      <c r="C22" s="308"/>
    </row>
    <row r="23" spans="1:3" s="451" customFormat="1" ht="12" customHeight="1">
      <c r="A23" s="444" t="s">
        <v>106</v>
      </c>
      <c r="B23" s="8" t="s">
        <v>403</v>
      </c>
      <c r="C23" s="308"/>
    </row>
    <row r="24" spans="1:3" s="451" customFormat="1" ht="12" customHeight="1" thickBot="1">
      <c r="A24" s="444" t="s">
        <v>107</v>
      </c>
      <c r="B24" s="8" t="s">
        <v>525</v>
      </c>
      <c r="C24" s="308"/>
    </row>
    <row r="25" spans="1:3" s="451" customFormat="1" ht="12" customHeight="1" thickBot="1">
      <c r="A25" s="193" t="s">
        <v>20</v>
      </c>
      <c r="B25" s="118" t="s">
        <v>174</v>
      </c>
      <c r="C25" s="336"/>
    </row>
    <row r="26" spans="1:3" s="451" customFormat="1" ht="12" customHeight="1" thickBot="1">
      <c r="A26" s="193" t="s">
        <v>21</v>
      </c>
      <c r="B26" s="118" t="s">
        <v>404</v>
      </c>
      <c r="C26" s="310">
        <f>+C27+C28</f>
        <v>0</v>
      </c>
    </row>
    <row r="27" spans="1:3" s="451" customFormat="1" ht="12" customHeight="1">
      <c r="A27" s="445" t="s">
        <v>268</v>
      </c>
      <c r="B27" s="446" t="s">
        <v>402</v>
      </c>
      <c r="C27" s="69"/>
    </row>
    <row r="28" spans="1:3" s="451" customFormat="1" ht="12" customHeight="1">
      <c r="A28" s="445" t="s">
        <v>269</v>
      </c>
      <c r="B28" s="447" t="s">
        <v>405</v>
      </c>
      <c r="C28" s="311"/>
    </row>
    <row r="29" spans="1:3" s="451" customFormat="1" ht="12" customHeight="1" thickBot="1">
      <c r="A29" s="444" t="s">
        <v>270</v>
      </c>
      <c r="B29" s="135" t="s">
        <v>526</v>
      </c>
      <c r="C29" s="76"/>
    </row>
    <row r="30" spans="1:3" s="451" customFormat="1" ht="12" customHeight="1" thickBot="1">
      <c r="A30" s="193" t="s">
        <v>22</v>
      </c>
      <c r="B30" s="118" t="s">
        <v>406</v>
      </c>
      <c r="C30" s="310">
        <f>+C31+C32+C33</f>
        <v>0</v>
      </c>
    </row>
    <row r="31" spans="1:3" s="451" customFormat="1" ht="12" customHeight="1">
      <c r="A31" s="445" t="s">
        <v>91</v>
      </c>
      <c r="B31" s="446" t="s">
        <v>291</v>
      </c>
      <c r="C31" s="69"/>
    </row>
    <row r="32" spans="1:3" s="451" customFormat="1" ht="12" customHeight="1">
      <c r="A32" s="445" t="s">
        <v>92</v>
      </c>
      <c r="B32" s="447" t="s">
        <v>292</v>
      </c>
      <c r="C32" s="311"/>
    </row>
    <row r="33" spans="1:3" s="451" customFormat="1" ht="12" customHeight="1" thickBot="1">
      <c r="A33" s="444" t="s">
        <v>93</v>
      </c>
      <c r="B33" s="135" t="s">
        <v>293</v>
      </c>
      <c r="C33" s="76"/>
    </row>
    <row r="34" spans="1:3" s="361" customFormat="1" ht="12" customHeight="1" thickBot="1">
      <c r="A34" s="193" t="s">
        <v>23</v>
      </c>
      <c r="B34" s="118" t="s">
        <v>376</v>
      </c>
      <c r="C34" s="336"/>
    </row>
    <row r="35" spans="1:3" s="361" customFormat="1" ht="12" customHeight="1" thickBot="1">
      <c r="A35" s="193" t="s">
        <v>24</v>
      </c>
      <c r="B35" s="118" t="s">
        <v>407</v>
      </c>
      <c r="C35" s="353"/>
    </row>
    <row r="36" spans="1:3" s="361" customFormat="1" ht="12" customHeight="1" thickBot="1">
      <c r="A36" s="185" t="s">
        <v>25</v>
      </c>
      <c r="B36" s="118" t="s">
        <v>527</v>
      </c>
      <c r="C36" s="354">
        <f>+C8+C20+C25+C26+C30+C34+C35</f>
        <v>0</v>
      </c>
    </row>
    <row r="37" spans="1:3" s="361" customFormat="1" ht="12" customHeight="1" thickBot="1">
      <c r="A37" s="227" t="s">
        <v>26</v>
      </c>
      <c r="B37" s="118" t="s">
        <v>409</v>
      </c>
      <c r="C37" s="354">
        <f>+C38+C39+C40</f>
        <v>0</v>
      </c>
    </row>
    <row r="38" spans="1:3" s="361" customFormat="1" ht="12" customHeight="1">
      <c r="A38" s="445" t="s">
        <v>410</v>
      </c>
      <c r="B38" s="446" t="s">
        <v>236</v>
      </c>
      <c r="C38" s="69"/>
    </row>
    <row r="39" spans="1:3" s="361" customFormat="1" ht="12" customHeight="1">
      <c r="A39" s="445" t="s">
        <v>411</v>
      </c>
      <c r="B39" s="447" t="s">
        <v>2</v>
      </c>
      <c r="C39" s="311"/>
    </row>
    <row r="40" spans="1:3" s="451" customFormat="1" ht="12" customHeight="1" thickBot="1">
      <c r="A40" s="444" t="s">
        <v>412</v>
      </c>
      <c r="B40" s="135" t="s">
        <v>413</v>
      </c>
      <c r="C40" s="76"/>
    </row>
    <row r="41" spans="1:3" s="451" customFormat="1" ht="15.2" customHeight="1" thickBot="1">
      <c r="A41" s="227" t="s">
        <v>27</v>
      </c>
      <c r="B41" s="228" t="s">
        <v>414</v>
      </c>
      <c r="C41" s="357">
        <f>+C36+C37</f>
        <v>0</v>
      </c>
    </row>
    <row r="42" spans="1:3" s="451" customFormat="1" ht="15.2" customHeight="1">
      <c r="A42" s="229"/>
      <c r="B42" s="230"/>
      <c r="C42" s="355"/>
    </row>
    <row r="43" spans="1:3" ht="13.5" thickBot="1">
      <c r="A43" s="231"/>
      <c r="B43" s="232"/>
      <c r="C43" s="356"/>
    </row>
    <row r="44" spans="1:3" s="450" customFormat="1" ht="16.5" customHeight="1" thickBot="1">
      <c r="A44" s="233"/>
      <c r="B44" s="234" t="s">
        <v>57</v>
      </c>
      <c r="C44" s="357"/>
    </row>
    <row r="45" spans="1:3" s="452" customFormat="1" ht="12" customHeight="1" thickBot="1">
      <c r="A45" s="193" t="s">
        <v>18</v>
      </c>
      <c r="B45" s="118" t="s">
        <v>415</v>
      </c>
      <c r="C45" s="310">
        <f>SUM(C46:C50)</f>
        <v>0</v>
      </c>
    </row>
    <row r="46" spans="1:3" ht="12" customHeight="1">
      <c r="A46" s="444" t="s">
        <v>98</v>
      </c>
      <c r="B46" s="9" t="s">
        <v>49</v>
      </c>
      <c r="C46" s="69"/>
    </row>
    <row r="47" spans="1:3" ht="12" customHeight="1">
      <c r="A47" s="444" t="s">
        <v>99</v>
      </c>
      <c r="B47" s="8" t="s">
        <v>183</v>
      </c>
      <c r="C47" s="72"/>
    </row>
    <row r="48" spans="1:3" ht="12" customHeight="1">
      <c r="A48" s="444" t="s">
        <v>100</v>
      </c>
      <c r="B48" s="8" t="s">
        <v>140</v>
      </c>
      <c r="C48" s="72"/>
    </row>
    <row r="49" spans="1:3" ht="12" customHeight="1">
      <c r="A49" s="444" t="s">
        <v>101</v>
      </c>
      <c r="B49" s="8" t="s">
        <v>184</v>
      </c>
      <c r="C49" s="72"/>
    </row>
    <row r="50" spans="1:3" ht="12" customHeight="1" thickBot="1">
      <c r="A50" s="444" t="s">
        <v>148</v>
      </c>
      <c r="B50" s="8" t="s">
        <v>185</v>
      </c>
      <c r="C50" s="72"/>
    </row>
    <row r="51" spans="1:3" ht="12" customHeight="1" thickBot="1">
      <c r="A51" s="193" t="s">
        <v>19</v>
      </c>
      <c r="B51" s="118" t="s">
        <v>416</v>
      </c>
      <c r="C51" s="310">
        <f>SUM(C52:C54)</f>
        <v>0</v>
      </c>
    </row>
    <row r="52" spans="1:3" s="452" customFormat="1" ht="12" customHeight="1">
      <c r="A52" s="444" t="s">
        <v>104</v>
      </c>
      <c r="B52" s="9" t="s">
        <v>230</v>
      </c>
      <c r="C52" s="69"/>
    </row>
    <row r="53" spans="1:3" ht="12" customHeight="1">
      <c r="A53" s="444" t="s">
        <v>105</v>
      </c>
      <c r="B53" s="8" t="s">
        <v>187</v>
      </c>
      <c r="C53" s="72"/>
    </row>
    <row r="54" spans="1:3" ht="12" customHeight="1">
      <c r="A54" s="444" t="s">
        <v>106</v>
      </c>
      <c r="B54" s="8" t="s">
        <v>58</v>
      </c>
      <c r="C54" s="72"/>
    </row>
    <row r="55" spans="1:3" ht="12" customHeight="1" thickBot="1">
      <c r="A55" s="444" t="s">
        <v>107</v>
      </c>
      <c r="B55" s="8" t="s">
        <v>524</v>
      </c>
      <c r="C55" s="72"/>
    </row>
    <row r="56" spans="1:3" ht="15.2" customHeight="1" thickBot="1">
      <c r="A56" s="193" t="s">
        <v>20</v>
      </c>
      <c r="B56" s="118" t="s">
        <v>13</v>
      </c>
      <c r="C56" s="336"/>
    </row>
    <row r="57" spans="1:3" ht="13.5" thickBot="1">
      <c r="A57" s="193" t="s">
        <v>21</v>
      </c>
      <c r="B57" s="235" t="s">
        <v>529</v>
      </c>
      <c r="C57" s="358">
        <f>+C45+C51+C56</f>
        <v>0</v>
      </c>
    </row>
    <row r="58" spans="1:3" ht="15.2" customHeight="1" thickBot="1">
      <c r="C58" s="623">
        <f>C41-C57</f>
        <v>0</v>
      </c>
    </row>
    <row r="59" spans="1:3" ht="14.45" customHeight="1" thickBot="1">
      <c r="A59" s="238" t="s">
        <v>519</v>
      </c>
      <c r="B59" s="239"/>
      <c r="C59" s="115"/>
    </row>
    <row r="60" spans="1:3" ht="13.5" thickBot="1">
      <c r="A60" s="238" t="s">
        <v>206</v>
      </c>
      <c r="B60" s="239"/>
      <c r="C60" s="115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E3" sqref="E3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16384" width="9.33203125" style="237"/>
  </cols>
  <sheetData>
    <row r="1" spans="1:3" s="217" customFormat="1" ht="21.2" customHeight="1" thickBot="1">
      <c r="A1" s="216"/>
      <c r="B1" s="218"/>
      <c r="C1" s="588" t="str">
        <f ca="1">CONCATENATE("9.4.3. melléklet ",ALAPADATOK!A7," ",ALAPADATOK!B7," ",ALAPADATOK!C7," ",ALAPADATOK!D7," ",ALAPADATOK!E7," ",ALAPADATOK!F7," ",ALAPADATOK!G7," ",ALAPADATOK!H7)</f>
        <v>9.4.3. melléklet a … / 2019 ( … ) önkormányzati rendelethez</v>
      </c>
    </row>
    <row r="2" spans="1:3" s="448" customFormat="1" ht="36">
      <c r="A2" s="400" t="s">
        <v>204</v>
      </c>
      <c r="B2" s="586" t="str">
        <f ca="1">CONCATENATE(KV_9.4.2.sz.mell!B2)</f>
        <v>Dabasi Egyesített Óvodák</v>
      </c>
      <c r="C2" s="359" t="s">
        <v>431</v>
      </c>
    </row>
    <row r="3" spans="1:3" s="448" customFormat="1" ht="24.75" thickBot="1">
      <c r="A3" s="442" t="s">
        <v>203</v>
      </c>
      <c r="B3" s="587" t="s">
        <v>530</v>
      </c>
      <c r="C3" s="360" t="s">
        <v>431</v>
      </c>
    </row>
    <row r="4" spans="1:3" s="449" customFormat="1" ht="15.95" customHeight="1" thickBot="1">
      <c r="A4" s="219"/>
      <c r="B4" s="219"/>
      <c r="C4" s="220" t="str">
        <f ca="1">KV_9.4.2.sz.mell!C4</f>
        <v/>
      </c>
    </row>
    <row r="5" spans="1:3" ht="13.5" thickBot="1">
      <c r="A5" s="401" t="s">
        <v>205</v>
      </c>
      <c r="B5" s="221" t="s">
        <v>563</v>
      </c>
      <c r="C5" s="547" t="s">
        <v>55</v>
      </c>
    </row>
    <row r="6" spans="1:3" s="450" customFormat="1" ht="12.95" customHeight="1" thickBot="1">
      <c r="A6" s="185"/>
      <c r="B6" s="186" t="s">
        <v>493</v>
      </c>
      <c r="C6" s="187" t="s">
        <v>494</v>
      </c>
    </row>
    <row r="7" spans="1:3" s="450" customFormat="1" ht="15.95" customHeight="1" thickBot="1">
      <c r="A7" s="223"/>
      <c r="B7" s="224" t="s">
        <v>56</v>
      </c>
      <c r="C7" s="225"/>
    </row>
    <row r="8" spans="1:3" s="361" customFormat="1" ht="12" customHeight="1" thickBot="1">
      <c r="A8" s="185" t="s">
        <v>18</v>
      </c>
      <c r="B8" s="226" t="s">
        <v>520</v>
      </c>
      <c r="C8" s="310">
        <f>SUM(C9:C19)</f>
        <v>0</v>
      </c>
    </row>
    <row r="9" spans="1:3" s="361" customFormat="1" ht="12" customHeight="1">
      <c r="A9" s="443" t="s">
        <v>98</v>
      </c>
      <c r="B9" s="10" t="s">
        <v>277</v>
      </c>
      <c r="C9" s="351"/>
    </row>
    <row r="10" spans="1:3" s="361" customFormat="1" ht="12" customHeight="1">
      <c r="A10" s="444" t="s">
        <v>99</v>
      </c>
      <c r="B10" s="8" t="s">
        <v>278</v>
      </c>
      <c r="C10" s="308"/>
    </row>
    <row r="11" spans="1:3" s="361" customFormat="1" ht="12" customHeight="1">
      <c r="A11" s="444" t="s">
        <v>100</v>
      </c>
      <c r="B11" s="8" t="s">
        <v>279</v>
      </c>
      <c r="C11" s="308"/>
    </row>
    <row r="12" spans="1:3" s="361" customFormat="1" ht="12" customHeight="1">
      <c r="A12" s="444" t="s">
        <v>101</v>
      </c>
      <c r="B12" s="8" t="s">
        <v>280</v>
      </c>
      <c r="C12" s="308"/>
    </row>
    <row r="13" spans="1:3" s="361" customFormat="1" ht="12" customHeight="1">
      <c r="A13" s="444" t="s">
        <v>148</v>
      </c>
      <c r="B13" s="8" t="s">
        <v>281</v>
      </c>
      <c r="C13" s="308"/>
    </row>
    <row r="14" spans="1:3" s="361" customFormat="1" ht="12" customHeight="1">
      <c r="A14" s="444" t="s">
        <v>102</v>
      </c>
      <c r="B14" s="8" t="s">
        <v>399</v>
      </c>
      <c r="C14" s="308"/>
    </row>
    <row r="15" spans="1:3" s="361" customFormat="1" ht="12" customHeight="1">
      <c r="A15" s="444" t="s">
        <v>103</v>
      </c>
      <c r="B15" s="7" t="s">
        <v>400</v>
      </c>
      <c r="C15" s="308"/>
    </row>
    <row r="16" spans="1:3" s="361" customFormat="1" ht="12" customHeight="1">
      <c r="A16" s="444" t="s">
        <v>113</v>
      </c>
      <c r="B16" s="8" t="s">
        <v>284</v>
      </c>
      <c r="C16" s="352"/>
    </row>
    <row r="17" spans="1:3" s="451" customFormat="1" ht="12" customHeight="1">
      <c r="A17" s="444" t="s">
        <v>114</v>
      </c>
      <c r="B17" s="8" t="s">
        <v>285</v>
      </c>
      <c r="C17" s="308"/>
    </row>
    <row r="18" spans="1:3" s="451" customFormat="1" ht="12" customHeight="1">
      <c r="A18" s="444" t="s">
        <v>115</v>
      </c>
      <c r="B18" s="8" t="s">
        <v>436</v>
      </c>
      <c r="C18" s="309"/>
    </row>
    <row r="19" spans="1:3" s="451" customFormat="1" ht="12" customHeight="1" thickBot="1">
      <c r="A19" s="444" t="s">
        <v>116</v>
      </c>
      <c r="B19" s="7" t="s">
        <v>286</v>
      </c>
      <c r="C19" s="309"/>
    </row>
    <row r="20" spans="1:3" s="361" customFormat="1" ht="12" customHeight="1" thickBot="1">
      <c r="A20" s="185" t="s">
        <v>19</v>
      </c>
      <c r="B20" s="226" t="s">
        <v>401</v>
      </c>
      <c r="C20" s="310">
        <f>SUM(C21:C23)</f>
        <v>0</v>
      </c>
    </row>
    <row r="21" spans="1:3" s="451" customFormat="1" ht="12" customHeight="1">
      <c r="A21" s="444" t="s">
        <v>104</v>
      </c>
      <c r="B21" s="9" t="s">
        <v>258</v>
      </c>
      <c r="C21" s="308"/>
    </row>
    <row r="22" spans="1:3" s="451" customFormat="1" ht="12" customHeight="1">
      <c r="A22" s="444" t="s">
        <v>105</v>
      </c>
      <c r="B22" s="8" t="s">
        <v>402</v>
      </c>
      <c r="C22" s="308"/>
    </row>
    <row r="23" spans="1:3" s="451" customFormat="1" ht="12" customHeight="1">
      <c r="A23" s="444" t="s">
        <v>106</v>
      </c>
      <c r="B23" s="8" t="s">
        <v>403</v>
      </c>
      <c r="C23" s="308"/>
    </row>
    <row r="24" spans="1:3" s="451" customFormat="1" ht="12" customHeight="1" thickBot="1">
      <c r="A24" s="444" t="s">
        <v>107</v>
      </c>
      <c r="B24" s="8" t="s">
        <v>525</v>
      </c>
      <c r="C24" s="308"/>
    </row>
    <row r="25" spans="1:3" s="451" customFormat="1" ht="12" customHeight="1" thickBot="1">
      <c r="A25" s="193" t="s">
        <v>20</v>
      </c>
      <c r="B25" s="118" t="s">
        <v>174</v>
      </c>
      <c r="C25" s="336"/>
    </row>
    <row r="26" spans="1:3" s="451" customFormat="1" ht="12" customHeight="1" thickBot="1">
      <c r="A26" s="193" t="s">
        <v>21</v>
      </c>
      <c r="B26" s="118" t="s">
        <v>404</v>
      </c>
      <c r="C26" s="310">
        <f>+C27+C28</f>
        <v>0</v>
      </c>
    </row>
    <row r="27" spans="1:3" s="451" customFormat="1" ht="12" customHeight="1">
      <c r="A27" s="445" t="s">
        <v>268</v>
      </c>
      <c r="B27" s="446" t="s">
        <v>402</v>
      </c>
      <c r="C27" s="69"/>
    </row>
    <row r="28" spans="1:3" s="451" customFormat="1" ht="12" customHeight="1">
      <c r="A28" s="445" t="s">
        <v>269</v>
      </c>
      <c r="B28" s="447" t="s">
        <v>405</v>
      </c>
      <c r="C28" s="311"/>
    </row>
    <row r="29" spans="1:3" s="451" customFormat="1" ht="12" customHeight="1" thickBot="1">
      <c r="A29" s="444" t="s">
        <v>270</v>
      </c>
      <c r="B29" s="135" t="s">
        <v>526</v>
      </c>
      <c r="C29" s="76"/>
    </row>
    <row r="30" spans="1:3" s="451" customFormat="1" ht="12" customHeight="1" thickBot="1">
      <c r="A30" s="193" t="s">
        <v>22</v>
      </c>
      <c r="B30" s="118" t="s">
        <v>406</v>
      </c>
      <c r="C30" s="310">
        <f>+C31+C32+C33</f>
        <v>0</v>
      </c>
    </row>
    <row r="31" spans="1:3" s="451" customFormat="1" ht="12" customHeight="1">
      <c r="A31" s="445" t="s">
        <v>91</v>
      </c>
      <c r="B31" s="446" t="s">
        <v>291</v>
      </c>
      <c r="C31" s="69"/>
    </row>
    <row r="32" spans="1:3" s="451" customFormat="1" ht="12" customHeight="1">
      <c r="A32" s="445" t="s">
        <v>92</v>
      </c>
      <c r="B32" s="447" t="s">
        <v>292</v>
      </c>
      <c r="C32" s="311"/>
    </row>
    <row r="33" spans="1:3" s="451" customFormat="1" ht="12" customHeight="1" thickBot="1">
      <c r="A33" s="444" t="s">
        <v>93</v>
      </c>
      <c r="B33" s="135" t="s">
        <v>293</v>
      </c>
      <c r="C33" s="76"/>
    </row>
    <row r="34" spans="1:3" s="361" customFormat="1" ht="12" customHeight="1" thickBot="1">
      <c r="A34" s="193" t="s">
        <v>23</v>
      </c>
      <c r="B34" s="118" t="s">
        <v>376</v>
      </c>
      <c r="C34" s="336"/>
    </row>
    <row r="35" spans="1:3" s="361" customFormat="1" ht="12" customHeight="1" thickBot="1">
      <c r="A35" s="193" t="s">
        <v>24</v>
      </c>
      <c r="B35" s="118" t="s">
        <v>407</v>
      </c>
      <c r="C35" s="353"/>
    </row>
    <row r="36" spans="1:3" s="361" customFormat="1" ht="12" customHeight="1" thickBot="1">
      <c r="A36" s="185" t="s">
        <v>25</v>
      </c>
      <c r="B36" s="118" t="s">
        <v>527</v>
      </c>
      <c r="C36" s="354">
        <f>+C8+C20+C25+C26+C30+C34+C35</f>
        <v>0</v>
      </c>
    </row>
    <row r="37" spans="1:3" s="361" customFormat="1" ht="12" customHeight="1" thickBot="1">
      <c r="A37" s="227" t="s">
        <v>26</v>
      </c>
      <c r="B37" s="118" t="s">
        <v>409</v>
      </c>
      <c r="C37" s="354">
        <f>+C38+C39+C40</f>
        <v>0</v>
      </c>
    </row>
    <row r="38" spans="1:3" s="361" customFormat="1" ht="12" customHeight="1">
      <c r="A38" s="445" t="s">
        <v>410</v>
      </c>
      <c r="B38" s="446" t="s">
        <v>236</v>
      </c>
      <c r="C38" s="69"/>
    </row>
    <row r="39" spans="1:3" s="361" customFormat="1" ht="12" customHeight="1">
      <c r="A39" s="445" t="s">
        <v>411</v>
      </c>
      <c r="B39" s="447" t="s">
        <v>2</v>
      </c>
      <c r="C39" s="311"/>
    </row>
    <row r="40" spans="1:3" s="451" customFormat="1" ht="12" customHeight="1" thickBot="1">
      <c r="A40" s="444" t="s">
        <v>412</v>
      </c>
      <c r="B40" s="135" t="s">
        <v>413</v>
      </c>
      <c r="C40" s="76"/>
    </row>
    <row r="41" spans="1:3" s="451" customFormat="1" ht="15.2" customHeight="1" thickBot="1">
      <c r="A41" s="227" t="s">
        <v>27</v>
      </c>
      <c r="B41" s="228" t="s">
        <v>414</v>
      </c>
      <c r="C41" s="357">
        <f>+C36+C37</f>
        <v>0</v>
      </c>
    </row>
    <row r="42" spans="1:3" s="451" customFormat="1" ht="15.2" customHeight="1">
      <c r="A42" s="229"/>
      <c r="B42" s="230"/>
      <c r="C42" s="355"/>
    </row>
    <row r="43" spans="1:3" ht="13.5" thickBot="1">
      <c r="A43" s="231"/>
      <c r="B43" s="232"/>
      <c r="C43" s="356"/>
    </row>
    <row r="44" spans="1:3" s="450" customFormat="1" ht="16.5" customHeight="1" thickBot="1">
      <c r="A44" s="233"/>
      <c r="B44" s="234" t="s">
        <v>57</v>
      </c>
      <c r="C44" s="357"/>
    </row>
    <row r="45" spans="1:3" s="452" customFormat="1" ht="12" customHeight="1" thickBot="1">
      <c r="A45" s="193" t="s">
        <v>18</v>
      </c>
      <c r="B45" s="118" t="s">
        <v>415</v>
      </c>
      <c r="C45" s="310">
        <f>SUM(C46:C50)</f>
        <v>0</v>
      </c>
    </row>
    <row r="46" spans="1:3" ht="12" customHeight="1">
      <c r="A46" s="444" t="s">
        <v>98</v>
      </c>
      <c r="B46" s="9" t="s">
        <v>49</v>
      </c>
      <c r="C46" s="69"/>
    </row>
    <row r="47" spans="1:3" ht="12" customHeight="1">
      <c r="A47" s="444" t="s">
        <v>99</v>
      </c>
      <c r="B47" s="8" t="s">
        <v>183</v>
      </c>
      <c r="C47" s="72"/>
    </row>
    <row r="48" spans="1:3" ht="12" customHeight="1">
      <c r="A48" s="444" t="s">
        <v>100</v>
      </c>
      <c r="B48" s="8" t="s">
        <v>140</v>
      </c>
      <c r="C48" s="72"/>
    </row>
    <row r="49" spans="1:3" ht="12" customHeight="1">
      <c r="A49" s="444" t="s">
        <v>101</v>
      </c>
      <c r="B49" s="8" t="s">
        <v>184</v>
      </c>
      <c r="C49" s="72"/>
    </row>
    <row r="50" spans="1:3" ht="12" customHeight="1" thickBot="1">
      <c r="A50" s="444" t="s">
        <v>148</v>
      </c>
      <c r="B50" s="8" t="s">
        <v>185</v>
      </c>
      <c r="C50" s="72"/>
    </row>
    <row r="51" spans="1:3" ht="12" customHeight="1" thickBot="1">
      <c r="A51" s="193" t="s">
        <v>19</v>
      </c>
      <c r="B51" s="118" t="s">
        <v>416</v>
      </c>
      <c r="C51" s="310">
        <f>SUM(C52:C54)</f>
        <v>0</v>
      </c>
    </row>
    <row r="52" spans="1:3" s="452" customFormat="1" ht="12" customHeight="1">
      <c r="A52" s="444" t="s">
        <v>104</v>
      </c>
      <c r="B52" s="9" t="s">
        <v>230</v>
      </c>
      <c r="C52" s="69"/>
    </row>
    <row r="53" spans="1:3" ht="12" customHeight="1">
      <c r="A53" s="444" t="s">
        <v>105</v>
      </c>
      <c r="B53" s="8" t="s">
        <v>187</v>
      </c>
      <c r="C53" s="72"/>
    </row>
    <row r="54" spans="1:3" ht="12" customHeight="1">
      <c r="A54" s="444" t="s">
        <v>106</v>
      </c>
      <c r="B54" s="8" t="s">
        <v>58</v>
      </c>
      <c r="C54" s="72"/>
    </row>
    <row r="55" spans="1:3" ht="12" customHeight="1" thickBot="1">
      <c r="A55" s="444" t="s">
        <v>107</v>
      </c>
      <c r="B55" s="8" t="s">
        <v>524</v>
      </c>
      <c r="C55" s="72"/>
    </row>
    <row r="56" spans="1:3" ht="15.2" customHeight="1" thickBot="1">
      <c r="A56" s="193" t="s">
        <v>20</v>
      </c>
      <c r="B56" s="118" t="s">
        <v>13</v>
      </c>
      <c r="C56" s="336"/>
    </row>
    <row r="57" spans="1:3" ht="13.5" thickBot="1">
      <c r="A57" s="193" t="s">
        <v>21</v>
      </c>
      <c r="B57" s="235" t="s">
        <v>529</v>
      </c>
      <c r="C57" s="358">
        <f>+C45+C51+C56</f>
        <v>0</v>
      </c>
    </row>
    <row r="58" spans="1:3" ht="15.2" customHeight="1" thickBot="1">
      <c r="C58" s="623">
        <f>C41-C57</f>
        <v>0</v>
      </c>
    </row>
    <row r="59" spans="1:3" ht="14.45" customHeight="1" thickBot="1">
      <c r="A59" s="238" t="s">
        <v>519</v>
      </c>
      <c r="B59" s="239"/>
      <c r="C59" s="115"/>
    </row>
    <row r="60" spans="1:3" ht="13.5" thickBot="1">
      <c r="A60" s="238" t="s">
        <v>206</v>
      </c>
      <c r="B60" s="239"/>
      <c r="C60" s="115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>
  <sheetPr>
    <tabColor rgb="FF92D050"/>
  </sheetPr>
  <dimension ref="A1:K60"/>
  <sheetViews>
    <sheetView topLeftCell="A34" zoomScale="120" zoomScaleNormal="120" workbookViewId="0">
      <selection activeCell="J53" sqref="J53"/>
    </sheetView>
  </sheetViews>
  <sheetFormatPr defaultRowHeight="12.75"/>
  <cols>
    <col min="1" max="1" width="13.83203125" style="236" customWidth="1"/>
    <col min="2" max="2" width="79.1640625" style="237" customWidth="1"/>
    <col min="3" max="3" width="17" style="237" customWidth="1"/>
    <col min="4" max="5" width="13.5" style="237" customWidth="1"/>
    <col min="6" max="6" width="12" style="237" customWidth="1"/>
    <col min="7" max="7" width="12.33203125" style="237" customWidth="1"/>
    <col min="8" max="8" width="13.83203125" style="237" customWidth="1"/>
    <col min="9" max="9" width="13.5" style="237" customWidth="1"/>
    <col min="10" max="10" width="13.33203125" style="237" customWidth="1"/>
    <col min="11" max="11" width="12.33203125" style="237" customWidth="1"/>
    <col min="12" max="16384" width="9.33203125" style="237"/>
  </cols>
  <sheetData>
    <row r="1" spans="1:11" s="217" customFormat="1" ht="21.2" customHeight="1" thickBot="1">
      <c r="A1" s="216"/>
      <c r="B1" s="218"/>
      <c r="C1" s="588" t="str">
        <f ca="1">CONCATENATE("9.5. melléklet ",ALAPADATOK!A7," ",ALAPADATOK!B7," ",ALAPADATOK!C7," ",ALAPADATOK!D7," ",ALAPADATOK!E7," ",ALAPADATOK!F7," ",ALAPADATOK!G7," ",ALAPADATOK!H7)</f>
        <v>9.5. melléklet a … / 2019 ( … ) önkormányzati rendelethez</v>
      </c>
    </row>
    <row r="2" spans="1:11" s="448" customFormat="1" ht="36">
      <c r="A2" s="400" t="s">
        <v>204</v>
      </c>
      <c r="B2" s="586" t="str">
        <f ca="1">CONCATENATE(ALAPADATOK!B17)</f>
        <v>Kossuth Művelődési Központ és Halász Boldizsár Városi Könyvtár</v>
      </c>
      <c r="C2" s="359" t="s">
        <v>606</v>
      </c>
    </row>
    <row r="3" spans="1:11" s="448" customFormat="1" ht="24.75" thickBot="1">
      <c r="A3" s="442" t="s">
        <v>203</v>
      </c>
      <c r="B3" s="587" t="s">
        <v>398</v>
      </c>
      <c r="C3" s="360" t="s">
        <v>54</v>
      </c>
    </row>
    <row r="4" spans="1:11" s="449" customFormat="1" ht="15.95" customHeight="1" thickBot="1">
      <c r="A4" s="219"/>
      <c r="B4" s="219"/>
      <c r="C4" s="220" t="str">
        <f ca="1">KV_9.2.3.sz.mell!C4</f>
        <v/>
      </c>
    </row>
    <row r="5" spans="1:11" ht="48.75" thickBot="1">
      <c r="A5" s="401" t="s">
        <v>205</v>
      </c>
      <c r="B5" s="221" t="s">
        <v>563</v>
      </c>
      <c r="C5" s="222" t="s">
        <v>55</v>
      </c>
      <c r="D5" s="605" t="s">
        <v>743</v>
      </c>
      <c r="E5" s="605" t="s">
        <v>744</v>
      </c>
      <c r="F5" s="605" t="s">
        <v>754</v>
      </c>
      <c r="G5" s="605" t="s">
        <v>744</v>
      </c>
      <c r="H5" s="605" t="s">
        <v>811</v>
      </c>
      <c r="I5" s="605" t="s">
        <v>744</v>
      </c>
      <c r="J5" s="605" t="s">
        <v>827</v>
      </c>
      <c r="K5" s="605" t="s">
        <v>744</v>
      </c>
    </row>
    <row r="6" spans="1:11" s="450" customFormat="1" ht="12.95" customHeight="1" thickBot="1">
      <c r="A6" s="185"/>
      <c r="B6" s="186" t="s">
        <v>493</v>
      </c>
      <c r="C6" s="187" t="s">
        <v>494</v>
      </c>
      <c r="D6" s="720" t="s">
        <v>495</v>
      </c>
      <c r="E6" s="721" t="s">
        <v>497</v>
      </c>
      <c r="F6" s="720" t="s">
        <v>495</v>
      </c>
      <c r="G6" s="721" t="s">
        <v>497</v>
      </c>
      <c r="H6" s="720" t="s">
        <v>495</v>
      </c>
      <c r="I6" s="721" t="s">
        <v>497</v>
      </c>
      <c r="J6" s="720" t="s">
        <v>495</v>
      </c>
      <c r="K6" s="721" t="s">
        <v>497</v>
      </c>
    </row>
    <row r="7" spans="1:11" s="450" customFormat="1" ht="15.95" customHeight="1" thickBot="1">
      <c r="A7" s="223"/>
      <c r="B7" s="224" t="s">
        <v>56</v>
      </c>
      <c r="C7" s="225"/>
    </row>
    <row r="8" spans="1:11" s="361" customFormat="1" ht="12" customHeight="1" thickBot="1">
      <c r="A8" s="185" t="s">
        <v>18</v>
      </c>
      <c r="B8" s="226" t="s">
        <v>520</v>
      </c>
      <c r="C8" s="310">
        <f>SUM(C9:C19)</f>
        <v>3600000</v>
      </c>
      <c r="D8" s="710">
        <f>SUM(D9:D19)</f>
        <v>0</v>
      </c>
      <c r="E8" s="716">
        <f>SUM(C8+D8)</f>
        <v>3600000</v>
      </c>
      <c r="F8" s="710">
        <f>SUM(F9:F19)</f>
        <v>2200000</v>
      </c>
      <c r="G8" s="716">
        <f>SUM(E8+F8)</f>
        <v>5800000</v>
      </c>
      <c r="H8" s="710">
        <f>SUM(H9:H19)</f>
        <v>0</v>
      </c>
      <c r="I8" s="716">
        <f>SUM(G8+H8)</f>
        <v>5800000</v>
      </c>
      <c r="J8" s="710">
        <f>SUM(J9:J19)</f>
        <v>-1700000</v>
      </c>
      <c r="K8" s="716">
        <f>SUM(I8+J8)</f>
        <v>4100000</v>
      </c>
    </row>
    <row r="9" spans="1:11" s="361" customFormat="1" ht="12" customHeight="1">
      <c r="A9" s="443" t="s">
        <v>98</v>
      </c>
      <c r="B9" s="10" t="s">
        <v>277</v>
      </c>
      <c r="C9" s="351"/>
      <c r="D9" s="709"/>
      <c r="E9" s="713">
        <f t="shared" ref="E9:E42" si="0">SUM(C9+D9)</f>
        <v>0</v>
      </c>
      <c r="F9" s="709"/>
      <c r="G9" s="713">
        <f t="shared" ref="G9:G42" si="1">SUM(E9+F9)</f>
        <v>0</v>
      </c>
      <c r="H9" s="709"/>
      <c r="I9" s="713">
        <f t="shared" ref="I9:I42" si="2">SUM(G9+H9)</f>
        <v>0</v>
      </c>
      <c r="J9" s="709"/>
      <c r="K9" s="713">
        <f t="shared" ref="K9:K42" si="3">SUM(I9+J9)</f>
        <v>0</v>
      </c>
    </row>
    <row r="10" spans="1:11" s="361" customFormat="1" ht="12" customHeight="1">
      <c r="A10" s="444" t="s">
        <v>99</v>
      </c>
      <c r="B10" s="8" t="s">
        <v>278</v>
      </c>
      <c r="C10" s="308">
        <v>3600000</v>
      </c>
      <c r="D10" s="707"/>
      <c r="E10" s="714">
        <f t="shared" si="0"/>
        <v>3600000</v>
      </c>
      <c r="F10" s="707">
        <v>2200000</v>
      </c>
      <c r="G10" s="714">
        <f t="shared" si="1"/>
        <v>5800000</v>
      </c>
      <c r="H10" s="707"/>
      <c r="I10" s="714">
        <f t="shared" si="2"/>
        <v>5800000</v>
      </c>
      <c r="J10" s="707">
        <v>-1700000</v>
      </c>
      <c r="K10" s="714">
        <f t="shared" si="3"/>
        <v>4100000</v>
      </c>
    </row>
    <row r="11" spans="1:11" s="361" customFormat="1" ht="12" customHeight="1">
      <c r="A11" s="444" t="s">
        <v>100</v>
      </c>
      <c r="B11" s="8" t="s">
        <v>279</v>
      </c>
      <c r="C11" s="308"/>
      <c r="D11" s="707"/>
      <c r="E11" s="714">
        <f t="shared" si="0"/>
        <v>0</v>
      </c>
      <c r="F11" s="707"/>
      <c r="G11" s="714">
        <f t="shared" si="1"/>
        <v>0</v>
      </c>
      <c r="H11" s="707"/>
      <c r="I11" s="714">
        <f t="shared" si="2"/>
        <v>0</v>
      </c>
      <c r="J11" s="707"/>
      <c r="K11" s="714">
        <f t="shared" si="3"/>
        <v>0</v>
      </c>
    </row>
    <row r="12" spans="1:11" s="361" customFormat="1" ht="12" customHeight="1">
      <c r="A12" s="444" t="s">
        <v>101</v>
      </c>
      <c r="B12" s="8" t="s">
        <v>280</v>
      </c>
      <c r="C12" s="308"/>
      <c r="D12" s="707"/>
      <c r="E12" s="714">
        <f t="shared" si="0"/>
        <v>0</v>
      </c>
      <c r="F12" s="707"/>
      <c r="G12" s="714">
        <f t="shared" si="1"/>
        <v>0</v>
      </c>
      <c r="H12" s="707"/>
      <c r="I12" s="714">
        <f t="shared" si="2"/>
        <v>0</v>
      </c>
      <c r="J12" s="707"/>
      <c r="K12" s="714">
        <f t="shared" si="3"/>
        <v>0</v>
      </c>
    </row>
    <row r="13" spans="1:11" s="361" customFormat="1" ht="12" customHeight="1">
      <c r="A13" s="444" t="s">
        <v>148</v>
      </c>
      <c r="B13" s="8" t="s">
        <v>281</v>
      </c>
      <c r="C13" s="308"/>
      <c r="D13" s="707"/>
      <c r="E13" s="714">
        <f t="shared" si="0"/>
        <v>0</v>
      </c>
      <c r="F13" s="707"/>
      <c r="G13" s="714">
        <f t="shared" si="1"/>
        <v>0</v>
      </c>
      <c r="H13" s="707"/>
      <c r="I13" s="714">
        <f t="shared" si="2"/>
        <v>0</v>
      </c>
      <c r="J13" s="707"/>
      <c r="K13" s="714">
        <f t="shared" si="3"/>
        <v>0</v>
      </c>
    </row>
    <row r="14" spans="1:11" s="361" customFormat="1" ht="12" customHeight="1">
      <c r="A14" s="444" t="s">
        <v>102</v>
      </c>
      <c r="B14" s="8" t="s">
        <v>399</v>
      </c>
      <c r="C14" s="308"/>
      <c r="D14" s="707"/>
      <c r="E14" s="714">
        <f t="shared" si="0"/>
        <v>0</v>
      </c>
      <c r="F14" s="707"/>
      <c r="G14" s="714">
        <f t="shared" si="1"/>
        <v>0</v>
      </c>
      <c r="H14" s="707"/>
      <c r="I14" s="714">
        <f t="shared" si="2"/>
        <v>0</v>
      </c>
      <c r="J14" s="707"/>
      <c r="K14" s="714">
        <f t="shared" si="3"/>
        <v>0</v>
      </c>
    </row>
    <row r="15" spans="1:11" s="361" customFormat="1" ht="12" customHeight="1">
      <c r="A15" s="444" t="s">
        <v>103</v>
      </c>
      <c r="B15" s="7" t="s">
        <v>400</v>
      </c>
      <c r="C15" s="308"/>
      <c r="D15" s="707"/>
      <c r="E15" s="714">
        <f t="shared" si="0"/>
        <v>0</v>
      </c>
      <c r="F15" s="707"/>
      <c r="G15" s="714">
        <f t="shared" si="1"/>
        <v>0</v>
      </c>
      <c r="H15" s="707"/>
      <c r="I15" s="714">
        <f t="shared" si="2"/>
        <v>0</v>
      </c>
      <c r="J15" s="707"/>
      <c r="K15" s="714">
        <f t="shared" si="3"/>
        <v>0</v>
      </c>
    </row>
    <row r="16" spans="1:11" s="361" customFormat="1" ht="12" customHeight="1">
      <c r="A16" s="444" t="s">
        <v>113</v>
      </c>
      <c r="B16" s="8" t="s">
        <v>284</v>
      </c>
      <c r="C16" s="352"/>
      <c r="D16" s="707"/>
      <c r="E16" s="714">
        <f t="shared" si="0"/>
        <v>0</v>
      </c>
      <c r="F16" s="707"/>
      <c r="G16" s="714">
        <f t="shared" si="1"/>
        <v>0</v>
      </c>
      <c r="H16" s="707"/>
      <c r="I16" s="714">
        <f t="shared" si="2"/>
        <v>0</v>
      </c>
      <c r="J16" s="707"/>
      <c r="K16" s="714">
        <f t="shared" si="3"/>
        <v>0</v>
      </c>
    </row>
    <row r="17" spans="1:11" s="451" customFormat="1" ht="12" customHeight="1">
      <c r="A17" s="444" t="s">
        <v>114</v>
      </c>
      <c r="B17" s="8" t="s">
        <v>285</v>
      </c>
      <c r="C17" s="308"/>
      <c r="D17" s="707"/>
      <c r="E17" s="714">
        <f t="shared" si="0"/>
        <v>0</v>
      </c>
      <c r="F17" s="707"/>
      <c r="G17" s="714">
        <f t="shared" si="1"/>
        <v>0</v>
      </c>
      <c r="H17" s="707"/>
      <c r="I17" s="714">
        <f t="shared" si="2"/>
        <v>0</v>
      </c>
      <c r="J17" s="707"/>
      <c r="K17" s="714">
        <f t="shared" si="3"/>
        <v>0</v>
      </c>
    </row>
    <row r="18" spans="1:11" s="451" customFormat="1" ht="12" customHeight="1">
      <c r="A18" s="444" t="s">
        <v>115</v>
      </c>
      <c r="B18" s="8" t="s">
        <v>436</v>
      </c>
      <c r="C18" s="309"/>
      <c r="D18" s="707"/>
      <c r="E18" s="714">
        <f t="shared" si="0"/>
        <v>0</v>
      </c>
      <c r="F18" s="707"/>
      <c r="G18" s="714">
        <f t="shared" si="1"/>
        <v>0</v>
      </c>
      <c r="H18" s="707"/>
      <c r="I18" s="714">
        <f t="shared" si="2"/>
        <v>0</v>
      </c>
      <c r="J18" s="707"/>
      <c r="K18" s="714">
        <f t="shared" si="3"/>
        <v>0</v>
      </c>
    </row>
    <row r="19" spans="1:11" s="451" customFormat="1" ht="12" customHeight="1" thickBot="1">
      <c r="A19" s="444" t="s">
        <v>116</v>
      </c>
      <c r="B19" s="7" t="s">
        <v>286</v>
      </c>
      <c r="C19" s="309"/>
      <c r="D19" s="708"/>
      <c r="E19" s="715">
        <f t="shared" si="0"/>
        <v>0</v>
      </c>
      <c r="F19" s="708"/>
      <c r="G19" s="715">
        <f t="shared" si="1"/>
        <v>0</v>
      </c>
      <c r="H19" s="708"/>
      <c r="I19" s="715">
        <f t="shared" si="2"/>
        <v>0</v>
      </c>
      <c r="J19" s="708"/>
      <c r="K19" s="715">
        <f t="shared" si="3"/>
        <v>0</v>
      </c>
    </row>
    <row r="20" spans="1:11" s="361" customFormat="1" ht="12" customHeight="1" thickBot="1">
      <c r="A20" s="185" t="s">
        <v>19</v>
      </c>
      <c r="B20" s="226" t="s">
        <v>401</v>
      </c>
      <c r="C20" s="310">
        <f>SUM(C21:C23)</f>
        <v>0</v>
      </c>
      <c r="D20" s="710">
        <f>SUM(D21:D23)</f>
        <v>26099767</v>
      </c>
      <c r="E20" s="716">
        <f t="shared" si="0"/>
        <v>26099767</v>
      </c>
      <c r="F20" s="710">
        <f>SUM(F21:F23)</f>
        <v>-3</v>
      </c>
      <c r="G20" s="716">
        <f t="shared" si="1"/>
        <v>26099764</v>
      </c>
      <c r="H20" s="710">
        <f>SUM(H21:H23)</f>
        <v>0</v>
      </c>
      <c r="I20" s="716">
        <f t="shared" si="2"/>
        <v>26099764</v>
      </c>
      <c r="J20" s="710">
        <f>SUM(J21:J23)</f>
        <v>600000</v>
      </c>
      <c r="K20" s="716">
        <f t="shared" si="3"/>
        <v>26699764</v>
      </c>
    </row>
    <row r="21" spans="1:11" s="451" customFormat="1" ht="12" customHeight="1">
      <c r="A21" s="444" t="s">
        <v>104</v>
      </c>
      <c r="B21" s="9" t="s">
        <v>258</v>
      </c>
      <c r="C21" s="308"/>
      <c r="D21" s="709"/>
      <c r="E21" s="713">
        <f t="shared" si="0"/>
        <v>0</v>
      </c>
      <c r="F21" s="709"/>
      <c r="G21" s="713">
        <f t="shared" si="1"/>
        <v>0</v>
      </c>
      <c r="H21" s="709"/>
      <c r="I21" s="713">
        <f t="shared" si="2"/>
        <v>0</v>
      </c>
      <c r="J21" s="709"/>
      <c r="K21" s="713">
        <f t="shared" si="3"/>
        <v>0</v>
      </c>
    </row>
    <row r="22" spans="1:11" s="451" customFormat="1" ht="12" customHeight="1">
      <c r="A22" s="444" t="s">
        <v>105</v>
      </c>
      <c r="B22" s="8" t="s">
        <v>402</v>
      </c>
      <c r="C22" s="308"/>
      <c r="D22" s="707"/>
      <c r="E22" s="714">
        <f t="shared" si="0"/>
        <v>0</v>
      </c>
      <c r="F22" s="707"/>
      <c r="G22" s="714">
        <f t="shared" si="1"/>
        <v>0</v>
      </c>
      <c r="H22" s="707"/>
      <c r="I22" s="714">
        <f t="shared" si="2"/>
        <v>0</v>
      </c>
      <c r="J22" s="707"/>
      <c r="K22" s="714">
        <f t="shared" si="3"/>
        <v>0</v>
      </c>
    </row>
    <row r="23" spans="1:11" s="451" customFormat="1" ht="12" customHeight="1">
      <c r="A23" s="444" t="s">
        <v>106</v>
      </c>
      <c r="B23" s="8" t="s">
        <v>403</v>
      </c>
      <c r="C23" s="308"/>
      <c r="D23" s="707">
        <v>26099767</v>
      </c>
      <c r="E23" s="714">
        <f t="shared" si="0"/>
        <v>26099767</v>
      </c>
      <c r="F23" s="707">
        <v>-3</v>
      </c>
      <c r="G23" s="714">
        <f t="shared" si="1"/>
        <v>26099764</v>
      </c>
      <c r="H23" s="707"/>
      <c r="I23" s="714">
        <f t="shared" si="2"/>
        <v>26099764</v>
      </c>
      <c r="J23" s="707">
        <v>600000</v>
      </c>
      <c r="K23" s="714">
        <f t="shared" si="3"/>
        <v>26699764</v>
      </c>
    </row>
    <row r="24" spans="1:11" s="451" customFormat="1" ht="12" customHeight="1" thickBot="1">
      <c r="A24" s="444" t="s">
        <v>107</v>
      </c>
      <c r="B24" s="8" t="s">
        <v>525</v>
      </c>
      <c r="C24" s="308"/>
      <c r="D24" s="708"/>
      <c r="E24" s="715">
        <f t="shared" si="0"/>
        <v>0</v>
      </c>
      <c r="F24" s="708"/>
      <c r="G24" s="715">
        <f t="shared" si="1"/>
        <v>0</v>
      </c>
      <c r="H24" s="708"/>
      <c r="I24" s="715">
        <f t="shared" si="2"/>
        <v>0</v>
      </c>
      <c r="J24" s="708"/>
      <c r="K24" s="715">
        <f t="shared" si="3"/>
        <v>0</v>
      </c>
    </row>
    <row r="25" spans="1:11" s="451" customFormat="1" ht="12" customHeight="1" thickBot="1">
      <c r="A25" s="193" t="s">
        <v>20</v>
      </c>
      <c r="B25" s="118" t="s">
        <v>174</v>
      </c>
      <c r="C25" s="336"/>
      <c r="D25" s="710"/>
      <c r="E25" s="712">
        <f t="shared" si="0"/>
        <v>0</v>
      </c>
      <c r="F25" s="710"/>
      <c r="G25" s="712">
        <f t="shared" si="1"/>
        <v>0</v>
      </c>
      <c r="H25" s="710"/>
      <c r="I25" s="712">
        <f t="shared" si="2"/>
        <v>0</v>
      </c>
      <c r="J25" s="710"/>
      <c r="K25" s="712">
        <f t="shared" si="3"/>
        <v>0</v>
      </c>
    </row>
    <row r="26" spans="1:11" s="451" customFormat="1" ht="12" customHeight="1" thickBot="1">
      <c r="A26" s="193" t="s">
        <v>21</v>
      </c>
      <c r="B26" s="118" t="s">
        <v>404</v>
      </c>
      <c r="C26" s="310">
        <f>+C27+C28</f>
        <v>0</v>
      </c>
      <c r="D26" s="710"/>
      <c r="E26" s="712">
        <f t="shared" si="0"/>
        <v>0</v>
      </c>
      <c r="F26" s="710"/>
      <c r="G26" s="712">
        <f t="shared" si="1"/>
        <v>0</v>
      </c>
      <c r="H26" s="710"/>
      <c r="I26" s="712">
        <f t="shared" si="2"/>
        <v>0</v>
      </c>
      <c r="J26" s="710"/>
      <c r="K26" s="712">
        <f t="shared" si="3"/>
        <v>0</v>
      </c>
    </row>
    <row r="27" spans="1:11" s="451" customFormat="1" ht="12" customHeight="1">
      <c r="A27" s="445" t="s">
        <v>268</v>
      </c>
      <c r="B27" s="446" t="s">
        <v>402</v>
      </c>
      <c r="C27" s="69"/>
      <c r="D27" s="709"/>
      <c r="E27" s="713">
        <f t="shared" si="0"/>
        <v>0</v>
      </c>
      <c r="F27" s="709"/>
      <c r="G27" s="713">
        <f t="shared" si="1"/>
        <v>0</v>
      </c>
      <c r="H27" s="709"/>
      <c r="I27" s="713">
        <f t="shared" si="2"/>
        <v>0</v>
      </c>
      <c r="J27" s="709"/>
      <c r="K27" s="713">
        <f t="shared" si="3"/>
        <v>0</v>
      </c>
    </row>
    <row r="28" spans="1:11" s="451" customFormat="1" ht="12" customHeight="1">
      <c r="A28" s="445" t="s">
        <v>269</v>
      </c>
      <c r="B28" s="447" t="s">
        <v>405</v>
      </c>
      <c r="C28" s="311"/>
      <c r="D28" s="707"/>
      <c r="E28" s="714">
        <f t="shared" si="0"/>
        <v>0</v>
      </c>
      <c r="F28" s="707"/>
      <c r="G28" s="714">
        <f t="shared" si="1"/>
        <v>0</v>
      </c>
      <c r="H28" s="707"/>
      <c r="I28" s="714">
        <f t="shared" si="2"/>
        <v>0</v>
      </c>
      <c r="J28" s="707"/>
      <c r="K28" s="714">
        <f t="shared" si="3"/>
        <v>0</v>
      </c>
    </row>
    <row r="29" spans="1:11" s="451" customFormat="1" ht="12" customHeight="1" thickBot="1">
      <c r="A29" s="444" t="s">
        <v>270</v>
      </c>
      <c r="B29" s="135" t="s">
        <v>526</v>
      </c>
      <c r="C29" s="76"/>
      <c r="D29" s="708"/>
      <c r="E29" s="722">
        <f t="shared" si="0"/>
        <v>0</v>
      </c>
      <c r="F29" s="708"/>
      <c r="G29" s="722">
        <f t="shared" si="1"/>
        <v>0</v>
      </c>
      <c r="H29" s="708"/>
      <c r="I29" s="722">
        <f t="shared" si="2"/>
        <v>0</v>
      </c>
      <c r="J29" s="708"/>
      <c r="K29" s="722">
        <f t="shared" si="3"/>
        <v>0</v>
      </c>
    </row>
    <row r="30" spans="1:11" s="451" customFormat="1" ht="12" customHeight="1" thickBot="1">
      <c r="A30" s="193" t="s">
        <v>22</v>
      </c>
      <c r="B30" s="118" t="s">
        <v>406</v>
      </c>
      <c r="C30" s="310">
        <f>+C31+C32+C33</f>
        <v>0</v>
      </c>
      <c r="D30" s="710"/>
      <c r="E30" s="712">
        <f t="shared" si="0"/>
        <v>0</v>
      </c>
      <c r="F30" s="710"/>
      <c r="G30" s="712">
        <f t="shared" si="1"/>
        <v>0</v>
      </c>
      <c r="H30" s="710"/>
      <c r="I30" s="712">
        <f t="shared" si="2"/>
        <v>0</v>
      </c>
      <c r="J30" s="710"/>
      <c r="K30" s="712">
        <f t="shared" si="3"/>
        <v>0</v>
      </c>
    </row>
    <row r="31" spans="1:11" s="451" customFormat="1" ht="12" customHeight="1">
      <c r="A31" s="445" t="s">
        <v>91</v>
      </c>
      <c r="B31" s="446" t="s">
        <v>291</v>
      </c>
      <c r="C31" s="69"/>
      <c r="D31" s="723"/>
      <c r="E31" s="724">
        <f t="shared" si="0"/>
        <v>0</v>
      </c>
      <c r="F31" s="723"/>
      <c r="G31" s="724">
        <f t="shared" si="1"/>
        <v>0</v>
      </c>
      <c r="H31" s="723"/>
      <c r="I31" s="724">
        <f t="shared" si="2"/>
        <v>0</v>
      </c>
      <c r="J31" s="723"/>
      <c r="K31" s="724">
        <f t="shared" si="3"/>
        <v>0</v>
      </c>
    </row>
    <row r="32" spans="1:11" s="451" customFormat="1" ht="12" customHeight="1">
      <c r="A32" s="445" t="s">
        <v>92</v>
      </c>
      <c r="B32" s="447" t="s">
        <v>292</v>
      </c>
      <c r="C32" s="311"/>
      <c r="D32" s="709"/>
      <c r="E32" s="717">
        <f t="shared" si="0"/>
        <v>0</v>
      </c>
      <c r="F32" s="709"/>
      <c r="G32" s="717">
        <f t="shared" si="1"/>
        <v>0</v>
      </c>
      <c r="H32" s="709"/>
      <c r="I32" s="717">
        <f t="shared" si="2"/>
        <v>0</v>
      </c>
      <c r="J32" s="709"/>
      <c r="K32" s="717">
        <f t="shared" si="3"/>
        <v>0</v>
      </c>
    </row>
    <row r="33" spans="1:11" s="451" customFormat="1" ht="12" customHeight="1" thickBot="1">
      <c r="A33" s="444" t="s">
        <v>93</v>
      </c>
      <c r="B33" s="135" t="s">
        <v>293</v>
      </c>
      <c r="C33" s="76"/>
      <c r="D33" s="708"/>
      <c r="E33" s="722">
        <f t="shared" si="0"/>
        <v>0</v>
      </c>
      <c r="F33" s="708"/>
      <c r="G33" s="722">
        <f t="shared" si="1"/>
        <v>0</v>
      </c>
      <c r="H33" s="708"/>
      <c r="I33" s="722">
        <f t="shared" si="2"/>
        <v>0</v>
      </c>
      <c r="J33" s="708"/>
      <c r="K33" s="722">
        <f t="shared" si="3"/>
        <v>0</v>
      </c>
    </row>
    <row r="34" spans="1:11" s="361" customFormat="1" ht="12" customHeight="1" thickBot="1">
      <c r="A34" s="193" t="s">
        <v>23</v>
      </c>
      <c r="B34" s="118" t="s">
        <v>376</v>
      </c>
      <c r="C34" s="336"/>
      <c r="D34" s="710"/>
      <c r="E34" s="712">
        <f t="shared" si="0"/>
        <v>0</v>
      </c>
      <c r="F34" s="710"/>
      <c r="G34" s="712">
        <f t="shared" si="1"/>
        <v>0</v>
      </c>
      <c r="H34" s="710"/>
      <c r="I34" s="712">
        <f t="shared" si="2"/>
        <v>0</v>
      </c>
      <c r="J34" s="710"/>
      <c r="K34" s="712">
        <f t="shared" si="3"/>
        <v>0</v>
      </c>
    </row>
    <row r="35" spans="1:11" s="361" customFormat="1" ht="12" customHeight="1" thickBot="1">
      <c r="A35" s="193" t="s">
        <v>24</v>
      </c>
      <c r="B35" s="118" t="s">
        <v>407</v>
      </c>
      <c r="C35" s="353"/>
      <c r="D35" s="710"/>
      <c r="E35" s="712">
        <f t="shared" si="0"/>
        <v>0</v>
      </c>
      <c r="F35" s="710"/>
      <c r="G35" s="712">
        <f t="shared" si="1"/>
        <v>0</v>
      </c>
      <c r="H35" s="710"/>
      <c r="I35" s="712">
        <f t="shared" si="2"/>
        <v>0</v>
      </c>
      <c r="J35" s="710"/>
      <c r="K35" s="712">
        <f t="shared" si="3"/>
        <v>0</v>
      </c>
    </row>
    <row r="36" spans="1:11" s="361" customFormat="1" ht="12" customHeight="1" thickBot="1">
      <c r="A36" s="185" t="s">
        <v>25</v>
      </c>
      <c r="B36" s="118" t="s">
        <v>527</v>
      </c>
      <c r="C36" s="354">
        <f>+C8+C20+C25+C26+C30+C34+C35</f>
        <v>3600000</v>
      </c>
      <c r="D36" s="710">
        <f>SUM(D8+D20+D25+D26+D30+D34+D35)</f>
        <v>26099767</v>
      </c>
      <c r="E36" s="712">
        <f t="shared" si="0"/>
        <v>29699767</v>
      </c>
      <c r="F36" s="710">
        <f>SUM(F8+F20+F25+F26+F30+F34+F35)</f>
        <v>2199997</v>
      </c>
      <c r="G36" s="712">
        <f t="shared" si="1"/>
        <v>31899764</v>
      </c>
      <c r="H36" s="710">
        <f>SUM(H8+H20+H25+H26+H30+H34+H35)</f>
        <v>0</v>
      </c>
      <c r="I36" s="712">
        <f t="shared" si="2"/>
        <v>31899764</v>
      </c>
      <c r="J36" s="710">
        <f>SUM(J8+J20+J25+J26+J30+J34+J35)</f>
        <v>-1100000</v>
      </c>
      <c r="K36" s="712">
        <f t="shared" si="3"/>
        <v>30799764</v>
      </c>
    </row>
    <row r="37" spans="1:11" s="361" customFormat="1" ht="12" customHeight="1" thickBot="1">
      <c r="A37" s="227" t="s">
        <v>26</v>
      </c>
      <c r="B37" s="118" t="s">
        <v>409</v>
      </c>
      <c r="C37" s="354">
        <f>+C38+C39+C40</f>
        <v>37897802</v>
      </c>
      <c r="D37" s="710"/>
      <c r="E37" s="716">
        <f t="shared" si="0"/>
        <v>37897802</v>
      </c>
      <c r="F37" s="765">
        <f>SUM(F38:F40)</f>
        <v>6286929</v>
      </c>
      <c r="G37" s="716">
        <f t="shared" si="1"/>
        <v>44184731</v>
      </c>
      <c r="H37" s="765">
        <f>SUM(H38:H40)</f>
        <v>60000</v>
      </c>
      <c r="I37" s="716">
        <f t="shared" si="2"/>
        <v>44244731</v>
      </c>
      <c r="J37" s="765">
        <f>SUM(J38:J40)</f>
        <v>3260912</v>
      </c>
      <c r="K37" s="716">
        <f t="shared" si="3"/>
        <v>47505643</v>
      </c>
    </row>
    <row r="38" spans="1:11" s="361" customFormat="1" ht="12" customHeight="1">
      <c r="A38" s="445" t="s">
        <v>410</v>
      </c>
      <c r="B38" s="446" t="s">
        <v>236</v>
      </c>
      <c r="C38" s="69"/>
      <c r="D38" s="725"/>
      <c r="E38" s="726">
        <f t="shared" si="0"/>
        <v>0</v>
      </c>
      <c r="F38" s="725">
        <v>4864564</v>
      </c>
      <c r="G38" s="726">
        <f t="shared" si="1"/>
        <v>4864564</v>
      </c>
      <c r="H38" s="725"/>
      <c r="I38" s="726">
        <f t="shared" si="2"/>
        <v>4864564</v>
      </c>
      <c r="J38" s="725"/>
      <c r="K38" s="726">
        <f t="shared" si="3"/>
        <v>4864564</v>
      </c>
    </row>
    <row r="39" spans="1:11" s="361" customFormat="1" ht="12" customHeight="1">
      <c r="A39" s="445" t="s">
        <v>411</v>
      </c>
      <c r="B39" s="447" t="s">
        <v>2</v>
      </c>
      <c r="C39" s="311"/>
      <c r="D39" s="709"/>
      <c r="E39" s="717">
        <f t="shared" si="0"/>
        <v>0</v>
      </c>
      <c r="F39" s="709"/>
      <c r="G39" s="717">
        <f t="shared" si="1"/>
        <v>0</v>
      </c>
      <c r="H39" s="709"/>
      <c r="I39" s="717">
        <f t="shared" si="2"/>
        <v>0</v>
      </c>
      <c r="J39" s="709"/>
      <c r="K39" s="717">
        <f t="shared" si="3"/>
        <v>0</v>
      </c>
    </row>
    <row r="40" spans="1:11" s="451" customFormat="1" ht="12" customHeight="1" thickBot="1">
      <c r="A40" s="444" t="s">
        <v>412</v>
      </c>
      <c r="B40" s="135" t="s">
        <v>413</v>
      </c>
      <c r="C40" s="76">
        <v>37897802</v>
      </c>
      <c r="D40" s="708"/>
      <c r="E40" s="722">
        <f t="shared" si="0"/>
        <v>37897802</v>
      </c>
      <c r="F40" s="708">
        <v>1422365</v>
      </c>
      <c r="G40" s="722">
        <f t="shared" si="1"/>
        <v>39320167</v>
      </c>
      <c r="H40" s="708">
        <v>60000</v>
      </c>
      <c r="I40" s="722">
        <f t="shared" si="2"/>
        <v>39380167</v>
      </c>
      <c r="J40" s="708">
        <v>3260912</v>
      </c>
      <c r="K40" s="722">
        <f t="shared" si="3"/>
        <v>42641079</v>
      </c>
    </row>
    <row r="41" spans="1:11" s="451" customFormat="1" ht="15.2" customHeight="1" thickBot="1">
      <c r="A41" s="227" t="s">
        <v>27</v>
      </c>
      <c r="B41" s="228" t="s">
        <v>414</v>
      </c>
      <c r="C41" s="357">
        <f>+C36+C37</f>
        <v>41497802</v>
      </c>
      <c r="D41" s="710">
        <f>SUM(D36+D37)</f>
        <v>26099767</v>
      </c>
      <c r="E41" s="716">
        <f t="shared" si="0"/>
        <v>67597569</v>
      </c>
      <c r="F41" s="710">
        <f>SUM(F36+F37)</f>
        <v>8486926</v>
      </c>
      <c r="G41" s="716">
        <f t="shared" si="1"/>
        <v>76084495</v>
      </c>
      <c r="H41" s="710">
        <f>SUM(H36+H37)</f>
        <v>60000</v>
      </c>
      <c r="I41" s="716">
        <f t="shared" si="2"/>
        <v>76144495</v>
      </c>
      <c r="J41" s="710">
        <f>SUM(J36+J37)</f>
        <v>2160912</v>
      </c>
      <c r="K41" s="716">
        <f t="shared" si="3"/>
        <v>78305407</v>
      </c>
    </row>
    <row r="42" spans="1:11" s="451" customFormat="1" ht="15.2" customHeight="1">
      <c r="A42" s="229"/>
      <c r="B42" s="230"/>
      <c r="C42" s="355"/>
      <c r="D42" s="727"/>
      <c r="E42" s="728">
        <f t="shared" si="0"/>
        <v>0</v>
      </c>
      <c r="F42" s="727"/>
      <c r="G42" s="728">
        <f t="shared" si="1"/>
        <v>0</v>
      </c>
      <c r="H42" s="727"/>
      <c r="I42" s="728">
        <f t="shared" si="2"/>
        <v>0</v>
      </c>
      <c r="J42" s="727"/>
      <c r="K42" s="728">
        <f t="shared" si="3"/>
        <v>0</v>
      </c>
    </row>
    <row r="43" spans="1:11" ht="13.5" thickBot="1">
      <c r="A43" s="231"/>
      <c r="B43" s="232"/>
      <c r="C43" s="356"/>
    </row>
    <row r="44" spans="1:11" s="450" customFormat="1" ht="16.5" customHeight="1" thickBot="1">
      <c r="A44" s="233"/>
      <c r="B44" s="234" t="s">
        <v>57</v>
      </c>
      <c r="C44" s="357"/>
      <c r="D44" s="705"/>
      <c r="E44" s="706"/>
      <c r="F44" s="705"/>
      <c r="G44" s="706"/>
      <c r="H44" s="705"/>
      <c r="I44" s="706"/>
      <c r="J44" s="705"/>
      <c r="K44" s="706"/>
    </row>
    <row r="45" spans="1:11" s="452" customFormat="1" ht="12" customHeight="1" thickBot="1">
      <c r="A45" s="193" t="s">
        <v>18</v>
      </c>
      <c r="B45" s="118" t="s">
        <v>415</v>
      </c>
      <c r="C45" s="310">
        <f>SUM(C46:C50)</f>
        <v>41497802</v>
      </c>
      <c r="D45" s="710">
        <f>SUM(D46:D50)</f>
        <v>23791580</v>
      </c>
      <c r="E45" s="716">
        <f>SUM(C45+D45)</f>
        <v>65289382</v>
      </c>
      <c r="F45" s="710">
        <f>SUM(F46:F50)</f>
        <v>3929596</v>
      </c>
      <c r="G45" s="716">
        <f>SUM(E45+F45)</f>
        <v>69218978</v>
      </c>
      <c r="H45" s="710">
        <f>SUM(H46:H50)</f>
        <v>60000</v>
      </c>
      <c r="I45" s="716">
        <f>SUM(G45+H45)</f>
        <v>69278978</v>
      </c>
      <c r="J45" s="710">
        <f>SUM(J46:J50)</f>
        <v>370362</v>
      </c>
      <c r="K45" s="716">
        <f>SUM(I45+J45)</f>
        <v>69649340</v>
      </c>
    </row>
    <row r="46" spans="1:11" ht="12" customHeight="1">
      <c r="A46" s="444" t="s">
        <v>98</v>
      </c>
      <c r="B46" s="9" t="s">
        <v>49</v>
      </c>
      <c r="C46" s="69">
        <v>23462843</v>
      </c>
      <c r="D46" s="709">
        <v>2880000</v>
      </c>
      <c r="E46" s="717">
        <f>SUM(C46+D46)</f>
        <v>26342843</v>
      </c>
      <c r="F46" s="709">
        <v>1022902</v>
      </c>
      <c r="G46" s="717">
        <f>SUM(E46+F46)</f>
        <v>27365745</v>
      </c>
      <c r="H46" s="709"/>
      <c r="I46" s="717">
        <f>SUM(G46+H46)</f>
        <v>27365745</v>
      </c>
      <c r="J46" s="709">
        <v>1082098</v>
      </c>
      <c r="K46" s="717">
        <f>SUM(I46+J46)</f>
        <v>28447843</v>
      </c>
    </row>
    <row r="47" spans="1:11" ht="12" customHeight="1">
      <c r="A47" s="444" t="s">
        <v>99</v>
      </c>
      <c r="B47" s="8" t="s">
        <v>183</v>
      </c>
      <c r="C47" s="72">
        <v>4575254</v>
      </c>
      <c r="D47" s="707">
        <v>633600</v>
      </c>
      <c r="E47" s="717">
        <f t="shared" ref="E47:E60" si="4">SUM(C47+D47)</f>
        <v>5208854</v>
      </c>
      <c r="F47" s="707">
        <v>199463</v>
      </c>
      <c r="G47" s="717">
        <f t="shared" ref="G47:G60" si="5">SUM(E47+F47)</f>
        <v>5408317</v>
      </c>
      <c r="H47" s="707"/>
      <c r="I47" s="717">
        <f t="shared" ref="I47:I60" si="6">SUM(G47+H47)</f>
        <v>5408317</v>
      </c>
      <c r="J47" s="707">
        <v>192814</v>
      </c>
      <c r="K47" s="717">
        <f t="shared" ref="K47:K60" si="7">SUM(I47+J47)</f>
        <v>5601131</v>
      </c>
    </row>
    <row r="48" spans="1:11" ht="12" customHeight="1">
      <c r="A48" s="444" t="s">
        <v>100</v>
      </c>
      <c r="B48" s="8" t="s">
        <v>140</v>
      </c>
      <c r="C48" s="72">
        <v>13459705</v>
      </c>
      <c r="D48" s="707">
        <v>20277980</v>
      </c>
      <c r="E48" s="717">
        <f t="shared" si="4"/>
        <v>33737685</v>
      </c>
      <c r="F48" s="707">
        <v>2707231</v>
      </c>
      <c r="G48" s="717">
        <f t="shared" si="5"/>
        <v>36444916</v>
      </c>
      <c r="H48" s="707">
        <v>60000</v>
      </c>
      <c r="I48" s="717">
        <f t="shared" si="6"/>
        <v>36504916</v>
      </c>
      <c r="J48" s="707">
        <v>-904550</v>
      </c>
      <c r="K48" s="717">
        <f t="shared" si="7"/>
        <v>35600366</v>
      </c>
    </row>
    <row r="49" spans="1:11" ht="12" customHeight="1">
      <c r="A49" s="444" t="s">
        <v>101</v>
      </c>
      <c r="B49" s="8" t="s">
        <v>184</v>
      </c>
      <c r="C49" s="72"/>
      <c r="D49" s="707"/>
      <c r="E49" s="717">
        <f t="shared" si="4"/>
        <v>0</v>
      </c>
      <c r="F49" s="707"/>
      <c r="G49" s="717">
        <f t="shared" si="5"/>
        <v>0</v>
      </c>
      <c r="H49" s="707"/>
      <c r="I49" s="717">
        <f t="shared" si="6"/>
        <v>0</v>
      </c>
      <c r="J49" s="707"/>
      <c r="K49" s="717">
        <f t="shared" si="7"/>
        <v>0</v>
      </c>
    </row>
    <row r="50" spans="1:11" ht="12" customHeight="1" thickBot="1">
      <c r="A50" s="444" t="s">
        <v>148</v>
      </c>
      <c r="B50" s="8" t="s">
        <v>185</v>
      </c>
      <c r="C50" s="72"/>
      <c r="D50" s="708"/>
      <c r="E50" s="718">
        <f t="shared" si="4"/>
        <v>0</v>
      </c>
      <c r="F50" s="708"/>
      <c r="G50" s="718">
        <f t="shared" si="5"/>
        <v>0</v>
      </c>
      <c r="H50" s="708"/>
      <c r="I50" s="718">
        <f t="shared" si="6"/>
        <v>0</v>
      </c>
      <c r="J50" s="708"/>
      <c r="K50" s="718">
        <f t="shared" si="7"/>
        <v>0</v>
      </c>
    </row>
    <row r="51" spans="1:11" ht="12" customHeight="1" thickBot="1">
      <c r="A51" s="193" t="s">
        <v>19</v>
      </c>
      <c r="B51" s="118" t="s">
        <v>416</v>
      </c>
      <c r="C51" s="310">
        <f>SUM(C52:C54)</f>
        <v>0</v>
      </c>
      <c r="D51" s="710">
        <f>SUM(D52:D54)</f>
        <v>2308187</v>
      </c>
      <c r="E51" s="716">
        <f t="shared" si="4"/>
        <v>2308187</v>
      </c>
      <c r="F51" s="710">
        <f>SUM(F52:F54)</f>
        <v>4557330</v>
      </c>
      <c r="G51" s="716">
        <f t="shared" si="5"/>
        <v>6865517</v>
      </c>
      <c r="H51" s="710">
        <f>SUM(H52:H54)</f>
        <v>0</v>
      </c>
      <c r="I51" s="716">
        <f t="shared" si="6"/>
        <v>6865517</v>
      </c>
      <c r="J51" s="710">
        <f>SUM(J52:J54)</f>
        <v>1790550</v>
      </c>
      <c r="K51" s="716">
        <f t="shared" si="7"/>
        <v>8656067</v>
      </c>
    </row>
    <row r="52" spans="1:11" s="452" customFormat="1" ht="12" customHeight="1">
      <c r="A52" s="444" t="s">
        <v>104</v>
      </c>
      <c r="B52" s="9" t="s">
        <v>230</v>
      </c>
      <c r="C52" s="69"/>
      <c r="D52" s="709">
        <v>2308187</v>
      </c>
      <c r="E52" s="717">
        <f t="shared" si="4"/>
        <v>2308187</v>
      </c>
      <c r="F52" s="709">
        <v>4557330</v>
      </c>
      <c r="G52" s="717">
        <f t="shared" si="5"/>
        <v>6865517</v>
      </c>
      <c r="H52" s="709"/>
      <c r="I52" s="717">
        <f t="shared" si="6"/>
        <v>6865517</v>
      </c>
      <c r="J52" s="709">
        <v>1790550</v>
      </c>
      <c r="K52" s="717">
        <f t="shared" si="7"/>
        <v>8656067</v>
      </c>
    </row>
    <row r="53" spans="1:11" ht="12" customHeight="1">
      <c r="A53" s="444" t="s">
        <v>105</v>
      </c>
      <c r="B53" s="8" t="s">
        <v>187</v>
      </c>
      <c r="C53" s="72"/>
      <c r="D53" s="707"/>
      <c r="E53" s="717">
        <f t="shared" si="4"/>
        <v>0</v>
      </c>
      <c r="F53" s="707"/>
      <c r="G53" s="717">
        <f t="shared" si="5"/>
        <v>0</v>
      </c>
      <c r="H53" s="707"/>
      <c r="I53" s="717">
        <f t="shared" si="6"/>
        <v>0</v>
      </c>
      <c r="J53" s="707"/>
      <c r="K53" s="717">
        <f t="shared" si="7"/>
        <v>0</v>
      </c>
    </row>
    <row r="54" spans="1:11" ht="12" customHeight="1">
      <c r="A54" s="444" t="s">
        <v>106</v>
      </c>
      <c r="B54" s="8" t="s">
        <v>58</v>
      </c>
      <c r="C54" s="72"/>
      <c r="D54" s="707"/>
      <c r="E54" s="717">
        <f t="shared" si="4"/>
        <v>0</v>
      </c>
      <c r="F54" s="707"/>
      <c r="G54" s="717">
        <f t="shared" si="5"/>
        <v>0</v>
      </c>
      <c r="H54" s="707"/>
      <c r="I54" s="717">
        <f t="shared" si="6"/>
        <v>0</v>
      </c>
      <c r="J54" s="707"/>
      <c r="K54" s="717">
        <f t="shared" si="7"/>
        <v>0</v>
      </c>
    </row>
    <row r="55" spans="1:11" ht="12" customHeight="1" thickBot="1">
      <c r="A55" s="444" t="s">
        <v>107</v>
      </c>
      <c r="B55" s="8" t="s">
        <v>524</v>
      </c>
      <c r="C55" s="72"/>
      <c r="D55" s="708"/>
      <c r="E55" s="718">
        <f t="shared" si="4"/>
        <v>0</v>
      </c>
      <c r="F55" s="708"/>
      <c r="G55" s="718">
        <f t="shared" si="5"/>
        <v>0</v>
      </c>
      <c r="H55" s="708"/>
      <c r="I55" s="718">
        <f t="shared" si="6"/>
        <v>0</v>
      </c>
      <c r="J55" s="708"/>
      <c r="K55" s="718">
        <f t="shared" si="7"/>
        <v>0</v>
      </c>
    </row>
    <row r="56" spans="1:11" ht="15.2" customHeight="1" thickBot="1">
      <c r="A56" s="193" t="s">
        <v>20</v>
      </c>
      <c r="B56" s="118" t="s">
        <v>13</v>
      </c>
      <c r="C56" s="336"/>
      <c r="D56" s="710"/>
      <c r="E56" s="712">
        <f t="shared" si="4"/>
        <v>0</v>
      </c>
      <c r="F56" s="710"/>
      <c r="G56" s="712">
        <f t="shared" si="5"/>
        <v>0</v>
      </c>
      <c r="H56" s="710"/>
      <c r="I56" s="712">
        <f t="shared" si="6"/>
        <v>0</v>
      </c>
      <c r="J56" s="710"/>
      <c r="K56" s="712">
        <f t="shared" si="7"/>
        <v>0</v>
      </c>
    </row>
    <row r="57" spans="1:11" ht="13.5" thickBot="1">
      <c r="A57" s="193" t="s">
        <v>21</v>
      </c>
      <c r="B57" s="235" t="s">
        <v>529</v>
      </c>
      <c r="C57" s="358">
        <f>+C45+C51+C56</f>
        <v>41497802</v>
      </c>
      <c r="D57" s="710">
        <f>SUM(D45+D51+D56)</f>
        <v>26099767</v>
      </c>
      <c r="E57" s="716">
        <f t="shared" si="4"/>
        <v>67597569</v>
      </c>
      <c r="F57" s="710">
        <f>SUM(F45+F51+F56)</f>
        <v>8486926</v>
      </c>
      <c r="G57" s="716">
        <f t="shared" si="5"/>
        <v>76084495</v>
      </c>
      <c r="H57" s="710">
        <f>SUM(H45+H51+H56)</f>
        <v>60000</v>
      </c>
      <c r="I57" s="716">
        <f t="shared" si="6"/>
        <v>76144495</v>
      </c>
      <c r="J57" s="710">
        <f>SUM(J45+J51+J56)</f>
        <v>2160912</v>
      </c>
      <c r="K57" s="716">
        <f t="shared" si="7"/>
        <v>78305407</v>
      </c>
    </row>
    <row r="58" spans="1:11" ht="15.2" customHeight="1" thickBot="1">
      <c r="C58" s="623">
        <f>C41-C57</f>
        <v>0</v>
      </c>
      <c r="D58" s="711"/>
      <c r="E58" s="712">
        <f t="shared" si="4"/>
        <v>0</v>
      </c>
      <c r="F58" s="711"/>
      <c r="G58" s="712">
        <f t="shared" si="5"/>
        <v>0</v>
      </c>
      <c r="H58" s="711"/>
      <c r="I58" s="712">
        <f t="shared" si="6"/>
        <v>0</v>
      </c>
      <c r="J58" s="711"/>
      <c r="K58" s="712">
        <f t="shared" si="7"/>
        <v>0</v>
      </c>
    </row>
    <row r="59" spans="1:11" ht="14.45" customHeight="1" thickBot="1">
      <c r="A59" s="238" t="s">
        <v>519</v>
      </c>
      <c r="B59" s="239"/>
      <c r="C59" s="115">
        <v>9</v>
      </c>
      <c r="D59" s="710"/>
      <c r="E59" s="716">
        <f t="shared" si="4"/>
        <v>9</v>
      </c>
      <c r="F59" s="710"/>
      <c r="G59" s="716">
        <f t="shared" si="5"/>
        <v>9</v>
      </c>
      <c r="H59" s="710"/>
      <c r="I59" s="716">
        <f t="shared" si="6"/>
        <v>9</v>
      </c>
      <c r="J59" s="710"/>
      <c r="K59" s="716">
        <f t="shared" si="7"/>
        <v>9</v>
      </c>
    </row>
    <row r="60" spans="1:11" ht="13.5" thickBot="1">
      <c r="A60" s="238" t="s">
        <v>206</v>
      </c>
      <c r="B60" s="239"/>
      <c r="C60" s="115"/>
      <c r="D60" s="710"/>
      <c r="E60" s="712">
        <f t="shared" si="4"/>
        <v>0</v>
      </c>
      <c r="F60" s="710"/>
      <c r="G60" s="712">
        <f t="shared" si="5"/>
        <v>0</v>
      </c>
      <c r="H60" s="710"/>
      <c r="I60" s="712">
        <f t="shared" si="6"/>
        <v>0</v>
      </c>
      <c r="J60" s="710"/>
      <c r="K60" s="712">
        <f t="shared" si="7"/>
        <v>0</v>
      </c>
    </row>
  </sheetData>
  <sheetProtection formatCells="0"/>
  <printOptions horizontalCentered="1"/>
  <pageMargins left="0.78740157480314965" right="0.78740157480314965" top="0.98425196850393704" bottom="0.98425196850393704" header="0.78740157480314965" footer="0.78740157480314965"/>
  <pageSetup paperSize="8" scale="75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E3" sqref="E3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16384" width="9.33203125" style="237"/>
  </cols>
  <sheetData>
    <row r="1" spans="1:3" s="217" customFormat="1" ht="21.2" customHeight="1" thickBot="1">
      <c r="A1" s="216"/>
      <c r="B1" s="218"/>
      <c r="C1" s="588" t="str">
        <f ca="1">CONCATENATE("9.5.1. melléklet ",ALAPADATOK!A7," ",ALAPADATOK!B7," ",ALAPADATOK!C7," ",ALAPADATOK!D7," ",ALAPADATOK!E7," ",ALAPADATOK!F7," ",ALAPADATOK!G7," ",ALAPADATOK!H7)</f>
        <v>9.5.1. melléklet a … / 2019 ( … ) önkormányzati rendelethez</v>
      </c>
    </row>
    <row r="2" spans="1:3" s="448" customFormat="1" ht="36">
      <c r="A2" s="400" t="s">
        <v>204</v>
      </c>
      <c r="B2" s="586" t="str">
        <f ca="1">CONCATENATE(KV_9.5.sz.mell!B2)</f>
        <v>Kossuth Művelődési Központ és Halász Boldizsár Városi Könyvtár</v>
      </c>
      <c r="C2" s="359" t="s">
        <v>606</v>
      </c>
    </row>
    <row r="3" spans="1:3" s="448" customFormat="1" ht="24.75" thickBot="1">
      <c r="A3" s="442" t="s">
        <v>203</v>
      </c>
      <c r="B3" s="587" t="s">
        <v>417</v>
      </c>
      <c r="C3" s="360" t="s">
        <v>59</v>
      </c>
    </row>
    <row r="4" spans="1:3" s="449" customFormat="1" ht="15.95" customHeight="1" thickBot="1">
      <c r="A4" s="219"/>
      <c r="B4" s="219"/>
      <c r="C4" s="220" t="str">
        <f ca="1">KV_9.5.sz.mell!C4</f>
        <v/>
      </c>
    </row>
    <row r="5" spans="1:3" ht="13.5" thickBot="1">
      <c r="A5" s="401" t="s">
        <v>205</v>
      </c>
      <c r="B5" s="221" t="s">
        <v>563</v>
      </c>
      <c r="C5" s="222" t="s">
        <v>55</v>
      </c>
    </row>
    <row r="6" spans="1:3" s="450" customFormat="1" ht="12.95" customHeight="1" thickBot="1">
      <c r="A6" s="185"/>
      <c r="B6" s="186" t="s">
        <v>493</v>
      </c>
      <c r="C6" s="187" t="s">
        <v>494</v>
      </c>
    </row>
    <row r="7" spans="1:3" s="450" customFormat="1" ht="15.95" customHeight="1" thickBot="1">
      <c r="A7" s="223"/>
      <c r="B7" s="224" t="s">
        <v>56</v>
      </c>
      <c r="C7" s="225"/>
    </row>
    <row r="8" spans="1:3" s="361" customFormat="1" ht="12" customHeight="1" thickBot="1">
      <c r="A8" s="185" t="s">
        <v>18</v>
      </c>
      <c r="B8" s="226" t="s">
        <v>520</v>
      </c>
      <c r="C8" s="310">
        <f>SUM(C9:C19)</f>
        <v>0</v>
      </c>
    </row>
    <row r="9" spans="1:3" s="361" customFormat="1" ht="12" customHeight="1">
      <c r="A9" s="443" t="s">
        <v>98</v>
      </c>
      <c r="B9" s="10" t="s">
        <v>277</v>
      </c>
      <c r="C9" s="351"/>
    </row>
    <row r="10" spans="1:3" s="361" customFormat="1" ht="12" customHeight="1">
      <c r="A10" s="444" t="s">
        <v>99</v>
      </c>
      <c r="B10" s="8" t="s">
        <v>278</v>
      </c>
      <c r="C10" s="308"/>
    </row>
    <row r="11" spans="1:3" s="361" customFormat="1" ht="12" customHeight="1">
      <c r="A11" s="444" t="s">
        <v>100</v>
      </c>
      <c r="B11" s="8" t="s">
        <v>279</v>
      </c>
      <c r="C11" s="308"/>
    </row>
    <row r="12" spans="1:3" s="361" customFormat="1" ht="12" customHeight="1">
      <c r="A12" s="444" t="s">
        <v>101</v>
      </c>
      <c r="B12" s="8" t="s">
        <v>280</v>
      </c>
      <c r="C12" s="308"/>
    </row>
    <row r="13" spans="1:3" s="361" customFormat="1" ht="12" customHeight="1">
      <c r="A13" s="444" t="s">
        <v>148</v>
      </c>
      <c r="B13" s="8" t="s">
        <v>281</v>
      </c>
      <c r="C13" s="308"/>
    </row>
    <row r="14" spans="1:3" s="361" customFormat="1" ht="12" customHeight="1">
      <c r="A14" s="444" t="s">
        <v>102</v>
      </c>
      <c r="B14" s="8" t="s">
        <v>399</v>
      </c>
      <c r="C14" s="308"/>
    </row>
    <row r="15" spans="1:3" s="361" customFormat="1" ht="12" customHeight="1">
      <c r="A15" s="444" t="s">
        <v>103</v>
      </c>
      <c r="B15" s="7" t="s">
        <v>400</v>
      </c>
      <c r="C15" s="308"/>
    </row>
    <row r="16" spans="1:3" s="361" customFormat="1" ht="12" customHeight="1">
      <c r="A16" s="444" t="s">
        <v>113</v>
      </c>
      <c r="B16" s="8" t="s">
        <v>284</v>
      </c>
      <c r="C16" s="352"/>
    </row>
    <row r="17" spans="1:3" s="451" customFormat="1" ht="12" customHeight="1">
      <c r="A17" s="444" t="s">
        <v>114</v>
      </c>
      <c r="B17" s="8" t="s">
        <v>285</v>
      </c>
      <c r="C17" s="308"/>
    </row>
    <row r="18" spans="1:3" s="451" customFormat="1" ht="12" customHeight="1">
      <c r="A18" s="444" t="s">
        <v>115</v>
      </c>
      <c r="B18" s="8" t="s">
        <v>436</v>
      </c>
      <c r="C18" s="309"/>
    </row>
    <row r="19" spans="1:3" s="451" customFormat="1" ht="12" customHeight="1" thickBot="1">
      <c r="A19" s="444" t="s">
        <v>116</v>
      </c>
      <c r="B19" s="7" t="s">
        <v>286</v>
      </c>
      <c r="C19" s="309"/>
    </row>
    <row r="20" spans="1:3" s="361" customFormat="1" ht="12" customHeight="1" thickBot="1">
      <c r="A20" s="185" t="s">
        <v>19</v>
      </c>
      <c r="B20" s="226" t="s">
        <v>401</v>
      </c>
      <c r="C20" s="310">
        <f>SUM(C21:C23)</f>
        <v>0</v>
      </c>
    </row>
    <row r="21" spans="1:3" s="451" customFormat="1" ht="12" customHeight="1">
      <c r="A21" s="444" t="s">
        <v>104</v>
      </c>
      <c r="B21" s="9" t="s">
        <v>258</v>
      </c>
      <c r="C21" s="308"/>
    </row>
    <row r="22" spans="1:3" s="451" customFormat="1" ht="12" customHeight="1">
      <c r="A22" s="444" t="s">
        <v>105</v>
      </c>
      <c r="B22" s="8" t="s">
        <v>402</v>
      </c>
      <c r="C22" s="308"/>
    </row>
    <row r="23" spans="1:3" s="451" customFormat="1" ht="12" customHeight="1">
      <c r="A23" s="444" t="s">
        <v>106</v>
      </c>
      <c r="B23" s="8" t="s">
        <v>403</v>
      </c>
      <c r="C23" s="308"/>
    </row>
    <row r="24" spans="1:3" s="451" customFormat="1" ht="12" customHeight="1" thickBot="1">
      <c r="A24" s="444" t="s">
        <v>107</v>
      </c>
      <c r="B24" s="8" t="s">
        <v>525</v>
      </c>
      <c r="C24" s="308"/>
    </row>
    <row r="25" spans="1:3" s="451" customFormat="1" ht="12" customHeight="1" thickBot="1">
      <c r="A25" s="193" t="s">
        <v>20</v>
      </c>
      <c r="B25" s="118" t="s">
        <v>174</v>
      </c>
      <c r="C25" s="336"/>
    </row>
    <row r="26" spans="1:3" s="451" customFormat="1" ht="12" customHeight="1" thickBot="1">
      <c r="A26" s="193" t="s">
        <v>21</v>
      </c>
      <c r="B26" s="118" t="s">
        <v>404</v>
      </c>
      <c r="C26" s="310">
        <f>+C27+C28</f>
        <v>0</v>
      </c>
    </row>
    <row r="27" spans="1:3" s="451" customFormat="1" ht="12" customHeight="1">
      <c r="A27" s="445" t="s">
        <v>268</v>
      </c>
      <c r="B27" s="446" t="s">
        <v>402</v>
      </c>
      <c r="C27" s="69"/>
    </row>
    <row r="28" spans="1:3" s="451" customFormat="1" ht="12" customHeight="1">
      <c r="A28" s="445" t="s">
        <v>269</v>
      </c>
      <c r="B28" s="447" t="s">
        <v>405</v>
      </c>
      <c r="C28" s="311"/>
    </row>
    <row r="29" spans="1:3" s="451" customFormat="1" ht="12" customHeight="1" thickBot="1">
      <c r="A29" s="444" t="s">
        <v>270</v>
      </c>
      <c r="B29" s="135" t="s">
        <v>526</v>
      </c>
      <c r="C29" s="76"/>
    </row>
    <row r="30" spans="1:3" s="451" customFormat="1" ht="12" customHeight="1" thickBot="1">
      <c r="A30" s="193" t="s">
        <v>22</v>
      </c>
      <c r="B30" s="118" t="s">
        <v>406</v>
      </c>
      <c r="C30" s="310">
        <f>+C31+C32+C33</f>
        <v>0</v>
      </c>
    </row>
    <row r="31" spans="1:3" s="451" customFormat="1" ht="12" customHeight="1">
      <c r="A31" s="445" t="s">
        <v>91</v>
      </c>
      <c r="B31" s="446" t="s">
        <v>291</v>
      </c>
      <c r="C31" s="69"/>
    </row>
    <row r="32" spans="1:3" s="451" customFormat="1" ht="12" customHeight="1">
      <c r="A32" s="445" t="s">
        <v>92</v>
      </c>
      <c r="B32" s="447" t="s">
        <v>292</v>
      </c>
      <c r="C32" s="311"/>
    </row>
    <row r="33" spans="1:3" s="451" customFormat="1" ht="12" customHeight="1" thickBot="1">
      <c r="A33" s="444" t="s">
        <v>93</v>
      </c>
      <c r="B33" s="135" t="s">
        <v>293</v>
      </c>
      <c r="C33" s="76"/>
    </row>
    <row r="34" spans="1:3" s="361" customFormat="1" ht="12" customHeight="1" thickBot="1">
      <c r="A34" s="193" t="s">
        <v>23</v>
      </c>
      <c r="B34" s="118" t="s">
        <v>376</v>
      </c>
      <c r="C34" s="336"/>
    </row>
    <row r="35" spans="1:3" s="361" customFormat="1" ht="12" customHeight="1" thickBot="1">
      <c r="A35" s="193" t="s">
        <v>24</v>
      </c>
      <c r="B35" s="118" t="s">
        <v>407</v>
      </c>
      <c r="C35" s="353"/>
    </row>
    <row r="36" spans="1:3" s="361" customFormat="1" ht="12" customHeight="1" thickBot="1">
      <c r="A36" s="185" t="s">
        <v>25</v>
      </c>
      <c r="B36" s="118" t="s">
        <v>527</v>
      </c>
      <c r="C36" s="354">
        <f>+C8+C20+C25+C26+C30+C34+C35</f>
        <v>0</v>
      </c>
    </row>
    <row r="37" spans="1:3" s="361" customFormat="1" ht="12" customHeight="1" thickBot="1">
      <c r="A37" s="227" t="s">
        <v>26</v>
      </c>
      <c r="B37" s="118" t="s">
        <v>409</v>
      </c>
      <c r="C37" s="354">
        <f>+C38+C39+C40</f>
        <v>0</v>
      </c>
    </row>
    <row r="38" spans="1:3" s="361" customFormat="1" ht="12" customHeight="1">
      <c r="A38" s="445" t="s">
        <v>410</v>
      </c>
      <c r="B38" s="446" t="s">
        <v>236</v>
      </c>
      <c r="C38" s="69"/>
    </row>
    <row r="39" spans="1:3" s="361" customFormat="1" ht="12" customHeight="1">
      <c r="A39" s="445" t="s">
        <v>411</v>
      </c>
      <c r="B39" s="447" t="s">
        <v>2</v>
      </c>
      <c r="C39" s="311"/>
    </row>
    <row r="40" spans="1:3" s="451" customFormat="1" ht="12" customHeight="1" thickBot="1">
      <c r="A40" s="444" t="s">
        <v>412</v>
      </c>
      <c r="B40" s="135" t="s">
        <v>413</v>
      </c>
      <c r="C40" s="76"/>
    </row>
    <row r="41" spans="1:3" s="451" customFormat="1" ht="15.2" customHeight="1" thickBot="1">
      <c r="A41" s="227" t="s">
        <v>27</v>
      </c>
      <c r="B41" s="228" t="s">
        <v>414</v>
      </c>
      <c r="C41" s="357">
        <f>+C36+C37</f>
        <v>0</v>
      </c>
    </row>
    <row r="42" spans="1:3" s="451" customFormat="1" ht="15.2" customHeight="1">
      <c r="A42" s="229"/>
      <c r="B42" s="230"/>
      <c r="C42" s="355"/>
    </row>
    <row r="43" spans="1:3" ht="13.5" thickBot="1">
      <c r="A43" s="231"/>
      <c r="B43" s="232"/>
      <c r="C43" s="356"/>
    </row>
    <row r="44" spans="1:3" s="450" customFormat="1" ht="16.5" customHeight="1" thickBot="1">
      <c r="A44" s="233"/>
      <c r="B44" s="234" t="s">
        <v>57</v>
      </c>
      <c r="C44" s="357"/>
    </row>
    <row r="45" spans="1:3" s="452" customFormat="1" ht="12" customHeight="1" thickBot="1">
      <c r="A45" s="193" t="s">
        <v>18</v>
      </c>
      <c r="B45" s="118" t="s">
        <v>415</v>
      </c>
      <c r="C45" s="310">
        <f>SUM(C46:C50)</f>
        <v>0</v>
      </c>
    </row>
    <row r="46" spans="1:3" ht="12" customHeight="1">
      <c r="A46" s="444" t="s">
        <v>98</v>
      </c>
      <c r="B46" s="9" t="s">
        <v>49</v>
      </c>
      <c r="C46" s="69"/>
    </row>
    <row r="47" spans="1:3" ht="12" customHeight="1">
      <c r="A47" s="444" t="s">
        <v>99</v>
      </c>
      <c r="B47" s="8" t="s">
        <v>183</v>
      </c>
      <c r="C47" s="72"/>
    </row>
    <row r="48" spans="1:3" ht="12" customHeight="1">
      <c r="A48" s="444" t="s">
        <v>100</v>
      </c>
      <c r="B48" s="8" t="s">
        <v>140</v>
      </c>
      <c r="C48" s="72"/>
    </row>
    <row r="49" spans="1:3" ht="12" customHeight="1">
      <c r="A49" s="444" t="s">
        <v>101</v>
      </c>
      <c r="B49" s="8" t="s">
        <v>184</v>
      </c>
      <c r="C49" s="72"/>
    </row>
    <row r="50" spans="1:3" ht="12" customHeight="1" thickBot="1">
      <c r="A50" s="444" t="s">
        <v>148</v>
      </c>
      <c r="B50" s="8" t="s">
        <v>185</v>
      </c>
      <c r="C50" s="72"/>
    </row>
    <row r="51" spans="1:3" ht="12" customHeight="1" thickBot="1">
      <c r="A51" s="193" t="s">
        <v>19</v>
      </c>
      <c r="B51" s="118" t="s">
        <v>416</v>
      </c>
      <c r="C51" s="310">
        <f>SUM(C52:C54)</f>
        <v>0</v>
      </c>
    </row>
    <row r="52" spans="1:3" s="452" customFormat="1" ht="12" customHeight="1">
      <c r="A52" s="444" t="s">
        <v>104</v>
      </c>
      <c r="B52" s="9" t="s">
        <v>230</v>
      </c>
      <c r="C52" s="69"/>
    </row>
    <row r="53" spans="1:3" ht="12" customHeight="1">
      <c r="A53" s="444" t="s">
        <v>105</v>
      </c>
      <c r="B53" s="8" t="s">
        <v>187</v>
      </c>
      <c r="C53" s="72"/>
    </row>
    <row r="54" spans="1:3" ht="12" customHeight="1">
      <c r="A54" s="444" t="s">
        <v>106</v>
      </c>
      <c r="B54" s="8" t="s">
        <v>58</v>
      </c>
      <c r="C54" s="72"/>
    </row>
    <row r="55" spans="1:3" ht="12" customHeight="1" thickBot="1">
      <c r="A55" s="444" t="s">
        <v>107</v>
      </c>
      <c r="B55" s="8" t="s">
        <v>524</v>
      </c>
      <c r="C55" s="72"/>
    </row>
    <row r="56" spans="1:3" ht="15.2" customHeight="1" thickBot="1">
      <c r="A56" s="193" t="s">
        <v>20</v>
      </c>
      <c r="B56" s="118" t="s">
        <v>13</v>
      </c>
      <c r="C56" s="336"/>
    </row>
    <row r="57" spans="1:3" ht="13.5" thickBot="1">
      <c r="A57" s="193" t="s">
        <v>21</v>
      </c>
      <c r="B57" s="235" t="s">
        <v>529</v>
      </c>
      <c r="C57" s="358">
        <f>+C45+C51+C56</f>
        <v>0</v>
      </c>
    </row>
    <row r="58" spans="1:3" ht="15.2" customHeight="1" thickBot="1">
      <c r="C58" s="623">
        <f>C41-C57</f>
        <v>0</v>
      </c>
    </row>
    <row r="59" spans="1:3" ht="14.45" customHeight="1" thickBot="1">
      <c r="A59" s="238" t="s">
        <v>519</v>
      </c>
      <c r="B59" s="239"/>
      <c r="C59" s="115"/>
    </row>
    <row r="60" spans="1:3" ht="13.5" thickBot="1">
      <c r="A60" s="238" t="s">
        <v>206</v>
      </c>
      <c r="B60" s="239"/>
      <c r="C60" s="115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E3" sqref="E3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16384" width="9.33203125" style="237"/>
  </cols>
  <sheetData>
    <row r="1" spans="1:3" s="217" customFormat="1" ht="21.2" customHeight="1" thickBot="1">
      <c r="A1" s="216"/>
      <c r="B1" s="218"/>
      <c r="C1" s="588" t="str">
        <f ca="1">CONCATENATE("9.5.2. melléklet ",ALAPADATOK!A7," ",ALAPADATOK!B7," ",ALAPADATOK!C7," ",ALAPADATOK!D7," ",ALAPADATOK!E7," ",ALAPADATOK!F7," ",ALAPADATOK!G7," ",ALAPADATOK!H7)</f>
        <v>9.5.2. melléklet a … / 2019 ( … ) önkormányzati rendelethez</v>
      </c>
    </row>
    <row r="2" spans="1:3" s="448" customFormat="1" ht="36">
      <c r="A2" s="400" t="s">
        <v>204</v>
      </c>
      <c r="B2" s="586" t="str">
        <f ca="1">CONCATENATE(KV_9.5.1.sz.mell!B2)</f>
        <v>Kossuth Művelődési Központ és Halász Boldizsár Városi Könyvtár</v>
      </c>
      <c r="C2" s="359"/>
    </row>
    <row r="3" spans="1:3" s="448" customFormat="1" ht="24.75" thickBot="1">
      <c r="A3" s="442" t="s">
        <v>203</v>
      </c>
      <c r="B3" s="587" t="s">
        <v>418</v>
      </c>
      <c r="C3" s="360" t="s">
        <v>60</v>
      </c>
    </row>
    <row r="4" spans="1:3" s="449" customFormat="1" ht="15.95" customHeight="1" thickBot="1">
      <c r="A4" s="219"/>
      <c r="B4" s="219"/>
      <c r="C4" s="220" t="str">
        <f ca="1">KV_9.5.1.sz.mell!C4</f>
        <v/>
      </c>
    </row>
    <row r="5" spans="1:3" ht="13.5" thickBot="1">
      <c r="A5" s="401" t="s">
        <v>205</v>
      </c>
      <c r="B5" s="221" t="s">
        <v>563</v>
      </c>
      <c r="C5" s="222" t="s">
        <v>55</v>
      </c>
    </row>
    <row r="6" spans="1:3" s="450" customFormat="1" ht="12.95" customHeight="1" thickBot="1">
      <c r="A6" s="185"/>
      <c r="B6" s="186" t="s">
        <v>493</v>
      </c>
      <c r="C6" s="187" t="s">
        <v>494</v>
      </c>
    </row>
    <row r="7" spans="1:3" s="450" customFormat="1" ht="15.95" customHeight="1" thickBot="1">
      <c r="A7" s="223"/>
      <c r="B7" s="224" t="s">
        <v>56</v>
      </c>
      <c r="C7" s="225"/>
    </row>
    <row r="8" spans="1:3" s="361" customFormat="1" ht="12" customHeight="1" thickBot="1">
      <c r="A8" s="185" t="s">
        <v>18</v>
      </c>
      <c r="B8" s="226" t="s">
        <v>520</v>
      </c>
      <c r="C8" s="310">
        <f>SUM(C9:C19)</f>
        <v>0</v>
      </c>
    </row>
    <row r="9" spans="1:3" s="361" customFormat="1" ht="12" customHeight="1">
      <c r="A9" s="443" t="s">
        <v>98</v>
      </c>
      <c r="B9" s="10" t="s">
        <v>277</v>
      </c>
      <c r="C9" s="351"/>
    </row>
    <row r="10" spans="1:3" s="361" customFormat="1" ht="12" customHeight="1">
      <c r="A10" s="444" t="s">
        <v>99</v>
      </c>
      <c r="B10" s="8" t="s">
        <v>278</v>
      </c>
      <c r="C10" s="308"/>
    </row>
    <row r="11" spans="1:3" s="361" customFormat="1" ht="12" customHeight="1">
      <c r="A11" s="444" t="s">
        <v>100</v>
      </c>
      <c r="B11" s="8" t="s">
        <v>279</v>
      </c>
      <c r="C11" s="308"/>
    </row>
    <row r="12" spans="1:3" s="361" customFormat="1" ht="12" customHeight="1">
      <c r="A12" s="444" t="s">
        <v>101</v>
      </c>
      <c r="B12" s="8" t="s">
        <v>280</v>
      </c>
      <c r="C12" s="308"/>
    </row>
    <row r="13" spans="1:3" s="361" customFormat="1" ht="12" customHeight="1">
      <c r="A13" s="444" t="s">
        <v>148</v>
      </c>
      <c r="B13" s="8" t="s">
        <v>281</v>
      </c>
      <c r="C13" s="308"/>
    </row>
    <row r="14" spans="1:3" s="361" customFormat="1" ht="12" customHeight="1">
      <c r="A14" s="444" t="s">
        <v>102</v>
      </c>
      <c r="B14" s="8" t="s">
        <v>399</v>
      </c>
      <c r="C14" s="308"/>
    </row>
    <row r="15" spans="1:3" s="361" customFormat="1" ht="12" customHeight="1">
      <c r="A15" s="444" t="s">
        <v>103</v>
      </c>
      <c r="B15" s="7" t="s">
        <v>400</v>
      </c>
      <c r="C15" s="308"/>
    </row>
    <row r="16" spans="1:3" s="361" customFormat="1" ht="12" customHeight="1">
      <c r="A16" s="444" t="s">
        <v>113</v>
      </c>
      <c r="B16" s="8" t="s">
        <v>284</v>
      </c>
      <c r="C16" s="352"/>
    </row>
    <row r="17" spans="1:3" s="451" customFormat="1" ht="12" customHeight="1">
      <c r="A17" s="444" t="s">
        <v>114</v>
      </c>
      <c r="B17" s="8" t="s">
        <v>285</v>
      </c>
      <c r="C17" s="308"/>
    </row>
    <row r="18" spans="1:3" s="451" customFormat="1" ht="12" customHeight="1">
      <c r="A18" s="444" t="s">
        <v>115</v>
      </c>
      <c r="B18" s="8" t="s">
        <v>436</v>
      </c>
      <c r="C18" s="309"/>
    </row>
    <row r="19" spans="1:3" s="451" customFormat="1" ht="12" customHeight="1" thickBot="1">
      <c r="A19" s="444" t="s">
        <v>116</v>
      </c>
      <c r="B19" s="7" t="s">
        <v>286</v>
      </c>
      <c r="C19" s="309"/>
    </row>
    <row r="20" spans="1:3" s="361" customFormat="1" ht="12" customHeight="1" thickBot="1">
      <c r="A20" s="185" t="s">
        <v>19</v>
      </c>
      <c r="B20" s="226" t="s">
        <v>401</v>
      </c>
      <c r="C20" s="310">
        <f>SUM(C21:C23)</f>
        <v>0</v>
      </c>
    </row>
    <row r="21" spans="1:3" s="451" customFormat="1" ht="12" customHeight="1">
      <c r="A21" s="444" t="s">
        <v>104</v>
      </c>
      <c r="B21" s="9" t="s">
        <v>258</v>
      </c>
      <c r="C21" s="308"/>
    </row>
    <row r="22" spans="1:3" s="451" customFormat="1" ht="12" customHeight="1">
      <c r="A22" s="444" t="s">
        <v>105</v>
      </c>
      <c r="B22" s="8" t="s">
        <v>402</v>
      </c>
      <c r="C22" s="308"/>
    </row>
    <row r="23" spans="1:3" s="451" customFormat="1" ht="12" customHeight="1">
      <c r="A23" s="444" t="s">
        <v>106</v>
      </c>
      <c r="B23" s="8" t="s">
        <v>403</v>
      </c>
      <c r="C23" s="308"/>
    </row>
    <row r="24" spans="1:3" s="451" customFormat="1" ht="12" customHeight="1" thickBot="1">
      <c r="A24" s="444" t="s">
        <v>107</v>
      </c>
      <c r="B24" s="8" t="s">
        <v>525</v>
      </c>
      <c r="C24" s="308"/>
    </row>
    <row r="25" spans="1:3" s="451" customFormat="1" ht="12" customHeight="1" thickBot="1">
      <c r="A25" s="193" t="s">
        <v>20</v>
      </c>
      <c r="B25" s="118" t="s">
        <v>174</v>
      </c>
      <c r="C25" s="336"/>
    </row>
    <row r="26" spans="1:3" s="451" customFormat="1" ht="12" customHeight="1" thickBot="1">
      <c r="A26" s="193" t="s">
        <v>21</v>
      </c>
      <c r="B26" s="118" t="s">
        <v>404</v>
      </c>
      <c r="C26" s="310">
        <f>+C27+C28</f>
        <v>0</v>
      </c>
    </row>
    <row r="27" spans="1:3" s="451" customFormat="1" ht="12" customHeight="1">
      <c r="A27" s="445" t="s">
        <v>268</v>
      </c>
      <c r="B27" s="446" t="s">
        <v>402</v>
      </c>
      <c r="C27" s="69"/>
    </row>
    <row r="28" spans="1:3" s="451" customFormat="1" ht="12" customHeight="1">
      <c r="A28" s="445" t="s">
        <v>269</v>
      </c>
      <c r="B28" s="447" t="s">
        <v>405</v>
      </c>
      <c r="C28" s="311"/>
    </row>
    <row r="29" spans="1:3" s="451" customFormat="1" ht="12" customHeight="1" thickBot="1">
      <c r="A29" s="444" t="s">
        <v>270</v>
      </c>
      <c r="B29" s="135" t="s">
        <v>526</v>
      </c>
      <c r="C29" s="76"/>
    </row>
    <row r="30" spans="1:3" s="451" customFormat="1" ht="12" customHeight="1" thickBot="1">
      <c r="A30" s="193" t="s">
        <v>22</v>
      </c>
      <c r="B30" s="118" t="s">
        <v>406</v>
      </c>
      <c r="C30" s="310">
        <f>+C31+C32+C33</f>
        <v>0</v>
      </c>
    </row>
    <row r="31" spans="1:3" s="451" customFormat="1" ht="12" customHeight="1">
      <c r="A31" s="445" t="s">
        <v>91</v>
      </c>
      <c r="B31" s="446" t="s">
        <v>291</v>
      </c>
      <c r="C31" s="69"/>
    </row>
    <row r="32" spans="1:3" s="451" customFormat="1" ht="12" customHeight="1">
      <c r="A32" s="445" t="s">
        <v>92</v>
      </c>
      <c r="B32" s="447" t="s">
        <v>292</v>
      </c>
      <c r="C32" s="311"/>
    </row>
    <row r="33" spans="1:3" s="451" customFormat="1" ht="12" customHeight="1" thickBot="1">
      <c r="A33" s="444" t="s">
        <v>93</v>
      </c>
      <c r="B33" s="135" t="s">
        <v>293</v>
      </c>
      <c r="C33" s="76"/>
    </row>
    <row r="34" spans="1:3" s="361" customFormat="1" ht="12" customHeight="1" thickBot="1">
      <c r="A34" s="193" t="s">
        <v>23</v>
      </c>
      <c r="B34" s="118" t="s">
        <v>376</v>
      </c>
      <c r="C34" s="336"/>
    </row>
    <row r="35" spans="1:3" s="361" customFormat="1" ht="12" customHeight="1" thickBot="1">
      <c r="A35" s="193" t="s">
        <v>24</v>
      </c>
      <c r="B35" s="118" t="s">
        <v>407</v>
      </c>
      <c r="C35" s="353"/>
    </row>
    <row r="36" spans="1:3" s="361" customFormat="1" ht="12" customHeight="1" thickBot="1">
      <c r="A36" s="185" t="s">
        <v>25</v>
      </c>
      <c r="B36" s="118" t="s">
        <v>527</v>
      </c>
      <c r="C36" s="354">
        <f>+C8+C20+C25+C26+C30+C34+C35</f>
        <v>0</v>
      </c>
    </row>
    <row r="37" spans="1:3" s="361" customFormat="1" ht="12" customHeight="1" thickBot="1">
      <c r="A37" s="227" t="s">
        <v>26</v>
      </c>
      <c r="B37" s="118" t="s">
        <v>409</v>
      </c>
      <c r="C37" s="354">
        <f>+C38+C39+C40</f>
        <v>0</v>
      </c>
    </row>
    <row r="38" spans="1:3" s="361" customFormat="1" ht="12" customHeight="1">
      <c r="A38" s="445" t="s">
        <v>410</v>
      </c>
      <c r="B38" s="446" t="s">
        <v>236</v>
      </c>
      <c r="C38" s="69"/>
    </row>
    <row r="39" spans="1:3" s="361" customFormat="1" ht="12" customHeight="1">
      <c r="A39" s="445" t="s">
        <v>411</v>
      </c>
      <c r="B39" s="447" t="s">
        <v>2</v>
      </c>
      <c r="C39" s="311"/>
    </row>
    <row r="40" spans="1:3" s="451" customFormat="1" ht="12" customHeight="1" thickBot="1">
      <c r="A40" s="444" t="s">
        <v>412</v>
      </c>
      <c r="B40" s="135" t="s">
        <v>413</v>
      </c>
      <c r="C40" s="76"/>
    </row>
    <row r="41" spans="1:3" s="451" customFormat="1" ht="15.2" customHeight="1" thickBot="1">
      <c r="A41" s="227" t="s">
        <v>27</v>
      </c>
      <c r="B41" s="228" t="s">
        <v>414</v>
      </c>
      <c r="C41" s="357">
        <f>+C36+C37</f>
        <v>0</v>
      </c>
    </row>
    <row r="42" spans="1:3" s="451" customFormat="1" ht="15.2" customHeight="1">
      <c r="A42" s="229"/>
      <c r="B42" s="230"/>
      <c r="C42" s="355"/>
    </row>
    <row r="43" spans="1:3" ht="13.5" thickBot="1">
      <c r="A43" s="231"/>
      <c r="B43" s="232"/>
      <c r="C43" s="356"/>
    </row>
    <row r="44" spans="1:3" s="450" customFormat="1" ht="16.5" customHeight="1" thickBot="1">
      <c r="A44" s="233"/>
      <c r="B44" s="234" t="s">
        <v>57</v>
      </c>
      <c r="C44" s="357"/>
    </row>
    <row r="45" spans="1:3" s="452" customFormat="1" ht="12" customHeight="1" thickBot="1">
      <c r="A45" s="193" t="s">
        <v>18</v>
      </c>
      <c r="B45" s="118" t="s">
        <v>415</v>
      </c>
      <c r="C45" s="310">
        <f>SUM(C46:C50)</f>
        <v>0</v>
      </c>
    </row>
    <row r="46" spans="1:3" ht="12" customHeight="1">
      <c r="A46" s="444" t="s">
        <v>98</v>
      </c>
      <c r="B46" s="9" t="s">
        <v>49</v>
      </c>
      <c r="C46" s="69"/>
    </row>
    <row r="47" spans="1:3" ht="12" customHeight="1">
      <c r="A47" s="444" t="s">
        <v>99</v>
      </c>
      <c r="B47" s="8" t="s">
        <v>183</v>
      </c>
      <c r="C47" s="72"/>
    </row>
    <row r="48" spans="1:3" ht="12" customHeight="1">
      <c r="A48" s="444" t="s">
        <v>100</v>
      </c>
      <c r="B48" s="8" t="s">
        <v>140</v>
      </c>
      <c r="C48" s="72"/>
    </row>
    <row r="49" spans="1:3" ht="12" customHeight="1">
      <c r="A49" s="444" t="s">
        <v>101</v>
      </c>
      <c r="B49" s="8" t="s">
        <v>184</v>
      </c>
      <c r="C49" s="72"/>
    </row>
    <row r="50" spans="1:3" ht="12" customHeight="1" thickBot="1">
      <c r="A50" s="444" t="s">
        <v>148</v>
      </c>
      <c r="B50" s="8" t="s">
        <v>185</v>
      </c>
      <c r="C50" s="72"/>
    </row>
    <row r="51" spans="1:3" ht="12" customHeight="1" thickBot="1">
      <c r="A51" s="193" t="s">
        <v>19</v>
      </c>
      <c r="B51" s="118" t="s">
        <v>416</v>
      </c>
      <c r="C51" s="310">
        <f>SUM(C52:C54)</f>
        <v>0</v>
      </c>
    </row>
    <row r="52" spans="1:3" s="452" customFormat="1" ht="12" customHeight="1">
      <c r="A52" s="444" t="s">
        <v>104</v>
      </c>
      <c r="B52" s="9" t="s">
        <v>230</v>
      </c>
      <c r="C52" s="69"/>
    </row>
    <row r="53" spans="1:3" ht="12" customHeight="1">
      <c r="A53" s="444" t="s">
        <v>105</v>
      </c>
      <c r="B53" s="8" t="s">
        <v>187</v>
      </c>
      <c r="C53" s="72"/>
    </row>
    <row r="54" spans="1:3" ht="12" customHeight="1">
      <c r="A54" s="444" t="s">
        <v>106</v>
      </c>
      <c r="B54" s="8" t="s">
        <v>58</v>
      </c>
      <c r="C54" s="72"/>
    </row>
    <row r="55" spans="1:3" ht="12" customHeight="1" thickBot="1">
      <c r="A55" s="444" t="s">
        <v>107</v>
      </c>
      <c r="B55" s="8" t="s">
        <v>524</v>
      </c>
      <c r="C55" s="72"/>
    </row>
    <row r="56" spans="1:3" ht="15.2" customHeight="1" thickBot="1">
      <c r="A56" s="193" t="s">
        <v>20</v>
      </c>
      <c r="B56" s="118" t="s">
        <v>13</v>
      </c>
      <c r="C56" s="336"/>
    </row>
    <row r="57" spans="1:3" ht="13.5" thickBot="1">
      <c r="A57" s="193" t="s">
        <v>21</v>
      </c>
      <c r="B57" s="235" t="s">
        <v>529</v>
      </c>
      <c r="C57" s="358">
        <f>+C45+C51+C56</f>
        <v>0</v>
      </c>
    </row>
    <row r="58" spans="1:3" ht="15.2" customHeight="1" thickBot="1">
      <c r="C58" s="623">
        <f>C41-C57</f>
        <v>0</v>
      </c>
    </row>
    <row r="59" spans="1:3" ht="14.45" customHeight="1" thickBot="1">
      <c r="A59" s="238" t="s">
        <v>519</v>
      </c>
      <c r="B59" s="239"/>
      <c r="C59" s="115"/>
    </row>
    <row r="60" spans="1:3" ht="13.5" thickBot="1">
      <c r="A60" s="238" t="s">
        <v>206</v>
      </c>
      <c r="B60" s="239"/>
      <c r="C60" s="115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E3" sqref="E3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16384" width="9.33203125" style="237"/>
  </cols>
  <sheetData>
    <row r="1" spans="1:3" s="217" customFormat="1" ht="21.2" customHeight="1" thickBot="1">
      <c r="A1" s="216"/>
      <c r="B1" s="218"/>
      <c r="C1" s="588" t="str">
        <f ca="1">CONCATENATE("9.5.3. melléklet ",ALAPADATOK!A7," ",ALAPADATOK!B7," ",ALAPADATOK!C7," ",ALAPADATOK!D7," ",ALAPADATOK!E7," ",ALAPADATOK!F7," ",ALAPADATOK!G7," ",ALAPADATOK!H7)</f>
        <v>9.5.3. melléklet a … / 2019 ( … ) önkormányzati rendelethez</v>
      </c>
    </row>
    <row r="2" spans="1:3" s="448" customFormat="1" ht="36">
      <c r="A2" s="400" t="s">
        <v>204</v>
      </c>
      <c r="B2" s="586" t="str">
        <f ca="1">CONCATENATE(KV_9.5.2.sz.mell!B2)</f>
        <v>Kossuth Művelődési Központ és Halász Boldizsár Városi Könyvtár</v>
      </c>
      <c r="C2" s="359" t="s">
        <v>606</v>
      </c>
    </row>
    <row r="3" spans="1:3" s="448" customFormat="1" ht="24.75" thickBot="1">
      <c r="A3" s="442" t="s">
        <v>203</v>
      </c>
      <c r="B3" s="587" t="s">
        <v>530</v>
      </c>
      <c r="C3" s="360" t="s">
        <v>431</v>
      </c>
    </row>
    <row r="4" spans="1:3" s="449" customFormat="1" ht="15.95" customHeight="1" thickBot="1">
      <c r="A4" s="219"/>
      <c r="B4" s="219"/>
      <c r="C4" s="220" t="str">
        <f ca="1">KV_9.5.2.sz.mell!C4</f>
        <v/>
      </c>
    </row>
    <row r="5" spans="1:3" ht="13.5" thickBot="1">
      <c r="A5" s="401" t="s">
        <v>205</v>
      </c>
      <c r="B5" s="221" t="s">
        <v>563</v>
      </c>
      <c r="C5" s="547" t="s">
        <v>55</v>
      </c>
    </row>
    <row r="6" spans="1:3" s="450" customFormat="1" ht="12.95" customHeight="1" thickBot="1">
      <c r="A6" s="185"/>
      <c r="B6" s="186" t="s">
        <v>493</v>
      </c>
      <c r="C6" s="187" t="s">
        <v>494</v>
      </c>
    </row>
    <row r="7" spans="1:3" s="450" customFormat="1" ht="15.95" customHeight="1" thickBot="1">
      <c r="A7" s="223"/>
      <c r="B7" s="224" t="s">
        <v>56</v>
      </c>
      <c r="C7" s="225"/>
    </row>
    <row r="8" spans="1:3" s="361" customFormat="1" ht="12" customHeight="1" thickBot="1">
      <c r="A8" s="185" t="s">
        <v>18</v>
      </c>
      <c r="B8" s="226" t="s">
        <v>520</v>
      </c>
      <c r="C8" s="310">
        <f>SUM(C9:C19)</f>
        <v>0</v>
      </c>
    </row>
    <row r="9" spans="1:3" s="361" customFormat="1" ht="12" customHeight="1">
      <c r="A9" s="443" t="s">
        <v>98</v>
      </c>
      <c r="B9" s="10" t="s">
        <v>277</v>
      </c>
      <c r="C9" s="351"/>
    </row>
    <row r="10" spans="1:3" s="361" customFormat="1" ht="12" customHeight="1">
      <c r="A10" s="444" t="s">
        <v>99</v>
      </c>
      <c r="B10" s="8" t="s">
        <v>278</v>
      </c>
      <c r="C10" s="308"/>
    </row>
    <row r="11" spans="1:3" s="361" customFormat="1" ht="12" customHeight="1">
      <c r="A11" s="444" t="s">
        <v>100</v>
      </c>
      <c r="B11" s="8" t="s">
        <v>279</v>
      </c>
      <c r="C11" s="308"/>
    </row>
    <row r="12" spans="1:3" s="361" customFormat="1" ht="12" customHeight="1">
      <c r="A12" s="444" t="s">
        <v>101</v>
      </c>
      <c r="B12" s="8" t="s">
        <v>280</v>
      </c>
      <c r="C12" s="308"/>
    </row>
    <row r="13" spans="1:3" s="361" customFormat="1" ht="12" customHeight="1">
      <c r="A13" s="444" t="s">
        <v>148</v>
      </c>
      <c r="B13" s="8" t="s">
        <v>281</v>
      </c>
      <c r="C13" s="308"/>
    </row>
    <row r="14" spans="1:3" s="361" customFormat="1" ht="12" customHeight="1">
      <c r="A14" s="444" t="s">
        <v>102</v>
      </c>
      <c r="B14" s="8" t="s">
        <v>399</v>
      </c>
      <c r="C14" s="308"/>
    </row>
    <row r="15" spans="1:3" s="361" customFormat="1" ht="12" customHeight="1">
      <c r="A15" s="444" t="s">
        <v>103</v>
      </c>
      <c r="B15" s="7" t="s">
        <v>400</v>
      </c>
      <c r="C15" s="308"/>
    </row>
    <row r="16" spans="1:3" s="361" customFormat="1" ht="12" customHeight="1">
      <c r="A16" s="444" t="s">
        <v>113</v>
      </c>
      <c r="B16" s="8" t="s">
        <v>284</v>
      </c>
      <c r="C16" s="352"/>
    </row>
    <row r="17" spans="1:3" s="451" customFormat="1" ht="12" customHeight="1">
      <c r="A17" s="444" t="s">
        <v>114</v>
      </c>
      <c r="B17" s="8" t="s">
        <v>285</v>
      </c>
      <c r="C17" s="308"/>
    </row>
    <row r="18" spans="1:3" s="451" customFormat="1" ht="12" customHeight="1">
      <c r="A18" s="444" t="s">
        <v>115</v>
      </c>
      <c r="B18" s="8" t="s">
        <v>436</v>
      </c>
      <c r="C18" s="309"/>
    </row>
    <row r="19" spans="1:3" s="451" customFormat="1" ht="12" customHeight="1" thickBot="1">
      <c r="A19" s="444" t="s">
        <v>116</v>
      </c>
      <c r="B19" s="7" t="s">
        <v>286</v>
      </c>
      <c r="C19" s="309"/>
    </row>
    <row r="20" spans="1:3" s="361" customFormat="1" ht="12" customHeight="1" thickBot="1">
      <c r="A20" s="185" t="s">
        <v>19</v>
      </c>
      <c r="B20" s="226" t="s">
        <v>401</v>
      </c>
      <c r="C20" s="310">
        <f>SUM(C21:C23)</f>
        <v>0</v>
      </c>
    </row>
    <row r="21" spans="1:3" s="451" customFormat="1" ht="12" customHeight="1">
      <c r="A21" s="444" t="s">
        <v>104</v>
      </c>
      <c r="B21" s="9" t="s">
        <v>258</v>
      </c>
      <c r="C21" s="308"/>
    </row>
    <row r="22" spans="1:3" s="451" customFormat="1" ht="12" customHeight="1">
      <c r="A22" s="444" t="s">
        <v>105</v>
      </c>
      <c r="B22" s="8" t="s">
        <v>402</v>
      </c>
      <c r="C22" s="308"/>
    </row>
    <row r="23" spans="1:3" s="451" customFormat="1" ht="12" customHeight="1">
      <c r="A23" s="444" t="s">
        <v>106</v>
      </c>
      <c r="B23" s="8" t="s">
        <v>403</v>
      </c>
      <c r="C23" s="308"/>
    </row>
    <row r="24" spans="1:3" s="451" customFormat="1" ht="12" customHeight="1" thickBot="1">
      <c r="A24" s="444" t="s">
        <v>107</v>
      </c>
      <c r="B24" s="8" t="s">
        <v>525</v>
      </c>
      <c r="C24" s="308"/>
    </row>
    <row r="25" spans="1:3" s="451" customFormat="1" ht="12" customHeight="1" thickBot="1">
      <c r="A25" s="193" t="s">
        <v>20</v>
      </c>
      <c r="B25" s="118" t="s">
        <v>174</v>
      </c>
      <c r="C25" s="336"/>
    </row>
    <row r="26" spans="1:3" s="451" customFormat="1" ht="12" customHeight="1" thickBot="1">
      <c r="A26" s="193" t="s">
        <v>21</v>
      </c>
      <c r="B26" s="118" t="s">
        <v>404</v>
      </c>
      <c r="C26" s="310">
        <f>+C27+C28</f>
        <v>0</v>
      </c>
    </row>
    <row r="27" spans="1:3" s="451" customFormat="1" ht="12" customHeight="1">
      <c r="A27" s="445" t="s">
        <v>268</v>
      </c>
      <c r="B27" s="446" t="s">
        <v>402</v>
      </c>
      <c r="C27" s="69"/>
    </row>
    <row r="28" spans="1:3" s="451" customFormat="1" ht="12" customHeight="1">
      <c r="A28" s="445" t="s">
        <v>269</v>
      </c>
      <c r="B28" s="447" t="s">
        <v>405</v>
      </c>
      <c r="C28" s="311"/>
    </row>
    <row r="29" spans="1:3" s="451" customFormat="1" ht="12" customHeight="1" thickBot="1">
      <c r="A29" s="444" t="s">
        <v>270</v>
      </c>
      <c r="B29" s="135" t="s">
        <v>526</v>
      </c>
      <c r="C29" s="76"/>
    </row>
    <row r="30" spans="1:3" s="451" customFormat="1" ht="12" customHeight="1" thickBot="1">
      <c r="A30" s="193" t="s">
        <v>22</v>
      </c>
      <c r="B30" s="118" t="s">
        <v>406</v>
      </c>
      <c r="C30" s="310">
        <f>+C31+C32+C33</f>
        <v>0</v>
      </c>
    </row>
    <row r="31" spans="1:3" s="451" customFormat="1" ht="12" customHeight="1">
      <c r="A31" s="445" t="s">
        <v>91</v>
      </c>
      <c r="B31" s="446" t="s">
        <v>291</v>
      </c>
      <c r="C31" s="69"/>
    </row>
    <row r="32" spans="1:3" s="451" customFormat="1" ht="12" customHeight="1">
      <c r="A32" s="445" t="s">
        <v>92</v>
      </c>
      <c r="B32" s="447" t="s">
        <v>292</v>
      </c>
      <c r="C32" s="311"/>
    </row>
    <row r="33" spans="1:3" s="451" customFormat="1" ht="12" customHeight="1" thickBot="1">
      <c r="A33" s="444" t="s">
        <v>93</v>
      </c>
      <c r="B33" s="135" t="s">
        <v>293</v>
      </c>
      <c r="C33" s="76"/>
    </row>
    <row r="34" spans="1:3" s="361" customFormat="1" ht="12" customHeight="1" thickBot="1">
      <c r="A34" s="193" t="s">
        <v>23</v>
      </c>
      <c r="B34" s="118" t="s">
        <v>376</v>
      </c>
      <c r="C34" s="336"/>
    </row>
    <row r="35" spans="1:3" s="361" customFormat="1" ht="12" customHeight="1" thickBot="1">
      <c r="A35" s="193" t="s">
        <v>24</v>
      </c>
      <c r="B35" s="118" t="s">
        <v>407</v>
      </c>
      <c r="C35" s="353"/>
    </row>
    <row r="36" spans="1:3" s="361" customFormat="1" ht="12" customHeight="1" thickBot="1">
      <c r="A36" s="185" t="s">
        <v>25</v>
      </c>
      <c r="B36" s="118" t="s">
        <v>527</v>
      </c>
      <c r="C36" s="354">
        <f>+C8+C20+C25+C26+C30+C34+C35</f>
        <v>0</v>
      </c>
    </row>
    <row r="37" spans="1:3" s="361" customFormat="1" ht="12" customHeight="1" thickBot="1">
      <c r="A37" s="227" t="s">
        <v>26</v>
      </c>
      <c r="B37" s="118" t="s">
        <v>409</v>
      </c>
      <c r="C37" s="354">
        <f>+C38+C39+C40</f>
        <v>0</v>
      </c>
    </row>
    <row r="38" spans="1:3" s="361" customFormat="1" ht="12" customHeight="1">
      <c r="A38" s="445" t="s">
        <v>410</v>
      </c>
      <c r="B38" s="446" t="s">
        <v>236</v>
      </c>
      <c r="C38" s="69"/>
    </row>
    <row r="39" spans="1:3" s="361" customFormat="1" ht="12" customHeight="1">
      <c r="A39" s="445" t="s">
        <v>411</v>
      </c>
      <c r="B39" s="447" t="s">
        <v>2</v>
      </c>
      <c r="C39" s="311"/>
    </row>
    <row r="40" spans="1:3" s="451" customFormat="1" ht="12" customHeight="1" thickBot="1">
      <c r="A40" s="444" t="s">
        <v>412</v>
      </c>
      <c r="B40" s="135" t="s">
        <v>413</v>
      </c>
      <c r="C40" s="76"/>
    </row>
    <row r="41" spans="1:3" s="451" customFormat="1" ht="15.2" customHeight="1" thickBot="1">
      <c r="A41" s="227" t="s">
        <v>27</v>
      </c>
      <c r="B41" s="228" t="s">
        <v>414</v>
      </c>
      <c r="C41" s="357">
        <f>+C36+C37</f>
        <v>0</v>
      </c>
    </row>
    <row r="42" spans="1:3" s="451" customFormat="1" ht="15.2" customHeight="1">
      <c r="A42" s="229"/>
      <c r="B42" s="230"/>
      <c r="C42" s="355"/>
    </row>
    <row r="43" spans="1:3" ht="13.5" thickBot="1">
      <c r="A43" s="231"/>
      <c r="B43" s="232"/>
      <c r="C43" s="356"/>
    </row>
    <row r="44" spans="1:3" s="450" customFormat="1" ht="16.5" customHeight="1" thickBot="1">
      <c r="A44" s="233"/>
      <c r="B44" s="234" t="s">
        <v>57</v>
      </c>
      <c r="C44" s="357"/>
    </row>
    <row r="45" spans="1:3" s="452" customFormat="1" ht="12" customHeight="1" thickBot="1">
      <c r="A45" s="193" t="s">
        <v>18</v>
      </c>
      <c r="B45" s="118" t="s">
        <v>415</v>
      </c>
      <c r="C45" s="310">
        <f>SUM(C46:C50)</f>
        <v>0</v>
      </c>
    </row>
    <row r="46" spans="1:3" ht="12" customHeight="1">
      <c r="A46" s="444" t="s">
        <v>98</v>
      </c>
      <c r="B46" s="9" t="s">
        <v>49</v>
      </c>
      <c r="C46" s="69"/>
    </row>
    <row r="47" spans="1:3" ht="12" customHeight="1">
      <c r="A47" s="444" t="s">
        <v>99</v>
      </c>
      <c r="B47" s="8" t="s">
        <v>183</v>
      </c>
      <c r="C47" s="72"/>
    </row>
    <row r="48" spans="1:3" ht="12" customHeight="1">
      <c r="A48" s="444" t="s">
        <v>100</v>
      </c>
      <c r="B48" s="8" t="s">
        <v>140</v>
      </c>
      <c r="C48" s="72"/>
    </row>
    <row r="49" spans="1:3" ht="12" customHeight="1">
      <c r="A49" s="444" t="s">
        <v>101</v>
      </c>
      <c r="B49" s="8" t="s">
        <v>184</v>
      </c>
      <c r="C49" s="72"/>
    </row>
    <row r="50" spans="1:3" ht="12" customHeight="1" thickBot="1">
      <c r="A50" s="444" t="s">
        <v>148</v>
      </c>
      <c r="B50" s="8" t="s">
        <v>185</v>
      </c>
      <c r="C50" s="72"/>
    </row>
    <row r="51" spans="1:3" ht="12" customHeight="1" thickBot="1">
      <c r="A51" s="193" t="s">
        <v>19</v>
      </c>
      <c r="B51" s="118" t="s">
        <v>416</v>
      </c>
      <c r="C51" s="310">
        <f>SUM(C52:C54)</f>
        <v>0</v>
      </c>
    </row>
    <row r="52" spans="1:3" s="452" customFormat="1" ht="12" customHeight="1">
      <c r="A52" s="444" t="s">
        <v>104</v>
      </c>
      <c r="B52" s="9" t="s">
        <v>230</v>
      </c>
      <c r="C52" s="69"/>
    </row>
    <row r="53" spans="1:3" ht="12" customHeight="1">
      <c r="A53" s="444" t="s">
        <v>105</v>
      </c>
      <c r="B53" s="8" t="s">
        <v>187</v>
      </c>
      <c r="C53" s="72"/>
    </row>
    <row r="54" spans="1:3" ht="12" customHeight="1">
      <c r="A54" s="444" t="s">
        <v>106</v>
      </c>
      <c r="B54" s="8" t="s">
        <v>58</v>
      </c>
      <c r="C54" s="72"/>
    </row>
    <row r="55" spans="1:3" ht="12" customHeight="1" thickBot="1">
      <c r="A55" s="444" t="s">
        <v>107</v>
      </c>
      <c r="B55" s="8" t="s">
        <v>524</v>
      </c>
      <c r="C55" s="72"/>
    </row>
    <row r="56" spans="1:3" ht="15.2" customHeight="1" thickBot="1">
      <c r="A56" s="193" t="s">
        <v>20</v>
      </c>
      <c r="B56" s="118" t="s">
        <v>13</v>
      </c>
      <c r="C56" s="336"/>
    </row>
    <row r="57" spans="1:3" ht="13.5" thickBot="1">
      <c r="A57" s="193" t="s">
        <v>21</v>
      </c>
      <c r="B57" s="235" t="s">
        <v>529</v>
      </c>
      <c r="C57" s="358">
        <f>+C45+C51+C56</f>
        <v>0</v>
      </c>
    </row>
    <row r="58" spans="1:3" ht="15.2" customHeight="1" thickBot="1">
      <c r="C58" s="623">
        <f>C41-C57</f>
        <v>0</v>
      </c>
    </row>
    <row r="59" spans="1:3" ht="14.45" customHeight="1" thickBot="1">
      <c r="A59" s="238" t="s">
        <v>519</v>
      </c>
      <c r="B59" s="239"/>
      <c r="C59" s="115"/>
    </row>
    <row r="60" spans="1:3" ht="13.5" thickBot="1">
      <c r="A60" s="238" t="s">
        <v>206</v>
      </c>
      <c r="B60" s="239"/>
      <c r="C60" s="115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>
  <sheetPr>
    <tabColor rgb="FF92D050"/>
  </sheetPr>
  <dimension ref="A1:G60"/>
  <sheetViews>
    <sheetView topLeftCell="A31" zoomScale="120" zoomScaleNormal="120" workbookViewId="0">
      <selection activeCell="F52" sqref="F52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4" width="13.1640625" style="237" customWidth="1"/>
    <col min="5" max="5" width="14.5" style="237" customWidth="1"/>
    <col min="6" max="6" width="14" style="237" customWidth="1"/>
    <col min="7" max="7" width="14.1640625" style="237" customWidth="1"/>
    <col min="8" max="16384" width="9.33203125" style="237"/>
  </cols>
  <sheetData>
    <row r="1" spans="1:7" s="217" customFormat="1" ht="21.2" customHeight="1" thickBot="1">
      <c r="A1" s="216"/>
      <c r="B1" s="218"/>
      <c r="C1" s="588" t="str">
        <f ca="1">CONCATENATE("9.6. melléklet ",ALAPADATOK!A7," ",ALAPADATOK!B7," ",ALAPADATOK!C7," ",ALAPADATOK!D7," ",ALAPADATOK!E7," ",ALAPADATOK!F7," ",ALAPADATOK!G7," ",ALAPADATOK!H7)</f>
        <v>9.6. melléklet a … / 2019 ( … ) önkormányzati rendelethez</v>
      </c>
    </row>
    <row r="2" spans="1:7" s="448" customFormat="1" ht="36">
      <c r="A2" s="400" t="s">
        <v>204</v>
      </c>
      <c r="B2" s="586" t="str">
        <f ca="1">CONCATENATE(ALAPADATOK!B19)</f>
        <v>Dr. Halász Géza Szakorvosi Rendelőintézet</v>
      </c>
      <c r="C2" s="359" t="s">
        <v>607</v>
      </c>
    </row>
    <row r="3" spans="1:7" s="448" customFormat="1" ht="24.75" thickBot="1">
      <c r="A3" s="442" t="s">
        <v>203</v>
      </c>
      <c r="B3" s="587" t="s">
        <v>398</v>
      </c>
      <c r="C3" s="360" t="s">
        <v>54</v>
      </c>
    </row>
    <row r="4" spans="1:7" s="449" customFormat="1" ht="15.95" customHeight="1" thickBot="1">
      <c r="A4" s="219"/>
      <c r="B4" s="219"/>
      <c r="C4" s="220" t="str">
        <f ca="1">KV_9.2.3.sz.mell!C4</f>
        <v/>
      </c>
    </row>
    <row r="5" spans="1:7" ht="24.75" thickBot="1">
      <c r="A5" s="401" t="s">
        <v>205</v>
      </c>
      <c r="B5" s="221" t="s">
        <v>563</v>
      </c>
      <c r="C5" s="222" t="s">
        <v>55</v>
      </c>
      <c r="D5" s="605" t="s">
        <v>754</v>
      </c>
      <c r="E5" s="605" t="s">
        <v>744</v>
      </c>
      <c r="F5" s="605" t="s">
        <v>827</v>
      </c>
      <c r="G5" s="605" t="s">
        <v>744</v>
      </c>
    </row>
    <row r="6" spans="1:7" s="450" customFormat="1" ht="12.95" customHeight="1" thickBot="1">
      <c r="A6" s="185"/>
      <c r="B6" s="186" t="s">
        <v>493</v>
      </c>
      <c r="C6" s="187" t="s">
        <v>494</v>
      </c>
      <c r="D6" s="720" t="s">
        <v>495</v>
      </c>
      <c r="E6" s="721" t="s">
        <v>497</v>
      </c>
      <c r="F6" s="720" t="s">
        <v>495</v>
      </c>
      <c r="G6" s="721" t="s">
        <v>497</v>
      </c>
    </row>
    <row r="7" spans="1:7" s="450" customFormat="1" ht="15.95" customHeight="1" thickBot="1">
      <c r="A7" s="223"/>
      <c r="B7" s="224" t="s">
        <v>56</v>
      </c>
      <c r="C7" s="225"/>
    </row>
    <row r="8" spans="1:7" s="361" customFormat="1" ht="12" customHeight="1" thickBot="1">
      <c r="A8" s="185" t="s">
        <v>18</v>
      </c>
      <c r="B8" s="226" t="s">
        <v>520</v>
      </c>
      <c r="C8" s="310">
        <f>SUM(C9:C19)</f>
        <v>31000000</v>
      </c>
      <c r="D8" s="710">
        <f>SUM(D9:D19)</f>
        <v>0</v>
      </c>
      <c r="E8" s="716">
        <f>SUM(C8+D8)</f>
        <v>31000000</v>
      </c>
      <c r="F8" s="710">
        <f>SUM(F9:F19)</f>
        <v>3500000</v>
      </c>
      <c r="G8" s="716">
        <f>SUM(E8+F8)</f>
        <v>34500000</v>
      </c>
    </row>
    <row r="9" spans="1:7" s="361" customFormat="1" ht="12" customHeight="1">
      <c r="A9" s="443" t="s">
        <v>98</v>
      </c>
      <c r="B9" s="10" t="s">
        <v>277</v>
      </c>
      <c r="C9" s="351"/>
      <c r="D9" s="709"/>
      <c r="E9" s="713">
        <f t="shared" ref="E9:E42" si="0">SUM(C9+D9)</f>
        <v>0</v>
      </c>
      <c r="F9" s="709"/>
      <c r="G9" s="713">
        <f t="shared" ref="G9:G42" si="1">SUM(E9+F9)</f>
        <v>0</v>
      </c>
    </row>
    <row r="10" spans="1:7" s="361" customFormat="1" ht="12" customHeight="1">
      <c r="A10" s="444" t="s">
        <v>99</v>
      </c>
      <c r="B10" s="8" t="s">
        <v>278</v>
      </c>
      <c r="C10" s="308">
        <v>31000000</v>
      </c>
      <c r="D10" s="707"/>
      <c r="E10" s="714">
        <f t="shared" si="0"/>
        <v>31000000</v>
      </c>
      <c r="F10" s="707">
        <v>3500000</v>
      </c>
      <c r="G10" s="714">
        <f t="shared" si="1"/>
        <v>34500000</v>
      </c>
    </row>
    <row r="11" spans="1:7" s="361" customFormat="1" ht="12" customHeight="1">
      <c r="A11" s="444" t="s">
        <v>100</v>
      </c>
      <c r="B11" s="8" t="s">
        <v>279</v>
      </c>
      <c r="C11" s="308"/>
      <c r="D11" s="707"/>
      <c r="E11" s="714">
        <f t="shared" si="0"/>
        <v>0</v>
      </c>
      <c r="F11" s="707"/>
      <c r="G11" s="714">
        <f t="shared" si="1"/>
        <v>0</v>
      </c>
    </row>
    <row r="12" spans="1:7" s="361" customFormat="1" ht="12" customHeight="1">
      <c r="A12" s="444" t="s">
        <v>101</v>
      </c>
      <c r="B12" s="8" t="s">
        <v>280</v>
      </c>
      <c r="C12" s="308"/>
      <c r="D12" s="707"/>
      <c r="E12" s="714">
        <f t="shared" si="0"/>
        <v>0</v>
      </c>
      <c r="F12" s="707"/>
      <c r="G12" s="714">
        <f t="shared" si="1"/>
        <v>0</v>
      </c>
    </row>
    <row r="13" spans="1:7" s="361" customFormat="1" ht="12" customHeight="1">
      <c r="A13" s="444" t="s">
        <v>148</v>
      </c>
      <c r="B13" s="8" t="s">
        <v>281</v>
      </c>
      <c r="C13" s="308"/>
      <c r="D13" s="707"/>
      <c r="E13" s="714">
        <f t="shared" si="0"/>
        <v>0</v>
      </c>
      <c r="F13" s="707"/>
      <c r="G13" s="714">
        <f t="shared" si="1"/>
        <v>0</v>
      </c>
    </row>
    <row r="14" spans="1:7" s="361" customFormat="1" ht="12" customHeight="1">
      <c r="A14" s="444" t="s">
        <v>102</v>
      </c>
      <c r="B14" s="8" t="s">
        <v>399</v>
      </c>
      <c r="C14" s="308"/>
      <c r="D14" s="707"/>
      <c r="E14" s="714">
        <f t="shared" si="0"/>
        <v>0</v>
      </c>
      <c r="F14" s="707"/>
      <c r="G14" s="714">
        <f t="shared" si="1"/>
        <v>0</v>
      </c>
    </row>
    <row r="15" spans="1:7" s="361" customFormat="1" ht="12" customHeight="1">
      <c r="A15" s="444" t="s">
        <v>103</v>
      </c>
      <c r="B15" s="7" t="s">
        <v>400</v>
      </c>
      <c r="C15" s="308"/>
      <c r="D15" s="707"/>
      <c r="E15" s="714">
        <f t="shared" si="0"/>
        <v>0</v>
      </c>
      <c r="F15" s="707"/>
      <c r="G15" s="714">
        <f t="shared" si="1"/>
        <v>0</v>
      </c>
    </row>
    <row r="16" spans="1:7" s="361" customFormat="1" ht="12" customHeight="1">
      <c r="A16" s="444" t="s">
        <v>113</v>
      </c>
      <c r="B16" s="8" t="s">
        <v>284</v>
      </c>
      <c r="C16" s="352"/>
      <c r="D16" s="707"/>
      <c r="E16" s="714">
        <f t="shared" si="0"/>
        <v>0</v>
      </c>
      <c r="F16" s="707"/>
      <c r="G16" s="714">
        <f t="shared" si="1"/>
        <v>0</v>
      </c>
    </row>
    <row r="17" spans="1:7" s="451" customFormat="1" ht="12" customHeight="1">
      <c r="A17" s="444" t="s">
        <v>114</v>
      </c>
      <c r="B17" s="8" t="s">
        <v>285</v>
      </c>
      <c r="C17" s="308"/>
      <c r="D17" s="707"/>
      <c r="E17" s="714">
        <f t="shared" si="0"/>
        <v>0</v>
      </c>
      <c r="F17" s="707"/>
      <c r="G17" s="714">
        <f t="shared" si="1"/>
        <v>0</v>
      </c>
    </row>
    <row r="18" spans="1:7" s="451" customFormat="1" ht="12" customHeight="1">
      <c r="A18" s="444" t="s">
        <v>115</v>
      </c>
      <c r="B18" s="8" t="s">
        <v>436</v>
      </c>
      <c r="C18" s="309"/>
      <c r="D18" s="707"/>
      <c r="E18" s="714">
        <f t="shared" si="0"/>
        <v>0</v>
      </c>
      <c r="F18" s="707"/>
      <c r="G18" s="714">
        <f t="shared" si="1"/>
        <v>0</v>
      </c>
    </row>
    <row r="19" spans="1:7" s="451" customFormat="1" ht="12" customHeight="1" thickBot="1">
      <c r="A19" s="444" t="s">
        <v>116</v>
      </c>
      <c r="B19" s="7" t="s">
        <v>286</v>
      </c>
      <c r="C19" s="309"/>
      <c r="D19" s="708"/>
      <c r="E19" s="715">
        <f t="shared" si="0"/>
        <v>0</v>
      </c>
      <c r="F19" s="708"/>
      <c r="G19" s="715">
        <f t="shared" si="1"/>
        <v>0</v>
      </c>
    </row>
    <row r="20" spans="1:7" s="361" customFormat="1" ht="12" customHeight="1" thickBot="1">
      <c r="A20" s="185" t="s">
        <v>19</v>
      </c>
      <c r="B20" s="226" t="s">
        <v>401</v>
      </c>
      <c r="C20" s="310">
        <f>SUM(C21:C23)</f>
        <v>993550000</v>
      </c>
      <c r="D20" s="710">
        <f>SUM(D21:D23)</f>
        <v>0</v>
      </c>
      <c r="E20" s="716">
        <f t="shared" si="0"/>
        <v>993550000</v>
      </c>
      <c r="F20" s="710">
        <f>SUM(F21:F23)</f>
        <v>11500000</v>
      </c>
      <c r="G20" s="716">
        <f t="shared" si="1"/>
        <v>1005050000</v>
      </c>
    </row>
    <row r="21" spans="1:7" s="451" customFormat="1" ht="12" customHeight="1">
      <c r="A21" s="444" t="s">
        <v>104</v>
      </c>
      <c r="B21" s="9" t="s">
        <v>258</v>
      </c>
      <c r="C21" s="308"/>
      <c r="D21" s="709"/>
      <c r="E21" s="713">
        <f t="shared" si="0"/>
        <v>0</v>
      </c>
      <c r="F21" s="709"/>
      <c r="G21" s="713">
        <f t="shared" si="1"/>
        <v>0</v>
      </c>
    </row>
    <row r="22" spans="1:7" s="451" customFormat="1" ht="12" customHeight="1">
      <c r="A22" s="444" t="s">
        <v>105</v>
      </c>
      <c r="B22" s="8" t="s">
        <v>402</v>
      </c>
      <c r="C22" s="308"/>
      <c r="D22" s="707"/>
      <c r="E22" s="714">
        <f t="shared" si="0"/>
        <v>0</v>
      </c>
      <c r="F22" s="707"/>
      <c r="G22" s="714">
        <f t="shared" si="1"/>
        <v>0</v>
      </c>
    </row>
    <row r="23" spans="1:7" s="451" customFormat="1" ht="12" customHeight="1">
      <c r="A23" s="444" t="s">
        <v>106</v>
      </c>
      <c r="B23" s="8" t="s">
        <v>403</v>
      </c>
      <c r="C23" s="308">
        <v>993550000</v>
      </c>
      <c r="D23" s="707"/>
      <c r="E23" s="714">
        <f t="shared" si="0"/>
        <v>993550000</v>
      </c>
      <c r="F23" s="707">
        <v>11500000</v>
      </c>
      <c r="G23" s="714">
        <f t="shared" si="1"/>
        <v>1005050000</v>
      </c>
    </row>
    <row r="24" spans="1:7" s="451" customFormat="1" ht="12" customHeight="1" thickBot="1">
      <c r="A24" s="444" t="s">
        <v>107</v>
      </c>
      <c r="B24" s="8" t="s">
        <v>525</v>
      </c>
      <c r="C24" s="308"/>
      <c r="D24" s="708"/>
      <c r="E24" s="715">
        <f t="shared" si="0"/>
        <v>0</v>
      </c>
      <c r="F24" s="708"/>
      <c r="G24" s="715">
        <f t="shared" si="1"/>
        <v>0</v>
      </c>
    </row>
    <row r="25" spans="1:7" s="451" customFormat="1" ht="12" customHeight="1" thickBot="1">
      <c r="A25" s="193" t="s">
        <v>20</v>
      </c>
      <c r="B25" s="118" t="s">
        <v>174</v>
      </c>
      <c r="C25" s="336"/>
      <c r="D25" s="710"/>
      <c r="E25" s="712">
        <f t="shared" si="0"/>
        <v>0</v>
      </c>
      <c r="F25" s="710"/>
      <c r="G25" s="712">
        <f t="shared" si="1"/>
        <v>0</v>
      </c>
    </row>
    <row r="26" spans="1:7" s="451" customFormat="1" ht="12" customHeight="1" thickBot="1">
      <c r="A26" s="193" t="s">
        <v>21</v>
      </c>
      <c r="B26" s="118" t="s">
        <v>404</v>
      </c>
      <c r="C26" s="310">
        <f>+C27+C28</f>
        <v>0</v>
      </c>
      <c r="D26" s="710"/>
      <c r="E26" s="712">
        <f t="shared" si="0"/>
        <v>0</v>
      </c>
      <c r="F26" s="710"/>
      <c r="G26" s="712">
        <f t="shared" si="1"/>
        <v>0</v>
      </c>
    </row>
    <row r="27" spans="1:7" s="451" customFormat="1" ht="12" customHeight="1">
      <c r="A27" s="445" t="s">
        <v>268</v>
      </c>
      <c r="B27" s="446" t="s">
        <v>402</v>
      </c>
      <c r="C27" s="69"/>
      <c r="D27" s="709"/>
      <c r="E27" s="713">
        <f t="shared" si="0"/>
        <v>0</v>
      </c>
      <c r="F27" s="709"/>
      <c r="G27" s="713">
        <f t="shared" si="1"/>
        <v>0</v>
      </c>
    </row>
    <row r="28" spans="1:7" s="451" customFormat="1" ht="12" customHeight="1">
      <c r="A28" s="445" t="s">
        <v>269</v>
      </c>
      <c r="B28" s="447" t="s">
        <v>405</v>
      </c>
      <c r="C28" s="311"/>
      <c r="D28" s="707"/>
      <c r="E28" s="714">
        <f t="shared" si="0"/>
        <v>0</v>
      </c>
      <c r="F28" s="707"/>
      <c r="G28" s="714">
        <f t="shared" si="1"/>
        <v>0</v>
      </c>
    </row>
    <row r="29" spans="1:7" s="451" customFormat="1" ht="12" customHeight="1" thickBot="1">
      <c r="A29" s="444" t="s">
        <v>270</v>
      </c>
      <c r="B29" s="135" t="s">
        <v>526</v>
      </c>
      <c r="C29" s="76"/>
      <c r="D29" s="708"/>
      <c r="E29" s="722">
        <f t="shared" si="0"/>
        <v>0</v>
      </c>
      <c r="F29" s="708"/>
      <c r="G29" s="722">
        <f t="shared" si="1"/>
        <v>0</v>
      </c>
    </row>
    <row r="30" spans="1:7" s="451" customFormat="1" ht="12" customHeight="1" thickBot="1">
      <c r="A30" s="193" t="s">
        <v>22</v>
      </c>
      <c r="B30" s="118" t="s">
        <v>406</v>
      </c>
      <c r="C30" s="310">
        <f>+C31+C32+C33</f>
        <v>0</v>
      </c>
      <c r="D30" s="710"/>
      <c r="E30" s="712">
        <f t="shared" si="0"/>
        <v>0</v>
      </c>
      <c r="F30" s="710"/>
      <c r="G30" s="712">
        <f t="shared" si="1"/>
        <v>0</v>
      </c>
    </row>
    <row r="31" spans="1:7" s="451" customFormat="1" ht="12" customHeight="1">
      <c r="A31" s="445" t="s">
        <v>91</v>
      </c>
      <c r="B31" s="446" t="s">
        <v>291</v>
      </c>
      <c r="C31" s="69"/>
      <c r="D31" s="723"/>
      <c r="E31" s="724">
        <f t="shared" si="0"/>
        <v>0</v>
      </c>
      <c r="F31" s="723"/>
      <c r="G31" s="724">
        <f t="shared" si="1"/>
        <v>0</v>
      </c>
    </row>
    <row r="32" spans="1:7" s="451" customFormat="1" ht="12" customHeight="1">
      <c r="A32" s="445" t="s">
        <v>92</v>
      </c>
      <c r="B32" s="447" t="s">
        <v>292</v>
      </c>
      <c r="C32" s="311"/>
      <c r="D32" s="709"/>
      <c r="E32" s="717">
        <f t="shared" si="0"/>
        <v>0</v>
      </c>
      <c r="F32" s="709"/>
      <c r="G32" s="717">
        <f t="shared" si="1"/>
        <v>0</v>
      </c>
    </row>
    <row r="33" spans="1:7" s="451" customFormat="1" ht="12" customHeight="1" thickBot="1">
      <c r="A33" s="444" t="s">
        <v>93</v>
      </c>
      <c r="B33" s="135" t="s">
        <v>293</v>
      </c>
      <c r="C33" s="76"/>
      <c r="D33" s="708"/>
      <c r="E33" s="722">
        <f t="shared" si="0"/>
        <v>0</v>
      </c>
      <c r="F33" s="708"/>
      <c r="G33" s="722">
        <f t="shared" si="1"/>
        <v>0</v>
      </c>
    </row>
    <row r="34" spans="1:7" s="361" customFormat="1" ht="12" customHeight="1" thickBot="1">
      <c r="A34" s="193" t="s">
        <v>23</v>
      </c>
      <c r="B34" s="118" t="s">
        <v>376</v>
      </c>
      <c r="C34" s="336"/>
      <c r="D34" s="710"/>
      <c r="E34" s="712">
        <f t="shared" si="0"/>
        <v>0</v>
      </c>
      <c r="F34" s="710"/>
      <c r="G34" s="712">
        <f t="shared" si="1"/>
        <v>0</v>
      </c>
    </row>
    <row r="35" spans="1:7" s="361" customFormat="1" ht="12" customHeight="1" thickBot="1">
      <c r="A35" s="193" t="s">
        <v>24</v>
      </c>
      <c r="B35" s="118" t="s">
        <v>407</v>
      </c>
      <c r="C35" s="353"/>
      <c r="D35" s="710"/>
      <c r="E35" s="712">
        <f t="shared" si="0"/>
        <v>0</v>
      </c>
      <c r="F35" s="710"/>
      <c r="G35" s="712">
        <f t="shared" si="1"/>
        <v>0</v>
      </c>
    </row>
    <row r="36" spans="1:7" s="361" customFormat="1" ht="12" customHeight="1" thickBot="1">
      <c r="A36" s="185" t="s">
        <v>25</v>
      </c>
      <c r="B36" s="118" t="s">
        <v>527</v>
      </c>
      <c r="C36" s="354">
        <f>+C8+C20+C25+C26+C30+C34+C35</f>
        <v>1024550000</v>
      </c>
      <c r="D36" s="710">
        <f>SUM(D8+D20+D25+D26+D30+D34+D35)</f>
        <v>0</v>
      </c>
      <c r="E36" s="712">
        <f t="shared" si="0"/>
        <v>1024550000</v>
      </c>
      <c r="F36" s="710">
        <f>SUM(F8+F20+F25+F26+F30+F34+F35)</f>
        <v>15000000</v>
      </c>
      <c r="G36" s="712">
        <f t="shared" si="1"/>
        <v>1039550000</v>
      </c>
    </row>
    <row r="37" spans="1:7" s="361" customFormat="1" ht="12" customHeight="1" thickBot="1">
      <c r="A37" s="227" t="s">
        <v>26</v>
      </c>
      <c r="B37" s="118" t="s">
        <v>409</v>
      </c>
      <c r="C37" s="354">
        <f>+C38+C39+C40</f>
        <v>24000000</v>
      </c>
      <c r="D37" s="765">
        <f>SUM(D38:D40)</f>
        <v>25790462</v>
      </c>
      <c r="E37" s="716">
        <f t="shared" si="0"/>
        <v>49790462</v>
      </c>
      <c r="F37" s="765">
        <f>SUM(F38:F40)</f>
        <v>1337512</v>
      </c>
      <c r="G37" s="716">
        <f t="shared" si="1"/>
        <v>51127974</v>
      </c>
    </row>
    <row r="38" spans="1:7" s="361" customFormat="1" ht="12" customHeight="1">
      <c r="A38" s="445" t="s">
        <v>410</v>
      </c>
      <c r="B38" s="446" t="s">
        <v>236</v>
      </c>
      <c r="C38" s="69"/>
      <c r="D38" s="725">
        <v>24196434</v>
      </c>
      <c r="E38" s="726">
        <f t="shared" si="0"/>
        <v>24196434</v>
      </c>
      <c r="F38" s="725"/>
      <c r="G38" s="726">
        <f t="shared" si="1"/>
        <v>24196434</v>
      </c>
    </row>
    <row r="39" spans="1:7" s="361" customFormat="1" ht="12" customHeight="1">
      <c r="A39" s="445" t="s">
        <v>411</v>
      </c>
      <c r="B39" s="447" t="s">
        <v>2</v>
      </c>
      <c r="C39" s="311"/>
      <c r="D39" s="709"/>
      <c r="E39" s="717">
        <f t="shared" si="0"/>
        <v>0</v>
      </c>
      <c r="F39" s="709"/>
      <c r="G39" s="717">
        <f t="shared" si="1"/>
        <v>0</v>
      </c>
    </row>
    <row r="40" spans="1:7" s="451" customFormat="1" ht="12" customHeight="1" thickBot="1">
      <c r="A40" s="444" t="s">
        <v>412</v>
      </c>
      <c r="B40" s="135" t="s">
        <v>413</v>
      </c>
      <c r="C40" s="76">
        <v>24000000</v>
      </c>
      <c r="D40" s="708">
        <v>1594028</v>
      </c>
      <c r="E40" s="722">
        <f t="shared" si="0"/>
        <v>25594028</v>
      </c>
      <c r="F40" s="708">
        <v>1337512</v>
      </c>
      <c r="G40" s="722">
        <f t="shared" si="1"/>
        <v>26931540</v>
      </c>
    </row>
    <row r="41" spans="1:7" s="451" customFormat="1" ht="15.2" customHeight="1" thickBot="1">
      <c r="A41" s="227" t="s">
        <v>27</v>
      </c>
      <c r="B41" s="228" t="s">
        <v>414</v>
      </c>
      <c r="C41" s="357">
        <f>+C36+C37</f>
        <v>1048550000</v>
      </c>
      <c r="D41" s="765">
        <f>SUM(D36+D37)</f>
        <v>25790462</v>
      </c>
      <c r="E41" s="716">
        <f t="shared" si="0"/>
        <v>1074340462</v>
      </c>
      <c r="F41" s="765">
        <f>SUM(F36+F37)</f>
        <v>16337512</v>
      </c>
      <c r="G41" s="716">
        <f t="shared" si="1"/>
        <v>1090677974</v>
      </c>
    </row>
    <row r="42" spans="1:7" s="451" customFormat="1" ht="15.2" customHeight="1">
      <c r="A42" s="229"/>
      <c r="B42" s="230"/>
      <c r="C42" s="355"/>
      <c r="D42" s="727"/>
      <c r="E42" s="728">
        <f t="shared" si="0"/>
        <v>0</v>
      </c>
      <c r="F42" s="727"/>
      <c r="G42" s="728">
        <f t="shared" si="1"/>
        <v>0</v>
      </c>
    </row>
    <row r="43" spans="1:7" ht="13.5" thickBot="1">
      <c r="A43" s="231"/>
      <c r="B43" s="232"/>
      <c r="C43" s="356"/>
    </row>
    <row r="44" spans="1:7" s="450" customFormat="1" ht="16.5" customHeight="1" thickBot="1">
      <c r="A44" s="233"/>
      <c r="B44" s="234" t="s">
        <v>57</v>
      </c>
      <c r="C44" s="357"/>
      <c r="D44" s="705"/>
      <c r="E44" s="706"/>
      <c r="F44" s="705"/>
      <c r="G44" s="706"/>
    </row>
    <row r="45" spans="1:7" s="452" customFormat="1" ht="12" customHeight="1" thickBot="1">
      <c r="A45" s="193" t="s">
        <v>18</v>
      </c>
      <c r="B45" s="118" t="s">
        <v>415</v>
      </c>
      <c r="C45" s="310">
        <f>SUM(C46:C50)</f>
        <v>1035990000</v>
      </c>
      <c r="D45" s="765">
        <f>SUM(D46:D50)</f>
        <v>13090462</v>
      </c>
      <c r="E45" s="716">
        <f>SUM(C45+D45)</f>
        <v>1049080462</v>
      </c>
      <c r="F45" s="765">
        <f>SUM(F46:F50)</f>
        <v>16337512</v>
      </c>
      <c r="G45" s="716">
        <f>SUM(E45+F45)</f>
        <v>1065417974</v>
      </c>
    </row>
    <row r="46" spans="1:7" ht="12" customHeight="1">
      <c r="A46" s="444" t="s">
        <v>98</v>
      </c>
      <c r="B46" s="9" t="s">
        <v>49</v>
      </c>
      <c r="C46" s="69">
        <v>472184000</v>
      </c>
      <c r="D46" s="709">
        <v>7333900</v>
      </c>
      <c r="E46" s="717">
        <f>SUM(C46+D46)</f>
        <v>479517900</v>
      </c>
      <c r="F46" s="709">
        <v>-71865400</v>
      </c>
      <c r="G46" s="717">
        <f>SUM(E46+F46)</f>
        <v>407652500</v>
      </c>
    </row>
    <row r="47" spans="1:7" ht="12" customHeight="1">
      <c r="A47" s="444" t="s">
        <v>99</v>
      </c>
      <c r="B47" s="8" t="s">
        <v>183</v>
      </c>
      <c r="C47" s="72">
        <v>74732000</v>
      </c>
      <c r="D47" s="707">
        <v>260128</v>
      </c>
      <c r="E47" s="717">
        <f t="shared" ref="E47:E60" si="2">SUM(C47+D47)</f>
        <v>74992128</v>
      </c>
      <c r="F47" s="707">
        <v>202912</v>
      </c>
      <c r="G47" s="717">
        <f t="shared" ref="G47:G60" si="3">SUM(E47+F47)</f>
        <v>75195040</v>
      </c>
    </row>
    <row r="48" spans="1:7" ht="12" customHeight="1">
      <c r="A48" s="444" t="s">
        <v>100</v>
      </c>
      <c r="B48" s="8" t="s">
        <v>140</v>
      </c>
      <c r="C48" s="72">
        <v>484038000</v>
      </c>
      <c r="D48" s="707">
        <v>5496434</v>
      </c>
      <c r="E48" s="717">
        <f t="shared" si="2"/>
        <v>489534434</v>
      </c>
      <c r="F48" s="707">
        <v>88000000</v>
      </c>
      <c r="G48" s="717">
        <f t="shared" si="3"/>
        <v>577534434</v>
      </c>
    </row>
    <row r="49" spans="1:7" ht="12" customHeight="1">
      <c r="A49" s="444" t="s">
        <v>101</v>
      </c>
      <c r="B49" s="8" t="s">
        <v>184</v>
      </c>
      <c r="C49" s="72"/>
      <c r="D49" s="707"/>
      <c r="E49" s="717">
        <f t="shared" si="2"/>
        <v>0</v>
      </c>
      <c r="F49" s="707"/>
      <c r="G49" s="717">
        <f t="shared" si="3"/>
        <v>0</v>
      </c>
    </row>
    <row r="50" spans="1:7" ht="12" customHeight="1" thickBot="1">
      <c r="A50" s="444" t="s">
        <v>148</v>
      </c>
      <c r="B50" s="8" t="s">
        <v>185</v>
      </c>
      <c r="C50" s="72">
        <v>5036000</v>
      </c>
      <c r="D50" s="708"/>
      <c r="E50" s="718">
        <f t="shared" si="2"/>
        <v>5036000</v>
      </c>
      <c r="F50" s="708"/>
      <c r="G50" s="718">
        <f t="shared" si="3"/>
        <v>5036000</v>
      </c>
    </row>
    <row r="51" spans="1:7" ht="12" customHeight="1" thickBot="1">
      <c r="A51" s="193" t="s">
        <v>19</v>
      </c>
      <c r="B51" s="118" t="s">
        <v>416</v>
      </c>
      <c r="C51" s="310">
        <f>SUM(C52:C54)</f>
        <v>12560000</v>
      </c>
      <c r="D51" s="765">
        <f>SUM(D52:D54)</f>
        <v>12700000</v>
      </c>
      <c r="E51" s="716">
        <f t="shared" si="2"/>
        <v>25260000</v>
      </c>
      <c r="F51" s="765">
        <f>SUM(F52:F54)</f>
        <v>0</v>
      </c>
      <c r="G51" s="716">
        <f t="shared" si="3"/>
        <v>25260000</v>
      </c>
    </row>
    <row r="52" spans="1:7" s="452" customFormat="1" ht="12" customHeight="1">
      <c r="A52" s="444" t="s">
        <v>104</v>
      </c>
      <c r="B52" s="9" t="s">
        <v>230</v>
      </c>
      <c r="C52" s="69">
        <v>12560000</v>
      </c>
      <c r="D52" s="709">
        <v>12700000</v>
      </c>
      <c r="E52" s="717">
        <f t="shared" si="2"/>
        <v>25260000</v>
      </c>
      <c r="F52" s="709"/>
      <c r="G52" s="717">
        <f t="shared" si="3"/>
        <v>25260000</v>
      </c>
    </row>
    <row r="53" spans="1:7" ht="12" customHeight="1">
      <c r="A53" s="444" t="s">
        <v>105</v>
      </c>
      <c r="B53" s="8" t="s">
        <v>187</v>
      </c>
      <c r="C53" s="72"/>
      <c r="D53" s="707"/>
      <c r="E53" s="717">
        <f t="shared" si="2"/>
        <v>0</v>
      </c>
      <c r="F53" s="707"/>
      <c r="G53" s="717">
        <f t="shared" si="3"/>
        <v>0</v>
      </c>
    </row>
    <row r="54" spans="1:7" ht="12" customHeight="1">
      <c r="A54" s="444" t="s">
        <v>106</v>
      </c>
      <c r="B54" s="8" t="s">
        <v>58</v>
      </c>
      <c r="C54" s="72"/>
      <c r="D54" s="707"/>
      <c r="E54" s="717">
        <f t="shared" si="2"/>
        <v>0</v>
      </c>
      <c r="F54" s="707"/>
      <c r="G54" s="717">
        <f t="shared" si="3"/>
        <v>0</v>
      </c>
    </row>
    <row r="55" spans="1:7" ht="12" customHeight="1" thickBot="1">
      <c r="A55" s="444" t="s">
        <v>107</v>
      </c>
      <c r="B55" s="8" t="s">
        <v>524</v>
      </c>
      <c r="C55" s="72"/>
      <c r="D55" s="708"/>
      <c r="E55" s="718">
        <f t="shared" si="2"/>
        <v>0</v>
      </c>
      <c r="F55" s="708"/>
      <c r="G55" s="718">
        <f t="shared" si="3"/>
        <v>0</v>
      </c>
    </row>
    <row r="56" spans="1:7" ht="15.2" customHeight="1" thickBot="1">
      <c r="A56" s="193" t="s">
        <v>20</v>
      </c>
      <c r="B56" s="118" t="s">
        <v>13</v>
      </c>
      <c r="C56" s="336"/>
      <c r="D56" s="710"/>
      <c r="E56" s="712">
        <f t="shared" si="2"/>
        <v>0</v>
      </c>
      <c r="F56" s="710"/>
      <c r="G56" s="712">
        <f t="shared" si="3"/>
        <v>0</v>
      </c>
    </row>
    <row r="57" spans="1:7" ht="13.5" thickBot="1">
      <c r="A57" s="193" t="s">
        <v>21</v>
      </c>
      <c r="B57" s="235" t="s">
        <v>529</v>
      </c>
      <c r="C57" s="358">
        <f>+C45+C51+C56</f>
        <v>1048550000</v>
      </c>
      <c r="D57" s="765">
        <f>SUM(D45+D51+D56)</f>
        <v>25790462</v>
      </c>
      <c r="E57" s="716">
        <f t="shared" si="2"/>
        <v>1074340462</v>
      </c>
      <c r="F57" s="765">
        <f>SUM(F45+F51+F56)</f>
        <v>16337512</v>
      </c>
      <c r="G57" s="716">
        <f t="shared" si="3"/>
        <v>1090677974</v>
      </c>
    </row>
    <row r="58" spans="1:7" ht="15.2" customHeight="1" thickBot="1">
      <c r="C58" s="623">
        <f>C41-C57</f>
        <v>0</v>
      </c>
      <c r="D58" s="711"/>
      <c r="E58" s="712">
        <f t="shared" si="2"/>
        <v>0</v>
      </c>
      <c r="F58" s="711"/>
      <c r="G58" s="712">
        <f t="shared" si="3"/>
        <v>0</v>
      </c>
    </row>
    <row r="59" spans="1:7" ht="14.45" customHeight="1" thickBot="1">
      <c r="A59" s="238" t="s">
        <v>519</v>
      </c>
      <c r="B59" s="239"/>
      <c r="C59" s="115">
        <v>103</v>
      </c>
      <c r="D59" s="710"/>
      <c r="E59" s="716">
        <f t="shared" si="2"/>
        <v>103</v>
      </c>
      <c r="F59" s="710"/>
      <c r="G59" s="716">
        <f t="shared" si="3"/>
        <v>103</v>
      </c>
    </row>
    <row r="60" spans="1:7" ht="13.5" thickBot="1">
      <c r="A60" s="238" t="s">
        <v>206</v>
      </c>
      <c r="B60" s="239"/>
      <c r="C60" s="115"/>
      <c r="D60" s="710"/>
      <c r="E60" s="712">
        <f t="shared" si="2"/>
        <v>0</v>
      </c>
      <c r="F60" s="710"/>
      <c r="G60" s="712">
        <f t="shared" si="3"/>
        <v>0</v>
      </c>
    </row>
  </sheetData>
  <sheetProtection formatCells="0"/>
  <printOptions horizontalCentered="1"/>
  <pageMargins left="0.78740157480314965" right="0.78740157480314965" top="0.98425196850393704" bottom="0.98425196850393704" header="0.78740157480314965" footer="0.78740157480314965"/>
  <pageSetup paperSize="8" scale="80" orientation="landscape" verticalDpi="300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E3" sqref="E3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16384" width="9.33203125" style="237"/>
  </cols>
  <sheetData>
    <row r="1" spans="1:3" s="217" customFormat="1" ht="21.2" customHeight="1" thickBot="1">
      <c r="A1" s="216"/>
      <c r="B1" s="218"/>
      <c r="C1" s="588" t="str">
        <f ca="1">CONCATENATE("9.6.1. melléklet ",ALAPADATOK!A7," ",ALAPADATOK!B7," ",ALAPADATOK!C7," ",ALAPADATOK!D7," ",ALAPADATOK!E7," ",ALAPADATOK!F7," ",ALAPADATOK!G7," ",ALAPADATOK!H7)</f>
        <v>9.6.1. melléklet a … / 2019 ( … ) önkormányzati rendelethez</v>
      </c>
    </row>
    <row r="2" spans="1:3" s="448" customFormat="1" ht="36">
      <c r="A2" s="400" t="s">
        <v>204</v>
      </c>
      <c r="B2" s="586" t="str">
        <f ca="1">CONCATENATE(KV_9.6.sz.mell!B2)</f>
        <v>Dr. Halász Géza Szakorvosi Rendelőintézet</v>
      </c>
      <c r="C2" s="359" t="s">
        <v>607</v>
      </c>
    </row>
    <row r="3" spans="1:3" s="448" customFormat="1" ht="24.75" thickBot="1">
      <c r="A3" s="442" t="s">
        <v>203</v>
      </c>
      <c r="B3" s="587" t="s">
        <v>417</v>
      </c>
      <c r="C3" s="360" t="s">
        <v>59</v>
      </c>
    </row>
    <row r="4" spans="1:3" s="449" customFormat="1" ht="15.95" customHeight="1" thickBot="1">
      <c r="A4" s="219"/>
      <c r="B4" s="219"/>
      <c r="C4" s="220" t="str">
        <f ca="1">KV_9.6.sz.mell!C4</f>
        <v/>
      </c>
    </row>
    <row r="5" spans="1:3" ht="13.5" thickBot="1">
      <c r="A5" s="401" t="s">
        <v>205</v>
      </c>
      <c r="B5" s="221" t="s">
        <v>563</v>
      </c>
      <c r="C5" s="222" t="s">
        <v>55</v>
      </c>
    </row>
    <row r="6" spans="1:3" s="450" customFormat="1" ht="12.95" customHeight="1" thickBot="1">
      <c r="A6" s="185"/>
      <c r="B6" s="186" t="s">
        <v>493</v>
      </c>
      <c r="C6" s="187" t="s">
        <v>494</v>
      </c>
    </row>
    <row r="7" spans="1:3" s="450" customFormat="1" ht="15.95" customHeight="1" thickBot="1">
      <c r="A7" s="223"/>
      <c r="B7" s="224" t="s">
        <v>56</v>
      </c>
      <c r="C7" s="225"/>
    </row>
    <row r="8" spans="1:3" s="361" customFormat="1" ht="12" customHeight="1" thickBot="1">
      <c r="A8" s="185" t="s">
        <v>18</v>
      </c>
      <c r="B8" s="226" t="s">
        <v>520</v>
      </c>
      <c r="C8" s="310">
        <f>SUM(C9:C19)</f>
        <v>0</v>
      </c>
    </row>
    <row r="9" spans="1:3" s="361" customFormat="1" ht="12" customHeight="1">
      <c r="A9" s="443" t="s">
        <v>98</v>
      </c>
      <c r="B9" s="10" t="s">
        <v>277</v>
      </c>
      <c r="C9" s="351"/>
    </row>
    <row r="10" spans="1:3" s="361" customFormat="1" ht="12" customHeight="1">
      <c r="A10" s="444" t="s">
        <v>99</v>
      </c>
      <c r="B10" s="8" t="s">
        <v>278</v>
      </c>
      <c r="C10" s="308"/>
    </row>
    <row r="11" spans="1:3" s="361" customFormat="1" ht="12" customHeight="1">
      <c r="A11" s="444" t="s">
        <v>100</v>
      </c>
      <c r="B11" s="8" t="s">
        <v>279</v>
      </c>
      <c r="C11" s="308"/>
    </row>
    <row r="12" spans="1:3" s="361" customFormat="1" ht="12" customHeight="1">
      <c r="A12" s="444" t="s">
        <v>101</v>
      </c>
      <c r="B12" s="8" t="s">
        <v>280</v>
      </c>
      <c r="C12" s="308"/>
    </row>
    <row r="13" spans="1:3" s="361" customFormat="1" ht="12" customHeight="1">
      <c r="A13" s="444" t="s">
        <v>148</v>
      </c>
      <c r="B13" s="8" t="s">
        <v>281</v>
      </c>
      <c r="C13" s="308"/>
    </row>
    <row r="14" spans="1:3" s="361" customFormat="1" ht="12" customHeight="1">
      <c r="A14" s="444" t="s">
        <v>102</v>
      </c>
      <c r="B14" s="8" t="s">
        <v>399</v>
      </c>
      <c r="C14" s="308"/>
    </row>
    <row r="15" spans="1:3" s="361" customFormat="1" ht="12" customHeight="1">
      <c r="A15" s="444" t="s">
        <v>103</v>
      </c>
      <c r="B15" s="7" t="s">
        <v>400</v>
      </c>
      <c r="C15" s="308"/>
    </row>
    <row r="16" spans="1:3" s="361" customFormat="1" ht="12" customHeight="1">
      <c r="A16" s="444" t="s">
        <v>113</v>
      </c>
      <c r="B16" s="8" t="s">
        <v>284</v>
      </c>
      <c r="C16" s="352"/>
    </row>
    <row r="17" spans="1:3" s="451" customFormat="1" ht="12" customHeight="1">
      <c r="A17" s="444" t="s">
        <v>114</v>
      </c>
      <c r="B17" s="8" t="s">
        <v>285</v>
      </c>
      <c r="C17" s="308"/>
    </row>
    <row r="18" spans="1:3" s="451" customFormat="1" ht="12" customHeight="1">
      <c r="A18" s="444" t="s">
        <v>115</v>
      </c>
      <c r="B18" s="8" t="s">
        <v>436</v>
      </c>
      <c r="C18" s="309"/>
    </row>
    <row r="19" spans="1:3" s="451" customFormat="1" ht="12" customHeight="1" thickBot="1">
      <c r="A19" s="444" t="s">
        <v>116</v>
      </c>
      <c r="B19" s="7" t="s">
        <v>286</v>
      </c>
      <c r="C19" s="309"/>
    </row>
    <row r="20" spans="1:3" s="361" customFormat="1" ht="12" customHeight="1" thickBot="1">
      <c r="A20" s="185" t="s">
        <v>19</v>
      </c>
      <c r="B20" s="226" t="s">
        <v>401</v>
      </c>
      <c r="C20" s="310">
        <f>SUM(C21:C23)</f>
        <v>0</v>
      </c>
    </row>
    <row r="21" spans="1:3" s="451" customFormat="1" ht="12" customHeight="1">
      <c r="A21" s="444" t="s">
        <v>104</v>
      </c>
      <c r="B21" s="9" t="s">
        <v>258</v>
      </c>
      <c r="C21" s="308"/>
    </row>
    <row r="22" spans="1:3" s="451" customFormat="1" ht="12" customHeight="1">
      <c r="A22" s="444" t="s">
        <v>105</v>
      </c>
      <c r="B22" s="8" t="s">
        <v>402</v>
      </c>
      <c r="C22" s="308"/>
    </row>
    <row r="23" spans="1:3" s="451" customFormat="1" ht="12" customHeight="1">
      <c r="A23" s="444" t="s">
        <v>106</v>
      </c>
      <c r="B23" s="8" t="s">
        <v>403</v>
      </c>
      <c r="C23" s="308"/>
    </row>
    <row r="24" spans="1:3" s="451" customFormat="1" ht="12" customHeight="1" thickBot="1">
      <c r="A24" s="444" t="s">
        <v>107</v>
      </c>
      <c r="B24" s="8" t="s">
        <v>525</v>
      </c>
      <c r="C24" s="308"/>
    </row>
    <row r="25" spans="1:3" s="451" customFormat="1" ht="12" customHeight="1" thickBot="1">
      <c r="A25" s="193" t="s">
        <v>20</v>
      </c>
      <c r="B25" s="118" t="s">
        <v>174</v>
      </c>
      <c r="C25" s="336"/>
    </row>
    <row r="26" spans="1:3" s="451" customFormat="1" ht="12" customHeight="1" thickBot="1">
      <c r="A26" s="193" t="s">
        <v>21</v>
      </c>
      <c r="B26" s="118" t="s">
        <v>404</v>
      </c>
      <c r="C26" s="310">
        <f>+C27+C28</f>
        <v>0</v>
      </c>
    </row>
    <row r="27" spans="1:3" s="451" customFormat="1" ht="12" customHeight="1">
      <c r="A27" s="445" t="s">
        <v>268</v>
      </c>
      <c r="B27" s="446" t="s">
        <v>402</v>
      </c>
      <c r="C27" s="69"/>
    </row>
    <row r="28" spans="1:3" s="451" customFormat="1" ht="12" customHeight="1">
      <c r="A28" s="445" t="s">
        <v>269</v>
      </c>
      <c r="B28" s="447" t="s">
        <v>405</v>
      </c>
      <c r="C28" s="311"/>
    </row>
    <row r="29" spans="1:3" s="451" customFormat="1" ht="12" customHeight="1" thickBot="1">
      <c r="A29" s="444" t="s">
        <v>270</v>
      </c>
      <c r="B29" s="135" t="s">
        <v>526</v>
      </c>
      <c r="C29" s="76"/>
    </row>
    <row r="30" spans="1:3" s="451" customFormat="1" ht="12" customHeight="1" thickBot="1">
      <c r="A30" s="193" t="s">
        <v>22</v>
      </c>
      <c r="B30" s="118" t="s">
        <v>406</v>
      </c>
      <c r="C30" s="310">
        <f>+C31+C32+C33</f>
        <v>0</v>
      </c>
    </row>
    <row r="31" spans="1:3" s="451" customFormat="1" ht="12" customHeight="1">
      <c r="A31" s="445" t="s">
        <v>91</v>
      </c>
      <c r="B31" s="446" t="s">
        <v>291</v>
      </c>
      <c r="C31" s="69"/>
    </row>
    <row r="32" spans="1:3" s="451" customFormat="1" ht="12" customHeight="1">
      <c r="A32" s="445" t="s">
        <v>92</v>
      </c>
      <c r="B32" s="447" t="s">
        <v>292</v>
      </c>
      <c r="C32" s="311"/>
    </row>
    <row r="33" spans="1:3" s="451" customFormat="1" ht="12" customHeight="1" thickBot="1">
      <c r="A33" s="444" t="s">
        <v>93</v>
      </c>
      <c r="B33" s="135" t="s">
        <v>293</v>
      </c>
      <c r="C33" s="76"/>
    </row>
    <row r="34" spans="1:3" s="361" customFormat="1" ht="12" customHeight="1" thickBot="1">
      <c r="A34" s="193" t="s">
        <v>23</v>
      </c>
      <c r="B34" s="118" t="s">
        <v>376</v>
      </c>
      <c r="C34" s="336"/>
    </row>
    <row r="35" spans="1:3" s="361" customFormat="1" ht="12" customHeight="1" thickBot="1">
      <c r="A35" s="193" t="s">
        <v>24</v>
      </c>
      <c r="B35" s="118" t="s">
        <v>407</v>
      </c>
      <c r="C35" s="353"/>
    </row>
    <row r="36" spans="1:3" s="361" customFormat="1" ht="12" customHeight="1" thickBot="1">
      <c r="A36" s="185" t="s">
        <v>25</v>
      </c>
      <c r="B36" s="118" t="s">
        <v>527</v>
      </c>
      <c r="C36" s="354">
        <f>+C8+C20+C25+C26+C30+C34+C35</f>
        <v>0</v>
      </c>
    </row>
    <row r="37" spans="1:3" s="361" customFormat="1" ht="12" customHeight="1" thickBot="1">
      <c r="A37" s="227" t="s">
        <v>26</v>
      </c>
      <c r="B37" s="118" t="s">
        <v>409</v>
      </c>
      <c r="C37" s="354">
        <f>+C38+C39+C40</f>
        <v>0</v>
      </c>
    </row>
    <row r="38" spans="1:3" s="361" customFormat="1" ht="12" customHeight="1">
      <c r="A38" s="445" t="s">
        <v>410</v>
      </c>
      <c r="B38" s="446" t="s">
        <v>236</v>
      </c>
      <c r="C38" s="69"/>
    </row>
    <row r="39" spans="1:3" s="361" customFormat="1" ht="12" customHeight="1">
      <c r="A39" s="445" t="s">
        <v>411</v>
      </c>
      <c r="B39" s="447" t="s">
        <v>2</v>
      </c>
      <c r="C39" s="311"/>
    </row>
    <row r="40" spans="1:3" s="451" customFormat="1" ht="12" customHeight="1" thickBot="1">
      <c r="A40" s="444" t="s">
        <v>412</v>
      </c>
      <c r="B40" s="135" t="s">
        <v>413</v>
      </c>
      <c r="C40" s="76"/>
    </row>
    <row r="41" spans="1:3" s="451" customFormat="1" ht="15.2" customHeight="1" thickBot="1">
      <c r="A41" s="227" t="s">
        <v>27</v>
      </c>
      <c r="B41" s="228" t="s">
        <v>414</v>
      </c>
      <c r="C41" s="357">
        <f>+C36+C37</f>
        <v>0</v>
      </c>
    </row>
    <row r="42" spans="1:3" s="451" customFormat="1" ht="15.2" customHeight="1">
      <c r="A42" s="229"/>
      <c r="B42" s="230"/>
      <c r="C42" s="355"/>
    </row>
    <row r="43" spans="1:3" ht="13.5" thickBot="1">
      <c r="A43" s="231"/>
      <c r="B43" s="232"/>
      <c r="C43" s="356"/>
    </row>
    <row r="44" spans="1:3" s="450" customFormat="1" ht="16.5" customHeight="1" thickBot="1">
      <c r="A44" s="233"/>
      <c r="B44" s="234" t="s">
        <v>57</v>
      </c>
      <c r="C44" s="357"/>
    </row>
    <row r="45" spans="1:3" s="452" customFormat="1" ht="12" customHeight="1" thickBot="1">
      <c r="A45" s="193" t="s">
        <v>18</v>
      </c>
      <c r="B45" s="118" t="s">
        <v>415</v>
      </c>
      <c r="C45" s="310">
        <f>SUM(C46:C50)</f>
        <v>0</v>
      </c>
    </row>
    <row r="46" spans="1:3" ht="12" customHeight="1">
      <c r="A46" s="444" t="s">
        <v>98</v>
      </c>
      <c r="B46" s="9" t="s">
        <v>49</v>
      </c>
      <c r="C46" s="69"/>
    </row>
    <row r="47" spans="1:3" ht="12" customHeight="1">
      <c r="A47" s="444" t="s">
        <v>99</v>
      </c>
      <c r="B47" s="8" t="s">
        <v>183</v>
      </c>
      <c r="C47" s="72"/>
    </row>
    <row r="48" spans="1:3" ht="12" customHeight="1">
      <c r="A48" s="444" t="s">
        <v>100</v>
      </c>
      <c r="B48" s="8" t="s">
        <v>140</v>
      </c>
      <c r="C48" s="72"/>
    </row>
    <row r="49" spans="1:3" ht="12" customHeight="1">
      <c r="A49" s="444" t="s">
        <v>101</v>
      </c>
      <c r="B49" s="8" t="s">
        <v>184</v>
      </c>
      <c r="C49" s="72"/>
    </row>
    <row r="50" spans="1:3" ht="12" customHeight="1" thickBot="1">
      <c r="A50" s="444" t="s">
        <v>148</v>
      </c>
      <c r="B50" s="8" t="s">
        <v>185</v>
      </c>
      <c r="C50" s="72"/>
    </row>
    <row r="51" spans="1:3" ht="12" customHeight="1" thickBot="1">
      <c r="A51" s="193" t="s">
        <v>19</v>
      </c>
      <c r="B51" s="118" t="s">
        <v>416</v>
      </c>
      <c r="C51" s="310">
        <f>SUM(C52:C54)</f>
        <v>0</v>
      </c>
    </row>
    <row r="52" spans="1:3" s="452" customFormat="1" ht="12" customHeight="1">
      <c r="A52" s="444" t="s">
        <v>104</v>
      </c>
      <c r="B52" s="9" t="s">
        <v>230</v>
      </c>
      <c r="C52" s="69"/>
    </row>
    <row r="53" spans="1:3" ht="12" customHeight="1">
      <c r="A53" s="444" t="s">
        <v>105</v>
      </c>
      <c r="B53" s="8" t="s">
        <v>187</v>
      </c>
      <c r="C53" s="72"/>
    </row>
    <row r="54" spans="1:3" ht="12" customHeight="1">
      <c r="A54" s="444" t="s">
        <v>106</v>
      </c>
      <c r="B54" s="8" t="s">
        <v>58</v>
      </c>
      <c r="C54" s="72"/>
    </row>
    <row r="55" spans="1:3" ht="12" customHeight="1" thickBot="1">
      <c r="A55" s="444" t="s">
        <v>107</v>
      </c>
      <c r="B55" s="8" t="s">
        <v>524</v>
      </c>
      <c r="C55" s="72"/>
    </row>
    <row r="56" spans="1:3" ht="15.2" customHeight="1" thickBot="1">
      <c r="A56" s="193" t="s">
        <v>20</v>
      </c>
      <c r="B56" s="118" t="s">
        <v>13</v>
      </c>
      <c r="C56" s="336"/>
    </row>
    <row r="57" spans="1:3" ht="13.5" thickBot="1">
      <c r="A57" s="193" t="s">
        <v>21</v>
      </c>
      <c r="B57" s="235" t="s">
        <v>529</v>
      </c>
      <c r="C57" s="358">
        <f>+C45+C51+C56</f>
        <v>0</v>
      </c>
    </row>
    <row r="58" spans="1:3" ht="15.2" customHeight="1" thickBot="1">
      <c r="C58" s="623">
        <f>C41-C57</f>
        <v>0</v>
      </c>
    </row>
    <row r="59" spans="1:3" ht="14.45" customHeight="1" thickBot="1">
      <c r="A59" s="238" t="s">
        <v>519</v>
      </c>
      <c r="B59" s="239"/>
      <c r="C59" s="115"/>
    </row>
    <row r="60" spans="1:3" ht="13.5" thickBot="1">
      <c r="A60" s="238" t="s">
        <v>206</v>
      </c>
      <c r="B60" s="239"/>
      <c r="C60" s="115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E3" sqref="E3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16384" width="9.33203125" style="237"/>
  </cols>
  <sheetData>
    <row r="1" spans="1:3" s="217" customFormat="1" ht="21.2" customHeight="1" thickBot="1">
      <c r="A1" s="216"/>
      <c r="B1" s="218"/>
      <c r="C1" s="588" t="str">
        <f ca="1">CONCATENATE("9.6.2. melléklet ",ALAPADATOK!A7," ",ALAPADATOK!B7," ",ALAPADATOK!C7," ",ALAPADATOK!D7," ",ALAPADATOK!E7," ",ALAPADATOK!F7," ",ALAPADATOK!G7," ",ALAPADATOK!H7)</f>
        <v>9.6.2. melléklet a … / 2019 ( … ) önkormányzati rendelethez</v>
      </c>
    </row>
    <row r="2" spans="1:3" s="448" customFormat="1" ht="36">
      <c r="A2" s="400" t="s">
        <v>204</v>
      </c>
      <c r="B2" s="586" t="str">
        <f ca="1">CONCATENATE(KV_9.6.1.sz.mell!B2)</f>
        <v>Dr. Halász Géza Szakorvosi Rendelőintézet</v>
      </c>
      <c r="C2" s="359" t="s">
        <v>607</v>
      </c>
    </row>
    <row r="3" spans="1:3" s="448" customFormat="1" ht="24.75" thickBot="1">
      <c r="A3" s="442" t="s">
        <v>203</v>
      </c>
      <c r="B3" s="587" t="s">
        <v>418</v>
      </c>
      <c r="C3" s="360" t="s">
        <v>60</v>
      </c>
    </row>
    <row r="4" spans="1:3" s="449" customFormat="1" ht="15.95" customHeight="1" thickBot="1">
      <c r="A4" s="219"/>
      <c r="B4" s="219"/>
      <c r="C4" s="220" t="str">
        <f ca="1">KV_9.6.1.sz.mell!C4</f>
        <v/>
      </c>
    </row>
    <row r="5" spans="1:3" ht="13.5" thickBot="1">
      <c r="A5" s="401" t="s">
        <v>205</v>
      </c>
      <c r="B5" s="221" t="s">
        <v>563</v>
      </c>
      <c r="C5" s="222" t="s">
        <v>55</v>
      </c>
    </row>
    <row r="6" spans="1:3" s="450" customFormat="1" ht="12.95" customHeight="1" thickBot="1">
      <c r="A6" s="185"/>
      <c r="B6" s="186" t="s">
        <v>493</v>
      </c>
      <c r="C6" s="187" t="s">
        <v>494</v>
      </c>
    </row>
    <row r="7" spans="1:3" s="450" customFormat="1" ht="15.95" customHeight="1" thickBot="1">
      <c r="A7" s="223"/>
      <c r="B7" s="224" t="s">
        <v>56</v>
      </c>
      <c r="C7" s="225"/>
    </row>
    <row r="8" spans="1:3" s="361" customFormat="1" ht="12" customHeight="1" thickBot="1">
      <c r="A8" s="185" t="s">
        <v>18</v>
      </c>
      <c r="B8" s="226" t="s">
        <v>520</v>
      </c>
      <c r="C8" s="310">
        <f>SUM(C9:C19)</f>
        <v>0</v>
      </c>
    </row>
    <row r="9" spans="1:3" s="361" customFormat="1" ht="12" customHeight="1">
      <c r="A9" s="443" t="s">
        <v>98</v>
      </c>
      <c r="B9" s="10" t="s">
        <v>277</v>
      </c>
      <c r="C9" s="351"/>
    </row>
    <row r="10" spans="1:3" s="361" customFormat="1" ht="12" customHeight="1">
      <c r="A10" s="444" t="s">
        <v>99</v>
      </c>
      <c r="B10" s="8" t="s">
        <v>278</v>
      </c>
      <c r="C10" s="308"/>
    </row>
    <row r="11" spans="1:3" s="361" customFormat="1" ht="12" customHeight="1">
      <c r="A11" s="444" t="s">
        <v>100</v>
      </c>
      <c r="B11" s="8" t="s">
        <v>279</v>
      </c>
      <c r="C11" s="308"/>
    </row>
    <row r="12" spans="1:3" s="361" customFormat="1" ht="12" customHeight="1">
      <c r="A12" s="444" t="s">
        <v>101</v>
      </c>
      <c r="B12" s="8" t="s">
        <v>280</v>
      </c>
      <c r="C12" s="308"/>
    </row>
    <row r="13" spans="1:3" s="361" customFormat="1" ht="12" customHeight="1">
      <c r="A13" s="444" t="s">
        <v>148</v>
      </c>
      <c r="B13" s="8" t="s">
        <v>281</v>
      </c>
      <c r="C13" s="308"/>
    </row>
    <row r="14" spans="1:3" s="361" customFormat="1" ht="12" customHeight="1">
      <c r="A14" s="444" t="s">
        <v>102</v>
      </c>
      <c r="B14" s="8" t="s">
        <v>399</v>
      </c>
      <c r="C14" s="308"/>
    </row>
    <row r="15" spans="1:3" s="361" customFormat="1" ht="12" customHeight="1">
      <c r="A15" s="444" t="s">
        <v>103</v>
      </c>
      <c r="B15" s="7" t="s">
        <v>400</v>
      </c>
      <c r="C15" s="308"/>
    </row>
    <row r="16" spans="1:3" s="361" customFormat="1" ht="12" customHeight="1">
      <c r="A16" s="444" t="s">
        <v>113</v>
      </c>
      <c r="B16" s="8" t="s">
        <v>284</v>
      </c>
      <c r="C16" s="352"/>
    </row>
    <row r="17" spans="1:3" s="451" customFormat="1" ht="12" customHeight="1">
      <c r="A17" s="444" t="s">
        <v>114</v>
      </c>
      <c r="B17" s="8" t="s">
        <v>285</v>
      </c>
      <c r="C17" s="308"/>
    </row>
    <row r="18" spans="1:3" s="451" customFormat="1" ht="12" customHeight="1">
      <c r="A18" s="444" t="s">
        <v>115</v>
      </c>
      <c r="B18" s="8" t="s">
        <v>436</v>
      </c>
      <c r="C18" s="309"/>
    </row>
    <row r="19" spans="1:3" s="451" customFormat="1" ht="12" customHeight="1" thickBot="1">
      <c r="A19" s="444" t="s">
        <v>116</v>
      </c>
      <c r="B19" s="7" t="s">
        <v>286</v>
      </c>
      <c r="C19" s="309"/>
    </row>
    <row r="20" spans="1:3" s="361" customFormat="1" ht="12" customHeight="1" thickBot="1">
      <c r="A20" s="185" t="s">
        <v>19</v>
      </c>
      <c r="B20" s="226" t="s">
        <v>401</v>
      </c>
      <c r="C20" s="310">
        <f>SUM(C21:C23)</f>
        <v>0</v>
      </c>
    </row>
    <row r="21" spans="1:3" s="451" customFormat="1" ht="12" customHeight="1">
      <c r="A21" s="444" t="s">
        <v>104</v>
      </c>
      <c r="B21" s="9" t="s">
        <v>258</v>
      </c>
      <c r="C21" s="308"/>
    </row>
    <row r="22" spans="1:3" s="451" customFormat="1" ht="12" customHeight="1">
      <c r="A22" s="444" t="s">
        <v>105</v>
      </c>
      <c r="B22" s="8" t="s">
        <v>402</v>
      </c>
      <c r="C22" s="308"/>
    </row>
    <row r="23" spans="1:3" s="451" customFormat="1" ht="12" customHeight="1">
      <c r="A23" s="444" t="s">
        <v>106</v>
      </c>
      <c r="B23" s="8" t="s">
        <v>403</v>
      </c>
      <c r="C23" s="308"/>
    </row>
    <row r="24" spans="1:3" s="451" customFormat="1" ht="12" customHeight="1" thickBot="1">
      <c r="A24" s="444" t="s">
        <v>107</v>
      </c>
      <c r="B24" s="8" t="s">
        <v>525</v>
      </c>
      <c r="C24" s="308"/>
    </row>
    <row r="25" spans="1:3" s="451" customFormat="1" ht="12" customHeight="1" thickBot="1">
      <c r="A25" s="193" t="s">
        <v>20</v>
      </c>
      <c r="B25" s="118" t="s">
        <v>174</v>
      </c>
      <c r="C25" s="336"/>
    </row>
    <row r="26" spans="1:3" s="451" customFormat="1" ht="12" customHeight="1" thickBot="1">
      <c r="A26" s="193" t="s">
        <v>21</v>
      </c>
      <c r="B26" s="118" t="s">
        <v>404</v>
      </c>
      <c r="C26" s="310">
        <f>+C27+C28</f>
        <v>0</v>
      </c>
    </row>
    <row r="27" spans="1:3" s="451" customFormat="1" ht="12" customHeight="1">
      <c r="A27" s="445" t="s">
        <v>268</v>
      </c>
      <c r="B27" s="446" t="s">
        <v>402</v>
      </c>
      <c r="C27" s="69"/>
    </row>
    <row r="28" spans="1:3" s="451" customFormat="1" ht="12" customHeight="1">
      <c r="A28" s="445" t="s">
        <v>269</v>
      </c>
      <c r="B28" s="447" t="s">
        <v>405</v>
      </c>
      <c r="C28" s="311"/>
    </row>
    <row r="29" spans="1:3" s="451" customFormat="1" ht="12" customHeight="1" thickBot="1">
      <c r="A29" s="444" t="s">
        <v>270</v>
      </c>
      <c r="B29" s="135" t="s">
        <v>526</v>
      </c>
      <c r="C29" s="76"/>
    </row>
    <row r="30" spans="1:3" s="451" customFormat="1" ht="12" customHeight="1" thickBot="1">
      <c r="A30" s="193" t="s">
        <v>22</v>
      </c>
      <c r="B30" s="118" t="s">
        <v>406</v>
      </c>
      <c r="C30" s="310">
        <f>+C31+C32+C33</f>
        <v>0</v>
      </c>
    </row>
    <row r="31" spans="1:3" s="451" customFormat="1" ht="12" customHeight="1">
      <c r="A31" s="445" t="s">
        <v>91</v>
      </c>
      <c r="B31" s="446" t="s">
        <v>291</v>
      </c>
      <c r="C31" s="69"/>
    </row>
    <row r="32" spans="1:3" s="451" customFormat="1" ht="12" customHeight="1">
      <c r="A32" s="445" t="s">
        <v>92</v>
      </c>
      <c r="B32" s="447" t="s">
        <v>292</v>
      </c>
      <c r="C32" s="311"/>
    </row>
    <row r="33" spans="1:3" s="451" customFormat="1" ht="12" customHeight="1" thickBot="1">
      <c r="A33" s="444" t="s">
        <v>93</v>
      </c>
      <c r="B33" s="135" t="s">
        <v>293</v>
      </c>
      <c r="C33" s="76"/>
    </row>
    <row r="34" spans="1:3" s="361" customFormat="1" ht="12" customHeight="1" thickBot="1">
      <c r="A34" s="193" t="s">
        <v>23</v>
      </c>
      <c r="B34" s="118" t="s">
        <v>376</v>
      </c>
      <c r="C34" s="336"/>
    </row>
    <row r="35" spans="1:3" s="361" customFormat="1" ht="12" customHeight="1" thickBot="1">
      <c r="A35" s="193" t="s">
        <v>24</v>
      </c>
      <c r="B35" s="118" t="s">
        <v>407</v>
      </c>
      <c r="C35" s="353"/>
    </row>
    <row r="36" spans="1:3" s="361" customFormat="1" ht="12" customHeight="1" thickBot="1">
      <c r="A36" s="185" t="s">
        <v>25</v>
      </c>
      <c r="B36" s="118" t="s">
        <v>527</v>
      </c>
      <c r="C36" s="354">
        <f>+C8+C20+C25+C26+C30+C34+C35</f>
        <v>0</v>
      </c>
    </row>
    <row r="37" spans="1:3" s="361" customFormat="1" ht="12" customHeight="1" thickBot="1">
      <c r="A37" s="227" t="s">
        <v>26</v>
      </c>
      <c r="B37" s="118" t="s">
        <v>409</v>
      </c>
      <c r="C37" s="354">
        <f>+C38+C39+C40</f>
        <v>0</v>
      </c>
    </row>
    <row r="38" spans="1:3" s="361" customFormat="1" ht="12" customHeight="1">
      <c r="A38" s="445" t="s">
        <v>410</v>
      </c>
      <c r="B38" s="446" t="s">
        <v>236</v>
      </c>
      <c r="C38" s="69"/>
    </row>
    <row r="39" spans="1:3" s="361" customFormat="1" ht="12" customHeight="1">
      <c r="A39" s="445" t="s">
        <v>411</v>
      </c>
      <c r="B39" s="447" t="s">
        <v>2</v>
      </c>
      <c r="C39" s="311"/>
    </row>
    <row r="40" spans="1:3" s="451" customFormat="1" ht="12" customHeight="1" thickBot="1">
      <c r="A40" s="444" t="s">
        <v>412</v>
      </c>
      <c r="B40" s="135" t="s">
        <v>413</v>
      </c>
      <c r="C40" s="76"/>
    </row>
    <row r="41" spans="1:3" s="451" customFormat="1" ht="15.2" customHeight="1" thickBot="1">
      <c r="A41" s="227" t="s">
        <v>27</v>
      </c>
      <c r="B41" s="228" t="s">
        <v>414</v>
      </c>
      <c r="C41" s="357">
        <f>+C36+C37</f>
        <v>0</v>
      </c>
    </row>
    <row r="42" spans="1:3" s="451" customFormat="1" ht="15.2" customHeight="1">
      <c r="A42" s="229"/>
      <c r="B42" s="230"/>
      <c r="C42" s="355"/>
    </row>
    <row r="43" spans="1:3" ht="13.5" thickBot="1">
      <c r="A43" s="231"/>
      <c r="B43" s="232"/>
      <c r="C43" s="356"/>
    </row>
    <row r="44" spans="1:3" s="450" customFormat="1" ht="16.5" customHeight="1" thickBot="1">
      <c r="A44" s="233"/>
      <c r="B44" s="234" t="s">
        <v>57</v>
      </c>
      <c r="C44" s="357"/>
    </row>
    <row r="45" spans="1:3" s="452" customFormat="1" ht="12" customHeight="1" thickBot="1">
      <c r="A45" s="193" t="s">
        <v>18</v>
      </c>
      <c r="B45" s="118" t="s">
        <v>415</v>
      </c>
      <c r="C45" s="310">
        <f>SUM(C46:C50)</f>
        <v>0</v>
      </c>
    </row>
    <row r="46" spans="1:3" ht="12" customHeight="1">
      <c r="A46" s="444" t="s">
        <v>98</v>
      </c>
      <c r="B46" s="9" t="s">
        <v>49</v>
      </c>
      <c r="C46" s="69"/>
    </row>
    <row r="47" spans="1:3" ht="12" customHeight="1">
      <c r="A47" s="444" t="s">
        <v>99</v>
      </c>
      <c r="B47" s="8" t="s">
        <v>183</v>
      </c>
      <c r="C47" s="72"/>
    </row>
    <row r="48" spans="1:3" ht="12" customHeight="1">
      <c r="A48" s="444" t="s">
        <v>100</v>
      </c>
      <c r="B48" s="8" t="s">
        <v>140</v>
      </c>
      <c r="C48" s="72"/>
    </row>
    <row r="49" spans="1:3" ht="12" customHeight="1">
      <c r="A49" s="444" t="s">
        <v>101</v>
      </c>
      <c r="B49" s="8" t="s">
        <v>184</v>
      </c>
      <c r="C49" s="72"/>
    </row>
    <row r="50" spans="1:3" ht="12" customHeight="1" thickBot="1">
      <c r="A50" s="444" t="s">
        <v>148</v>
      </c>
      <c r="B50" s="8" t="s">
        <v>185</v>
      </c>
      <c r="C50" s="72"/>
    </row>
    <row r="51" spans="1:3" ht="12" customHeight="1" thickBot="1">
      <c r="A51" s="193" t="s">
        <v>19</v>
      </c>
      <c r="B51" s="118" t="s">
        <v>416</v>
      </c>
      <c r="C51" s="310">
        <f>SUM(C52:C54)</f>
        <v>0</v>
      </c>
    </row>
    <row r="52" spans="1:3" s="452" customFormat="1" ht="12" customHeight="1">
      <c r="A52" s="444" t="s">
        <v>104</v>
      </c>
      <c r="B52" s="9" t="s">
        <v>230</v>
      </c>
      <c r="C52" s="69"/>
    </row>
    <row r="53" spans="1:3" ht="12" customHeight="1">
      <c r="A53" s="444" t="s">
        <v>105</v>
      </c>
      <c r="B53" s="8" t="s">
        <v>187</v>
      </c>
      <c r="C53" s="72"/>
    </row>
    <row r="54" spans="1:3" ht="12" customHeight="1">
      <c r="A54" s="444" t="s">
        <v>106</v>
      </c>
      <c r="B54" s="8" t="s">
        <v>58</v>
      </c>
      <c r="C54" s="72"/>
    </row>
    <row r="55" spans="1:3" ht="12" customHeight="1" thickBot="1">
      <c r="A55" s="444" t="s">
        <v>107</v>
      </c>
      <c r="B55" s="8" t="s">
        <v>524</v>
      </c>
      <c r="C55" s="72"/>
    </row>
    <row r="56" spans="1:3" ht="15.2" customHeight="1" thickBot="1">
      <c r="A56" s="193" t="s">
        <v>20</v>
      </c>
      <c r="B56" s="118" t="s">
        <v>13</v>
      </c>
      <c r="C56" s="336"/>
    </row>
    <row r="57" spans="1:3" ht="13.5" thickBot="1">
      <c r="A57" s="193" t="s">
        <v>21</v>
      </c>
      <c r="B57" s="235" t="s">
        <v>529</v>
      </c>
      <c r="C57" s="358">
        <f>+C45+C51+C56</f>
        <v>0</v>
      </c>
    </row>
    <row r="58" spans="1:3" ht="15.2" customHeight="1" thickBot="1">
      <c r="C58" s="623">
        <f>C41-C57</f>
        <v>0</v>
      </c>
    </row>
    <row r="59" spans="1:3" ht="14.45" customHeight="1" thickBot="1">
      <c r="A59" s="238" t="s">
        <v>519</v>
      </c>
      <c r="B59" s="239"/>
      <c r="C59" s="115"/>
    </row>
    <row r="60" spans="1:3" ht="13.5" thickBot="1">
      <c r="A60" s="238" t="s">
        <v>206</v>
      </c>
      <c r="B60" s="239"/>
      <c r="C60" s="115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E3" sqref="E3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16384" width="9.33203125" style="237"/>
  </cols>
  <sheetData>
    <row r="1" spans="1:3" s="217" customFormat="1" ht="21.2" customHeight="1" thickBot="1">
      <c r="A1" s="216"/>
      <c r="B1" s="218"/>
      <c r="C1" s="588" t="str">
        <f ca="1">CONCATENATE("9.6.3. melléklet ",ALAPADATOK!A7," ",ALAPADATOK!B7," ",ALAPADATOK!C7," ",ALAPADATOK!D7," ",ALAPADATOK!E7," ",ALAPADATOK!F7," ",ALAPADATOK!G7," ",ALAPADATOK!H7)</f>
        <v>9.6.3. melléklet a … / 2019 ( … ) önkormányzati rendelethez</v>
      </c>
    </row>
    <row r="2" spans="1:3" s="448" customFormat="1" ht="36">
      <c r="A2" s="400" t="s">
        <v>204</v>
      </c>
      <c r="B2" s="586" t="str">
        <f ca="1">CONCATENATE(KV_9.6.2.sz.mell!B2)</f>
        <v>Dr. Halász Géza Szakorvosi Rendelőintézet</v>
      </c>
      <c r="C2" s="359" t="s">
        <v>607</v>
      </c>
    </row>
    <row r="3" spans="1:3" s="448" customFormat="1" ht="24.75" thickBot="1">
      <c r="A3" s="442" t="s">
        <v>203</v>
      </c>
      <c r="B3" s="587" t="s">
        <v>530</v>
      </c>
      <c r="C3" s="360" t="s">
        <v>431</v>
      </c>
    </row>
    <row r="4" spans="1:3" s="449" customFormat="1" ht="15.95" customHeight="1" thickBot="1">
      <c r="A4" s="219"/>
      <c r="B4" s="219"/>
      <c r="C4" s="220" t="str">
        <f ca="1">KV_9.6.2.sz.mell!C4</f>
        <v/>
      </c>
    </row>
    <row r="5" spans="1:3" ht="13.5" thickBot="1">
      <c r="A5" s="401" t="s">
        <v>205</v>
      </c>
      <c r="B5" s="221" t="s">
        <v>563</v>
      </c>
      <c r="C5" s="547" t="s">
        <v>55</v>
      </c>
    </row>
    <row r="6" spans="1:3" s="450" customFormat="1" ht="12.95" customHeight="1" thickBot="1">
      <c r="A6" s="185"/>
      <c r="B6" s="186" t="s">
        <v>493</v>
      </c>
      <c r="C6" s="187" t="s">
        <v>494</v>
      </c>
    </row>
    <row r="7" spans="1:3" s="450" customFormat="1" ht="15.95" customHeight="1" thickBot="1">
      <c r="A7" s="223"/>
      <c r="B7" s="224" t="s">
        <v>56</v>
      </c>
      <c r="C7" s="225"/>
    </row>
    <row r="8" spans="1:3" s="361" customFormat="1" ht="12" customHeight="1" thickBot="1">
      <c r="A8" s="185" t="s">
        <v>18</v>
      </c>
      <c r="B8" s="226" t="s">
        <v>520</v>
      </c>
      <c r="C8" s="310">
        <f>SUM(C9:C19)</f>
        <v>0</v>
      </c>
    </row>
    <row r="9" spans="1:3" s="361" customFormat="1" ht="12" customHeight="1">
      <c r="A9" s="443" t="s">
        <v>98</v>
      </c>
      <c r="B9" s="10" t="s">
        <v>277</v>
      </c>
      <c r="C9" s="351"/>
    </row>
    <row r="10" spans="1:3" s="361" customFormat="1" ht="12" customHeight="1">
      <c r="A10" s="444" t="s">
        <v>99</v>
      </c>
      <c r="B10" s="8" t="s">
        <v>278</v>
      </c>
      <c r="C10" s="308"/>
    </row>
    <row r="11" spans="1:3" s="361" customFormat="1" ht="12" customHeight="1">
      <c r="A11" s="444" t="s">
        <v>100</v>
      </c>
      <c r="B11" s="8" t="s">
        <v>279</v>
      </c>
      <c r="C11" s="308"/>
    </row>
    <row r="12" spans="1:3" s="361" customFormat="1" ht="12" customHeight="1">
      <c r="A12" s="444" t="s">
        <v>101</v>
      </c>
      <c r="B12" s="8" t="s">
        <v>280</v>
      </c>
      <c r="C12" s="308"/>
    </row>
    <row r="13" spans="1:3" s="361" customFormat="1" ht="12" customHeight="1">
      <c r="A13" s="444" t="s">
        <v>148</v>
      </c>
      <c r="B13" s="8" t="s">
        <v>281</v>
      </c>
      <c r="C13" s="308"/>
    </row>
    <row r="14" spans="1:3" s="361" customFormat="1" ht="12" customHeight="1">
      <c r="A14" s="444" t="s">
        <v>102</v>
      </c>
      <c r="B14" s="8" t="s">
        <v>399</v>
      </c>
      <c r="C14" s="308"/>
    </row>
    <row r="15" spans="1:3" s="361" customFormat="1" ht="12" customHeight="1">
      <c r="A15" s="444" t="s">
        <v>103</v>
      </c>
      <c r="B15" s="7" t="s">
        <v>400</v>
      </c>
      <c r="C15" s="308"/>
    </row>
    <row r="16" spans="1:3" s="361" customFormat="1" ht="12" customHeight="1">
      <c r="A16" s="444" t="s">
        <v>113</v>
      </c>
      <c r="B16" s="8" t="s">
        <v>284</v>
      </c>
      <c r="C16" s="352"/>
    </row>
    <row r="17" spans="1:3" s="451" customFormat="1" ht="12" customHeight="1">
      <c r="A17" s="444" t="s">
        <v>114</v>
      </c>
      <c r="B17" s="8" t="s">
        <v>285</v>
      </c>
      <c r="C17" s="308"/>
    </row>
    <row r="18" spans="1:3" s="451" customFormat="1" ht="12" customHeight="1">
      <c r="A18" s="444" t="s">
        <v>115</v>
      </c>
      <c r="B18" s="8" t="s">
        <v>436</v>
      </c>
      <c r="C18" s="309"/>
    </row>
    <row r="19" spans="1:3" s="451" customFormat="1" ht="12" customHeight="1" thickBot="1">
      <c r="A19" s="444" t="s">
        <v>116</v>
      </c>
      <c r="B19" s="7" t="s">
        <v>286</v>
      </c>
      <c r="C19" s="309"/>
    </row>
    <row r="20" spans="1:3" s="361" customFormat="1" ht="12" customHeight="1" thickBot="1">
      <c r="A20" s="185" t="s">
        <v>19</v>
      </c>
      <c r="B20" s="226" t="s">
        <v>401</v>
      </c>
      <c r="C20" s="310">
        <f>SUM(C21:C23)</f>
        <v>0</v>
      </c>
    </row>
    <row r="21" spans="1:3" s="451" customFormat="1" ht="12" customHeight="1">
      <c r="A21" s="444" t="s">
        <v>104</v>
      </c>
      <c r="B21" s="9" t="s">
        <v>258</v>
      </c>
      <c r="C21" s="308"/>
    </row>
    <row r="22" spans="1:3" s="451" customFormat="1" ht="12" customHeight="1">
      <c r="A22" s="444" t="s">
        <v>105</v>
      </c>
      <c r="B22" s="8" t="s">
        <v>402</v>
      </c>
      <c r="C22" s="308"/>
    </row>
    <row r="23" spans="1:3" s="451" customFormat="1" ht="12" customHeight="1">
      <c r="A23" s="444" t="s">
        <v>106</v>
      </c>
      <c r="B23" s="8" t="s">
        <v>403</v>
      </c>
      <c r="C23" s="308"/>
    </row>
    <row r="24" spans="1:3" s="451" customFormat="1" ht="12" customHeight="1" thickBot="1">
      <c r="A24" s="444" t="s">
        <v>107</v>
      </c>
      <c r="B24" s="8" t="s">
        <v>525</v>
      </c>
      <c r="C24" s="308"/>
    </row>
    <row r="25" spans="1:3" s="451" customFormat="1" ht="12" customHeight="1" thickBot="1">
      <c r="A25" s="193" t="s">
        <v>20</v>
      </c>
      <c r="B25" s="118" t="s">
        <v>174</v>
      </c>
      <c r="C25" s="336"/>
    </row>
    <row r="26" spans="1:3" s="451" customFormat="1" ht="12" customHeight="1" thickBot="1">
      <c r="A26" s="193" t="s">
        <v>21</v>
      </c>
      <c r="B26" s="118" t="s">
        <v>404</v>
      </c>
      <c r="C26" s="310">
        <f>+C27+C28</f>
        <v>0</v>
      </c>
    </row>
    <row r="27" spans="1:3" s="451" customFormat="1" ht="12" customHeight="1">
      <c r="A27" s="445" t="s">
        <v>268</v>
      </c>
      <c r="B27" s="446" t="s">
        <v>402</v>
      </c>
      <c r="C27" s="69"/>
    </row>
    <row r="28" spans="1:3" s="451" customFormat="1" ht="12" customHeight="1">
      <c r="A28" s="445" t="s">
        <v>269</v>
      </c>
      <c r="B28" s="447" t="s">
        <v>405</v>
      </c>
      <c r="C28" s="311"/>
    </row>
    <row r="29" spans="1:3" s="451" customFormat="1" ht="12" customHeight="1" thickBot="1">
      <c r="A29" s="444" t="s">
        <v>270</v>
      </c>
      <c r="B29" s="135" t="s">
        <v>526</v>
      </c>
      <c r="C29" s="76"/>
    </row>
    <row r="30" spans="1:3" s="451" customFormat="1" ht="12" customHeight="1" thickBot="1">
      <c r="A30" s="193" t="s">
        <v>22</v>
      </c>
      <c r="B30" s="118" t="s">
        <v>406</v>
      </c>
      <c r="C30" s="310">
        <f>+C31+C32+C33</f>
        <v>0</v>
      </c>
    </row>
    <row r="31" spans="1:3" s="451" customFormat="1" ht="12" customHeight="1">
      <c r="A31" s="445" t="s">
        <v>91</v>
      </c>
      <c r="B31" s="446" t="s">
        <v>291</v>
      </c>
      <c r="C31" s="69"/>
    </row>
    <row r="32" spans="1:3" s="451" customFormat="1" ht="12" customHeight="1">
      <c r="A32" s="445" t="s">
        <v>92</v>
      </c>
      <c r="B32" s="447" t="s">
        <v>292</v>
      </c>
      <c r="C32" s="311"/>
    </row>
    <row r="33" spans="1:3" s="451" customFormat="1" ht="12" customHeight="1" thickBot="1">
      <c r="A33" s="444" t="s">
        <v>93</v>
      </c>
      <c r="B33" s="135" t="s">
        <v>293</v>
      </c>
      <c r="C33" s="76"/>
    </row>
    <row r="34" spans="1:3" s="361" customFormat="1" ht="12" customHeight="1" thickBot="1">
      <c r="A34" s="193" t="s">
        <v>23</v>
      </c>
      <c r="B34" s="118" t="s">
        <v>376</v>
      </c>
      <c r="C34" s="336"/>
    </row>
    <row r="35" spans="1:3" s="361" customFormat="1" ht="12" customHeight="1" thickBot="1">
      <c r="A35" s="193" t="s">
        <v>24</v>
      </c>
      <c r="B35" s="118" t="s">
        <v>407</v>
      </c>
      <c r="C35" s="353"/>
    </row>
    <row r="36" spans="1:3" s="361" customFormat="1" ht="12" customHeight="1" thickBot="1">
      <c r="A36" s="185" t="s">
        <v>25</v>
      </c>
      <c r="B36" s="118" t="s">
        <v>527</v>
      </c>
      <c r="C36" s="354">
        <f>+C8+C20+C25+C26+C30+C34+C35</f>
        <v>0</v>
      </c>
    </row>
    <row r="37" spans="1:3" s="361" customFormat="1" ht="12" customHeight="1" thickBot="1">
      <c r="A37" s="227" t="s">
        <v>26</v>
      </c>
      <c r="B37" s="118" t="s">
        <v>409</v>
      </c>
      <c r="C37" s="354">
        <f>+C38+C39+C40</f>
        <v>0</v>
      </c>
    </row>
    <row r="38" spans="1:3" s="361" customFormat="1" ht="12" customHeight="1">
      <c r="A38" s="445" t="s">
        <v>410</v>
      </c>
      <c r="B38" s="446" t="s">
        <v>236</v>
      </c>
      <c r="C38" s="69"/>
    </row>
    <row r="39" spans="1:3" s="361" customFormat="1" ht="12" customHeight="1">
      <c r="A39" s="445" t="s">
        <v>411</v>
      </c>
      <c r="B39" s="447" t="s">
        <v>2</v>
      </c>
      <c r="C39" s="311"/>
    </row>
    <row r="40" spans="1:3" s="451" customFormat="1" ht="12" customHeight="1" thickBot="1">
      <c r="A40" s="444" t="s">
        <v>412</v>
      </c>
      <c r="B40" s="135" t="s">
        <v>413</v>
      </c>
      <c r="C40" s="76"/>
    </row>
    <row r="41" spans="1:3" s="451" customFormat="1" ht="15.2" customHeight="1" thickBot="1">
      <c r="A41" s="227" t="s">
        <v>27</v>
      </c>
      <c r="B41" s="228" t="s">
        <v>414</v>
      </c>
      <c r="C41" s="357">
        <f>+C36+C37</f>
        <v>0</v>
      </c>
    </row>
    <row r="42" spans="1:3" s="451" customFormat="1" ht="15.2" customHeight="1">
      <c r="A42" s="229"/>
      <c r="B42" s="230"/>
      <c r="C42" s="355"/>
    </row>
    <row r="43" spans="1:3" ht="13.5" thickBot="1">
      <c r="A43" s="231"/>
      <c r="B43" s="232"/>
      <c r="C43" s="356"/>
    </row>
    <row r="44" spans="1:3" s="450" customFormat="1" ht="16.5" customHeight="1" thickBot="1">
      <c r="A44" s="233"/>
      <c r="B44" s="234" t="s">
        <v>57</v>
      </c>
      <c r="C44" s="357"/>
    </row>
    <row r="45" spans="1:3" s="452" customFormat="1" ht="12" customHeight="1" thickBot="1">
      <c r="A45" s="193" t="s">
        <v>18</v>
      </c>
      <c r="B45" s="118" t="s">
        <v>415</v>
      </c>
      <c r="C45" s="310">
        <f>SUM(C46:C50)</f>
        <v>0</v>
      </c>
    </row>
    <row r="46" spans="1:3" ht="12" customHeight="1">
      <c r="A46" s="444" t="s">
        <v>98</v>
      </c>
      <c r="B46" s="9" t="s">
        <v>49</v>
      </c>
      <c r="C46" s="69"/>
    </row>
    <row r="47" spans="1:3" ht="12" customHeight="1">
      <c r="A47" s="444" t="s">
        <v>99</v>
      </c>
      <c r="B47" s="8" t="s">
        <v>183</v>
      </c>
      <c r="C47" s="72"/>
    </row>
    <row r="48" spans="1:3" ht="12" customHeight="1">
      <c r="A48" s="444" t="s">
        <v>100</v>
      </c>
      <c r="B48" s="8" t="s">
        <v>140</v>
      </c>
      <c r="C48" s="72"/>
    </row>
    <row r="49" spans="1:3" ht="12" customHeight="1">
      <c r="A49" s="444" t="s">
        <v>101</v>
      </c>
      <c r="B49" s="8" t="s">
        <v>184</v>
      </c>
      <c r="C49" s="72"/>
    </row>
    <row r="50" spans="1:3" ht="12" customHeight="1" thickBot="1">
      <c r="A50" s="444" t="s">
        <v>148</v>
      </c>
      <c r="B50" s="8" t="s">
        <v>185</v>
      </c>
      <c r="C50" s="72"/>
    </row>
    <row r="51" spans="1:3" ht="12" customHeight="1" thickBot="1">
      <c r="A51" s="193" t="s">
        <v>19</v>
      </c>
      <c r="B51" s="118" t="s">
        <v>416</v>
      </c>
      <c r="C51" s="310">
        <f>SUM(C52:C54)</f>
        <v>0</v>
      </c>
    </row>
    <row r="52" spans="1:3" s="452" customFormat="1" ht="12" customHeight="1">
      <c r="A52" s="444" t="s">
        <v>104</v>
      </c>
      <c r="B52" s="9" t="s">
        <v>230</v>
      </c>
      <c r="C52" s="69"/>
    </row>
    <row r="53" spans="1:3" ht="12" customHeight="1">
      <c r="A53" s="444" t="s">
        <v>105</v>
      </c>
      <c r="B53" s="8" t="s">
        <v>187</v>
      </c>
      <c r="C53" s="72"/>
    </row>
    <row r="54" spans="1:3" ht="12" customHeight="1">
      <c r="A54" s="444" t="s">
        <v>106</v>
      </c>
      <c r="B54" s="8" t="s">
        <v>58</v>
      </c>
      <c r="C54" s="72"/>
    </row>
    <row r="55" spans="1:3" ht="12" customHeight="1" thickBot="1">
      <c r="A55" s="444" t="s">
        <v>107</v>
      </c>
      <c r="B55" s="8" t="s">
        <v>524</v>
      </c>
      <c r="C55" s="72"/>
    </row>
    <row r="56" spans="1:3" ht="15.2" customHeight="1" thickBot="1">
      <c r="A56" s="193" t="s">
        <v>20</v>
      </c>
      <c r="B56" s="118" t="s">
        <v>13</v>
      </c>
      <c r="C56" s="336"/>
    </row>
    <row r="57" spans="1:3" ht="13.5" thickBot="1">
      <c r="A57" s="193" t="s">
        <v>21</v>
      </c>
      <c r="B57" s="235" t="s">
        <v>529</v>
      </c>
      <c r="C57" s="358">
        <f>+C45+C51+C56</f>
        <v>0</v>
      </c>
    </row>
    <row r="58" spans="1:3" ht="15.2" customHeight="1" thickBot="1">
      <c r="C58" s="623">
        <f>C41-C57</f>
        <v>0</v>
      </c>
    </row>
    <row r="59" spans="1:3" ht="14.45" customHeight="1" thickBot="1">
      <c r="A59" s="238" t="s">
        <v>519</v>
      </c>
      <c r="B59" s="239"/>
      <c r="C59" s="115"/>
    </row>
    <row r="60" spans="1:3" ht="13.5" thickBot="1">
      <c r="A60" s="238" t="s">
        <v>206</v>
      </c>
      <c r="B60" s="239"/>
      <c r="C60" s="115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>
  <sheetPr>
    <tabColor rgb="FF92D050"/>
  </sheetPr>
  <dimension ref="A1:I60"/>
  <sheetViews>
    <sheetView topLeftCell="A34" zoomScale="120" zoomScaleNormal="120" workbookViewId="0">
      <selection activeCell="H16" sqref="H16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4" width="12.33203125" style="237" customWidth="1"/>
    <col min="5" max="5" width="17.83203125" style="237" customWidth="1"/>
    <col min="6" max="6" width="16.1640625" style="237" customWidth="1"/>
    <col min="7" max="7" width="14" style="237" customWidth="1"/>
    <col min="8" max="8" width="13.1640625" style="237" customWidth="1"/>
    <col min="9" max="9" width="15.33203125" style="237" customWidth="1"/>
    <col min="10" max="16384" width="9.33203125" style="237"/>
  </cols>
  <sheetData>
    <row r="1" spans="1:9" s="217" customFormat="1" ht="21.2" customHeight="1" thickBot="1">
      <c r="A1" s="216"/>
      <c r="B1" s="218"/>
      <c r="C1" s="588" t="str">
        <f ca="1">CONCATENATE("9.7. melléklet ",ALAPADATOK!A7," ",ALAPADATOK!B7," ",ALAPADATOK!C7," ",ALAPADATOK!D7," ",ALAPADATOK!E7," ",ALAPADATOK!F7," ",ALAPADATOK!G7," ",ALAPADATOK!H7)</f>
        <v>9.7. melléklet a … / 2019 ( … ) önkormányzati rendelethez</v>
      </c>
    </row>
    <row r="2" spans="1:9" s="448" customFormat="1" ht="36">
      <c r="A2" s="400" t="s">
        <v>204</v>
      </c>
      <c r="B2" s="586" t="str">
        <f ca="1">CONCATENATE(ALAPADATOK!B21)</f>
        <v>Dabasi Intézményfenntartó Központ</v>
      </c>
      <c r="C2" s="359" t="s">
        <v>608</v>
      </c>
    </row>
    <row r="3" spans="1:9" s="448" customFormat="1" ht="24.75" thickBot="1">
      <c r="A3" s="442" t="s">
        <v>203</v>
      </c>
      <c r="B3" s="587" t="s">
        <v>398</v>
      </c>
      <c r="C3" s="360" t="s">
        <v>54</v>
      </c>
    </row>
    <row r="4" spans="1:9" s="449" customFormat="1" ht="15.95" customHeight="1" thickBot="1">
      <c r="A4" s="219"/>
      <c r="B4" s="219"/>
      <c r="C4" s="220" t="str">
        <f ca="1">KV_9.2.3.sz.mell!C4</f>
        <v/>
      </c>
    </row>
    <row r="5" spans="1:9" ht="48.75" thickBot="1">
      <c r="A5" s="401" t="s">
        <v>205</v>
      </c>
      <c r="B5" s="221" t="s">
        <v>563</v>
      </c>
      <c r="C5" s="222" t="s">
        <v>55</v>
      </c>
      <c r="D5" s="605" t="s">
        <v>754</v>
      </c>
      <c r="E5" s="605" t="s">
        <v>744</v>
      </c>
      <c r="F5" s="605" t="s">
        <v>811</v>
      </c>
      <c r="G5" s="605" t="s">
        <v>744</v>
      </c>
      <c r="H5" s="605" t="s">
        <v>827</v>
      </c>
      <c r="I5" s="605" t="s">
        <v>744</v>
      </c>
    </row>
    <row r="6" spans="1:9" s="450" customFormat="1" ht="12.95" customHeight="1" thickBot="1">
      <c r="A6" s="185"/>
      <c r="B6" s="186" t="s">
        <v>493</v>
      </c>
      <c r="C6" s="187" t="s">
        <v>494</v>
      </c>
      <c r="D6" s="720" t="s">
        <v>495</v>
      </c>
      <c r="E6" s="721" t="s">
        <v>497</v>
      </c>
      <c r="F6" s="720" t="s">
        <v>495</v>
      </c>
      <c r="G6" s="721" t="s">
        <v>497</v>
      </c>
      <c r="H6" s="720" t="s">
        <v>495</v>
      </c>
      <c r="I6" s="721" t="s">
        <v>497</v>
      </c>
    </row>
    <row r="7" spans="1:9" s="450" customFormat="1" ht="15.95" customHeight="1" thickBot="1">
      <c r="A7" s="223"/>
      <c r="B7" s="224" t="s">
        <v>56</v>
      </c>
      <c r="C7" s="225"/>
    </row>
    <row r="8" spans="1:9" s="361" customFormat="1" ht="12" customHeight="1" thickBot="1">
      <c r="A8" s="185" t="s">
        <v>18</v>
      </c>
      <c r="B8" s="226" t="s">
        <v>520</v>
      </c>
      <c r="C8" s="310">
        <f>SUM(C9:C19)</f>
        <v>98514364</v>
      </c>
      <c r="D8" s="710">
        <f>SUM(D9:D19)</f>
        <v>0</v>
      </c>
      <c r="E8" s="716">
        <f>SUM(C8+D8)</f>
        <v>98514364</v>
      </c>
      <c r="F8" s="710">
        <f>SUM(F9:F19)</f>
        <v>0</v>
      </c>
      <c r="G8" s="716">
        <f>SUM(E8+F8)</f>
        <v>98514364</v>
      </c>
      <c r="H8" s="710">
        <f>SUM(H9:H19)</f>
        <v>3000000</v>
      </c>
      <c r="I8" s="716">
        <f>SUM(G8+H8)</f>
        <v>101514364</v>
      </c>
    </row>
    <row r="9" spans="1:9" s="361" customFormat="1" ht="12" customHeight="1">
      <c r="A9" s="443" t="s">
        <v>98</v>
      </c>
      <c r="B9" s="10" t="s">
        <v>277</v>
      </c>
      <c r="C9" s="351"/>
      <c r="D9" s="709"/>
      <c r="E9" s="713">
        <f t="shared" ref="E9:E42" si="0">SUM(C9+D9)</f>
        <v>0</v>
      </c>
      <c r="F9" s="709"/>
      <c r="G9" s="713">
        <f t="shared" ref="G9:G42" si="1">SUM(E9+F9)</f>
        <v>0</v>
      </c>
      <c r="H9" s="709"/>
      <c r="I9" s="713">
        <f t="shared" ref="I9:I42" si="2">SUM(G9+H9)</f>
        <v>0</v>
      </c>
    </row>
    <row r="10" spans="1:9" s="361" customFormat="1" ht="12" customHeight="1">
      <c r="A10" s="444" t="s">
        <v>99</v>
      </c>
      <c r="B10" s="8" t="s">
        <v>278</v>
      </c>
      <c r="C10" s="308"/>
      <c r="D10" s="707"/>
      <c r="E10" s="714">
        <f t="shared" si="0"/>
        <v>0</v>
      </c>
      <c r="F10" s="707"/>
      <c r="G10" s="714">
        <f t="shared" si="1"/>
        <v>0</v>
      </c>
      <c r="H10" s="707"/>
      <c r="I10" s="714">
        <f t="shared" si="2"/>
        <v>0</v>
      </c>
    </row>
    <row r="11" spans="1:9" s="361" customFormat="1" ht="12" customHeight="1">
      <c r="A11" s="444" t="s">
        <v>100</v>
      </c>
      <c r="B11" s="8" t="s">
        <v>279</v>
      </c>
      <c r="C11" s="308"/>
      <c r="D11" s="707"/>
      <c r="E11" s="714">
        <f t="shared" si="0"/>
        <v>0</v>
      </c>
      <c r="F11" s="707"/>
      <c r="G11" s="714">
        <f t="shared" si="1"/>
        <v>0</v>
      </c>
      <c r="H11" s="707"/>
      <c r="I11" s="714">
        <f t="shared" si="2"/>
        <v>0</v>
      </c>
    </row>
    <row r="12" spans="1:9" s="361" customFormat="1" ht="12" customHeight="1">
      <c r="A12" s="444" t="s">
        <v>101</v>
      </c>
      <c r="B12" s="8" t="s">
        <v>280</v>
      </c>
      <c r="C12" s="308"/>
      <c r="D12" s="707"/>
      <c r="E12" s="714">
        <f t="shared" si="0"/>
        <v>0</v>
      </c>
      <c r="F12" s="707"/>
      <c r="G12" s="714">
        <f t="shared" si="1"/>
        <v>0</v>
      </c>
      <c r="H12" s="707"/>
      <c r="I12" s="714">
        <f t="shared" si="2"/>
        <v>0</v>
      </c>
    </row>
    <row r="13" spans="1:9" s="361" customFormat="1" ht="12" customHeight="1">
      <c r="A13" s="444" t="s">
        <v>148</v>
      </c>
      <c r="B13" s="8" t="s">
        <v>281</v>
      </c>
      <c r="C13" s="308">
        <v>77570364</v>
      </c>
      <c r="D13" s="707"/>
      <c r="E13" s="714">
        <f t="shared" si="0"/>
        <v>77570364</v>
      </c>
      <c r="F13" s="707"/>
      <c r="G13" s="714">
        <f t="shared" si="1"/>
        <v>77570364</v>
      </c>
      <c r="H13" s="707"/>
      <c r="I13" s="714">
        <f t="shared" si="2"/>
        <v>77570364</v>
      </c>
    </row>
    <row r="14" spans="1:9" s="361" customFormat="1" ht="12" customHeight="1">
      <c r="A14" s="444" t="s">
        <v>102</v>
      </c>
      <c r="B14" s="8" t="s">
        <v>399</v>
      </c>
      <c r="C14" s="308"/>
      <c r="D14" s="707"/>
      <c r="E14" s="714">
        <f t="shared" si="0"/>
        <v>0</v>
      </c>
      <c r="F14" s="707"/>
      <c r="G14" s="714">
        <f t="shared" si="1"/>
        <v>0</v>
      </c>
      <c r="H14" s="707"/>
      <c r="I14" s="714">
        <f t="shared" si="2"/>
        <v>0</v>
      </c>
    </row>
    <row r="15" spans="1:9" s="361" customFormat="1" ht="12" customHeight="1">
      <c r="A15" s="444" t="s">
        <v>103</v>
      </c>
      <c r="B15" s="7" t="s">
        <v>400</v>
      </c>
      <c r="C15" s="308">
        <v>20944000</v>
      </c>
      <c r="D15" s="707"/>
      <c r="E15" s="714">
        <f t="shared" si="0"/>
        <v>20944000</v>
      </c>
      <c r="F15" s="707"/>
      <c r="G15" s="714">
        <f t="shared" si="1"/>
        <v>20944000</v>
      </c>
      <c r="H15" s="707">
        <v>3000000</v>
      </c>
      <c r="I15" s="714">
        <f t="shared" si="2"/>
        <v>23944000</v>
      </c>
    </row>
    <row r="16" spans="1:9" s="361" customFormat="1" ht="12" customHeight="1">
      <c r="A16" s="444" t="s">
        <v>113</v>
      </c>
      <c r="B16" s="8" t="s">
        <v>284</v>
      </c>
      <c r="C16" s="352"/>
      <c r="D16" s="707"/>
      <c r="E16" s="714">
        <f t="shared" si="0"/>
        <v>0</v>
      </c>
      <c r="F16" s="707"/>
      <c r="G16" s="714">
        <f t="shared" si="1"/>
        <v>0</v>
      </c>
      <c r="H16" s="707"/>
      <c r="I16" s="714">
        <f t="shared" si="2"/>
        <v>0</v>
      </c>
    </row>
    <row r="17" spans="1:9" s="451" customFormat="1" ht="12" customHeight="1">
      <c r="A17" s="444" t="s">
        <v>114</v>
      </c>
      <c r="B17" s="8" t="s">
        <v>285</v>
      </c>
      <c r="C17" s="308"/>
      <c r="D17" s="707"/>
      <c r="E17" s="714">
        <f t="shared" si="0"/>
        <v>0</v>
      </c>
      <c r="F17" s="707"/>
      <c r="G17" s="714">
        <f t="shared" si="1"/>
        <v>0</v>
      </c>
      <c r="H17" s="707"/>
      <c r="I17" s="714">
        <f t="shared" si="2"/>
        <v>0</v>
      </c>
    </row>
    <row r="18" spans="1:9" s="451" customFormat="1" ht="12" customHeight="1">
      <c r="A18" s="444" t="s">
        <v>115</v>
      </c>
      <c r="B18" s="8" t="s">
        <v>436</v>
      </c>
      <c r="C18" s="309"/>
      <c r="D18" s="707"/>
      <c r="E18" s="714">
        <f t="shared" si="0"/>
        <v>0</v>
      </c>
      <c r="F18" s="707"/>
      <c r="G18" s="714">
        <f t="shared" si="1"/>
        <v>0</v>
      </c>
      <c r="H18" s="707"/>
      <c r="I18" s="714">
        <f t="shared" si="2"/>
        <v>0</v>
      </c>
    </row>
    <row r="19" spans="1:9" s="451" customFormat="1" ht="12" customHeight="1" thickBot="1">
      <c r="A19" s="444" t="s">
        <v>116</v>
      </c>
      <c r="B19" s="7" t="s">
        <v>286</v>
      </c>
      <c r="C19" s="309"/>
      <c r="D19" s="708"/>
      <c r="E19" s="715">
        <f t="shared" si="0"/>
        <v>0</v>
      </c>
      <c r="F19" s="708"/>
      <c r="G19" s="715">
        <f t="shared" si="1"/>
        <v>0</v>
      </c>
      <c r="H19" s="708"/>
      <c r="I19" s="715">
        <f t="shared" si="2"/>
        <v>0</v>
      </c>
    </row>
    <row r="20" spans="1:9" s="361" customFormat="1" ht="12" customHeight="1" thickBot="1">
      <c r="A20" s="185" t="s">
        <v>19</v>
      </c>
      <c r="B20" s="226" t="s">
        <v>401</v>
      </c>
      <c r="C20" s="310">
        <f>SUM(C21:C23)</f>
        <v>0</v>
      </c>
      <c r="D20" s="710">
        <f>SUM(D21:D23)</f>
        <v>0</v>
      </c>
      <c r="E20" s="716">
        <f t="shared" si="0"/>
        <v>0</v>
      </c>
      <c r="F20" s="710">
        <f>SUM(F21:F23)</f>
        <v>0</v>
      </c>
      <c r="G20" s="716">
        <f t="shared" si="1"/>
        <v>0</v>
      </c>
      <c r="H20" s="710">
        <f>SUM(H21:H23)</f>
        <v>0</v>
      </c>
      <c r="I20" s="716">
        <f t="shared" si="2"/>
        <v>0</v>
      </c>
    </row>
    <row r="21" spans="1:9" s="451" customFormat="1" ht="12" customHeight="1">
      <c r="A21" s="444" t="s">
        <v>104</v>
      </c>
      <c r="B21" s="9" t="s">
        <v>258</v>
      </c>
      <c r="C21" s="308"/>
      <c r="D21" s="709"/>
      <c r="E21" s="713">
        <f t="shared" si="0"/>
        <v>0</v>
      </c>
      <c r="F21" s="709"/>
      <c r="G21" s="713">
        <f t="shared" si="1"/>
        <v>0</v>
      </c>
      <c r="H21" s="709"/>
      <c r="I21" s="713">
        <f t="shared" si="2"/>
        <v>0</v>
      </c>
    </row>
    <row r="22" spans="1:9" s="451" customFormat="1" ht="12" customHeight="1">
      <c r="A22" s="444" t="s">
        <v>105</v>
      </c>
      <c r="B22" s="8" t="s">
        <v>402</v>
      </c>
      <c r="C22" s="308"/>
      <c r="D22" s="707"/>
      <c r="E22" s="714">
        <f t="shared" si="0"/>
        <v>0</v>
      </c>
      <c r="F22" s="707"/>
      <c r="G22" s="714">
        <f t="shared" si="1"/>
        <v>0</v>
      </c>
      <c r="H22" s="707"/>
      <c r="I22" s="714">
        <f t="shared" si="2"/>
        <v>0</v>
      </c>
    </row>
    <row r="23" spans="1:9" s="451" customFormat="1" ht="12" customHeight="1">
      <c r="A23" s="444" t="s">
        <v>106</v>
      </c>
      <c r="B23" s="8" t="s">
        <v>403</v>
      </c>
      <c r="C23" s="308"/>
      <c r="D23" s="707"/>
      <c r="E23" s="714">
        <f t="shared" si="0"/>
        <v>0</v>
      </c>
      <c r="F23" s="707"/>
      <c r="G23" s="714">
        <f t="shared" si="1"/>
        <v>0</v>
      </c>
      <c r="H23" s="707"/>
      <c r="I23" s="714">
        <f t="shared" si="2"/>
        <v>0</v>
      </c>
    </row>
    <row r="24" spans="1:9" s="451" customFormat="1" ht="12" customHeight="1" thickBot="1">
      <c r="A24" s="444" t="s">
        <v>107</v>
      </c>
      <c r="B24" s="8" t="s">
        <v>525</v>
      </c>
      <c r="C24" s="308"/>
      <c r="D24" s="708"/>
      <c r="E24" s="715">
        <f t="shared" si="0"/>
        <v>0</v>
      </c>
      <c r="F24" s="708"/>
      <c r="G24" s="715">
        <f t="shared" si="1"/>
        <v>0</v>
      </c>
      <c r="H24" s="708"/>
      <c r="I24" s="715">
        <f t="shared" si="2"/>
        <v>0</v>
      </c>
    </row>
    <row r="25" spans="1:9" s="451" customFormat="1" ht="12" customHeight="1" thickBot="1">
      <c r="A25" s="193" t="s">
        <v>20</v>
      </c>
      <c r="B25" s="118" t="s">
        <v>174</v>
      </c>
      <c r="C25" s="336"/>
      <c r="D25" s="710"/>
      <c r="E25" s="712">
        <f t="shared" si="0"/>
        <v>0</v>
      </c>
      <c r="F25" s="710"/>
      <c r="G25" s="712">
        <f t="shared" si="1"/>
        <v>0</v>
      </c>
      <c r="H25" s="710"/>
      <c r="I25" s="712">
        <f t="shared" si="2"/>
        <v>0</v>
      </c>
    </row>
    <row r="26" spans="1:9" s="451" customFormat="1" ht="12" customHeight="1" thickBot="1">
      <c r="A26" s="193" t="s">
        <v>21</v>
      </c>
      <c r="B26" s="118" t="s">
        <v>404</v>
      </c>
      <c r="C26" s="310">
        <f>+C27+C28</f>
        <v>0</v>
      </c>
      <c r="D26" s="710"/>
      <c r="E26" s="712">
        <f t="shared" si="0"/>
        <v>0</v>
      </c>
      <c r="F26" s="710"/>
      <c r="G26" s="712">
        <f t="shared" si="1"/>
        <v>0</v>
      </c>
      <c r="H26" s="710"/>
      <c r="I26" s="712">
        <f t="shared" si="2"/>
        <v>0</v>
      </c>
    </row>
    <row r="27" spans="1:9" s="451" customFormat="1" ht="12" customHeight="1">
      <c r="A27" s="445" t="s">
        <v>268</v>
      </c>
      <c r="B27" s="446" t="s">
        <v>402</v>
      </c>
      <c r="C27" s="69"/>
      <c r="D27" s="709"/>
      <c r="E27" s="713">
        <f t="shared" si="0"/>
        <v>0</v>
      </c>
      <c r="F27" s="709"/>
      <c r="G27" s="713">
        <f t="shared" si="1"/>
        <v>0</v>
      </c>
      <c r="H27" s="709"/>
      <c r="I27" s="713">
        <f t="shared" si="2"/>
        <v>0</v>
      </c>
    </row>
    <row r="28" spans="1:9" s="451" customFormat="1" ht="12" customHeight="1">
      <c r="A28" s="445" t="s">
        <v>269</v>
      </c>
      <c r="B28" s="447" t="s">
        <v>405</v>
      </c>
      <c r="C28" s="311"/>
      <c r="D28" s="707"/>
      <c r="E28" s="714">
        <f t="shared" si="0"/>
        <v>0</v>
      </c>
      <c r="F28" s="707"/>
      <c r="G28" s="714">
        <f t="shared" si="1"/>
        <v>0</v>
      </c>
      <c r="H28" s="707"/>
      <c r="I28" s="714">
        <f t="shared" si="2"/>
        <v>0</v>
      </c>
    </row>
    <row r="29" spans="1:9" s="451" customFormat="1" ht="12" customHeight="1" thickBot="1">
      <c r="A29" s="444" t="s">
        <v>270</v>
      </c>
      <c r="B29" s="135" t="s">
        <v>526</v>
      </c>
      <c r="C29" s="76"/>
      <c r="D29" s="708"/>
      <c r="E29" s="722">
        <f t="shared" si="0"/>
        <v>0</v>
      </c>
      <c r="F29" s="708"/>
      <c r="G29" s="722">
        <f t="shared" si="1"/>
        <v>0</v>
      </c>
      <c r="H29" s="708"/>
      <c r="I29" s="722">
        <f t="shared" si="2"/>
        <v>0</v>
      </c>
    </row>
    <row r="30" spans="1:9" s="451" customFormat="1" ht="12" customHeight="1" thickBot="1">
      <c r="A30" s="193" t="s">
        <v>22</v>
      </c>
      <c r="B30" s="118" t="s">
        <v>406</v>
      </c>
      <c r="C30" s="310">
        <f>+C31+C32+C33</f>
        <v>0</v>
      </c>
      <c r="D30" s="710"/>
      <c r="E30" s="712">
        <f t="shared" si="0"/>
        <v>0</v>
      </c>
      <c r="F30" s="710"/>
      <c r="G30" s="712">
        <f t="shared" si="1"/>
        <v>0</v>
      </c>
      <c r="H30" s="710"/>
      <c r="I30" s="712">
        <f t="shared" si="2"/>
        <v>0</v>
      </c>
    </row>
    <row r="31" spans="1:9" s="451" customFormat="1" ht="12" customHeight="1">
      <c r="A31" s="445" t="s">
        <v>91</v>
      </c>
      <c r="B31" s="446" t="s">
        <v>291</v>
      </c>
      <c r="C31" s="69"/>
      <c r="D31" s="723"/>
      <c r="E31" s="724">
        <f t="shared" si="0"/>
        <v>0</v>
      </c>
      <c r="F31" s="723"/>
      <c r="G31" s="724">
        <f t="shared" si="1"/>
        <v>0</v>
      </c>
      <c r="H31" s="723"/>
      <c r="I31" s="724">
        <f t="shared" si="2"/>
        <v>0</v>
      </c>
    </row>
    <row r="32" spans="1:9" s="451" customFormat="1" ht="12" customHeight="1">
      <c r="A32" s="445" t="s">
        <v>92</v>
      </c>
      <c r="B32" s="447" t="s">
        <v>292</v>
      </c>
      <c r="C32" s="311"/>
      <c r="D32" s="709"/>
      <c r="E32" s="717">
        <f t="shared" si="0"/>
        <v>0</v>
      </c>
      <c r="F32" s="709"/>
      <c r="G32" s="717">
        <f t="shared" si="1"/>
        <v>0</v>
      </c>
      <c r="H32" s="709"/>
      <c r="I32" s="717">
        <f t="shared" si="2"/>
        <v>0</v>
      </c>
    </row>
    <row r="33" spans="1:9" s="451" customFormat="1" ht="12" customHeight="1" thickBot="1">
      <c r="A33" s="444" t="s">
        <v>93</v>
      </c>
      <c r="B33" s="135" t="s">
        <v>293</v>
      </c>
      <c r="C33" s="76"/>
      <c r="D33" s="708"/>
      <c r="E33" s="722">
        <f t="shared" si="0"/>
        <v>0</v>
      </c>
      <c r="F33" s="708"/>
      <c r="G33" s="722">
        <f t="shared" si="1"/>
        <v>0</v>
      </c>
      <c r="H33" s="708"/>
      <c r="I33" s="722">
        <f t="shared" si="2"/>
        <v>0</v>
      </c>
    </row>
    <row r="34" spans="1:9" s="361" customFormat="1" ht="12" customHeight="1" thickBot="1">
      <c r="A34" s="193" t="s">
        <v>23</v>
      </c>
      <c r="B34" s="118" t="s">
        <v>376</v>
      </c>
      <c r="C34" s="336"/>
      <c r="D34" s="710"/>
      <c r="E34" s="712">
        <f t="shared" si="0"/>
        <v>0</v>
      </c>
      <c r="F34" s="710"/>
      <c r="G34" s="712">
        <f t="shared" si="1"/>
        <v>0</v>
      </c>
      <c r="H34" s="710"/>
      <c r="I34" s="712">
        <f t="shared" si="2"/>
        <v>0</v>
      </c>
    </row>
    <row r="35" spans="1:9" s="361" customFormat="1" ht="12" customHeight="1" thickBot="1">
      <c r="A35" s="193" t="s">
        <v>24</v>
      </c>
      <c r="B35" s="118" t="s">
        <v>407</v>
      </c>
      <c r="C35" s="353"/>
      <c r="D35" s="710"/>
      <c r="E35" s="712">
        <f t="shared" si="0"/>
        <v>0</v>
      </c>
      <c r="F35" s="710"/>
      <c r="G35" s="712">
        <f t="shared" si="1"/>
        <v>0</v>
      </c>
      <c r="H35" s="710"/>
      <c r="I35" s="712">
        <f t="shared" si="2"/>
        <v>0</v>
      </c>
    </row>
    <row r="36" spans="1:9" s="361" customFormat="1" ht="12" customHeight="1" thickBot="1">
      <c r="A36" s="185" t="s">
        <v>25</v>
      </c>
      <c r="B36" s="118" t="s">
        <v>527</v>
      </c>
      <c r="C36" s="354">
        <f>+C8+C20+C25+C26+C30+C34+C35</f>
        <v>98514364</v>
      </c>
      <c r="D36" s="710">
        <f>SUM(D8+D20+D25+D26+D30+D34+D35)</f>
        <v>0</v>
      </c>
      <c r="E36" s="712">
        <f t="shared" si="0"/>
        <v>98514364</v>
      </c>
      <c r="F36" s="710">
        <f>SUM(F8+F20+F25+F26+F30+F34+F35)</f>
        <v>0</v>
      </c>
      <c r="G36" s="712">
        <f t="shared" si="1"/>
        <v>98514364</v>
      </c>
      <c r="H36" s="710">
        <f>SUM(H8+H20+H25+H26+H30+H34+H35)</f>
        <v>3000000</v>
      </c>
      <c r="I36" s="712">
        <f t="shared" si="2"/>
        <v>101514364</v>
      </c>
    </row>
    <row r="37" spans="1:9" s="361" customFormat="1" ht="12" customHeight="1" thickBot="1">
      <c r="A37" s="227" t="s">
        <v>26</v>
      </c>
      <c r="B37" s="118" t="s">
        <v>409</v>
      </c>
      <c r="C37" s="354">
        <f>+C38+C39+C40</f>
        <v>248175096</v>
      </c>
      <c r="D37" s="710">
        <f>SUM(D38:D40)</f>
        <v>27130461</v>
      </c>
      <c r="E37" s="716">
        <f t="shared" si="0"/>
        <v>275305557</v>
      </c>
      <c r="F37" s="710">
        <f>SUM(F38:F40)</f>
        <v>0</v>
      </c>
      <c r="G37" s="716">
        <f t="shared" si="1"/>
        <v>275305557</v>
      </c>
      <c r="H37" s="710">
        <f>SUM(H38:H40)</f>
        <v>328355</v>
      </c>
      <c r="I37" s="716">
        <f t="shared" si="2"/>
        <v>275633912</v>
      </c>
    </row>
    <row r="38" spans="1:9" s="361" customFormat="1" ht="12" customHeight="1">
      <c r="A38" s="445" t="s">
        <v>410</v>
      </c>
      <c r="B38" s="446" t="s">
        <v>236</v>
      </c>
      <c r="C38" s="69"/>
      <c r="D38" s="725">
        <v>26099398</v>
      </c>
      <c r="E38" s="726">
        <f t="shared" si="0"/>
        <v>26099398</v>
      </c>
      <c r="F38" s="725"/>
      <c r="G38" s="726">
        <f t="shared" si="1"/>
        <v>26099398</v>
      </c>
      <c r="H38" s="725"/>
      <c r="I38" s="726">
        <f t="shared" si="2"/>
        <v>26099398</v>
      </c>
    </row>
    <row r="39" spans="1:9" s="361" customFormat="1" ht="12" customHeight="1">
      <c r="A39" s="445" t="s">
        <v>411</v>
      </c>
      <c r="B39" s="447" t="s">
        <v>2</v>
      </c>
      <c r="C39" s="311"/>
      <c r="D39" s="709"/>
      <c r="E39" s="717">
        <f t="shared" si="0"/>
        <v>0</v>
      </c>
      <c r="F39" s="709"/>
      <c r="G39" s="717">
        <f t="shared" si="1"/>
        <v>0</v>
      </c>
      <c r="H39" s="709"/>
      <c r="I39" s="717">
        <f t="shared" si="2"/>
        <v>0</v>
      </c>
    </row>
    <row r="40" spans="1:9" s="451" customFormat="1" ht="12" customHeight="1" thickBot="1">
      <c r="A40" s="444" t="s">
        <v>412</v>
      </c>
      <c r="B40" s="135" t="s">
        <v>413</v>
      </c>
      <c r="C40" s="76">
        <v>248175096</v>
      </c>
      <c r="D40" s="708">
        <v>1031063</v>
      </c>
      <c r="E40" s="722">
        <f t="shared" si="0"/>
        <v>249206159</v>
      </c>
      <c r="F40" s="708"/>
      <c r="G40" s="722">
        <f t="shared" si="1"/>
        <v>249206159</v>
      </c>
      <c r="H40" s="708">
        <v>328355</v>
      </c>
      <c r="I40" s="722">
        <f t="shared" si="2"/>
        <v>249534514</v>
      </c>
    </row>
    <row r="41" spans="1:9" s="451" customFormat="1" ht="15.2" customHeight="1" thickBot="1">
      <c r="A41" s="227" t="s">
        <v>27</v>
      </c>
      <c r="B41" s="228" t="s">
        <v>414</v>
      </c>
      <c r="C41" s="357">
        <f>+C36+C37</f>
        <v>346689460</v>
      </c>
      <c r="D41" s="710">
        <f>SUM(D36+D37)</f>
        <v>27130461</v>
      </c>
      <c r="E41" s="716">
        <f t="shared" si="0"/>
        <v>373819921</v>
      </c>
      <c r="F41" s="710">
        <f>SUM(F36+F37)</f>
        <v>0</v>
      </c>
      <c r="G41" s="716">
        <f t="shared" si="1"/>
        <v>373819921</v>
      </c>
      <c r="H41" s="710">
        <f>SUM(H36+H37)</f>
        <v>3328355</v>
      </c>
      <c r="I41" s="716">
        <f t="shared" si="2"/>
        <v>377148276</v>
      </c>
    </row>
    <row r="42" spans="1:9" s="451" customFormat="1" ht="15.2" customHeight="1">
      <c r="A42" s="229"/>
      <c r="B42" s="230"/>
      <c r="C42" s="355"/>
      <c r="D42" s="727"/>
      <c r="E42" s="728">
        <f t="shared" si="0"/>
        <v>0</v>
      </c>
      <c r="F42" s="727"/>
      <c r="G42" s="728">
        <f t="shared" si="1"/>
        <v>0</v>
      </c>
      <c r="H42" s="727"/>
      <c r="I42" s="728">
        <f t="shared" si="2"/>
        <v>0</v>
      </c>
    </row>
    <row r="43" spans="1:9" ht="13.5" thickBot="1">
      <c r="A43" s="231"/>
      <c r="B43" s="232"/>
      <c r="C43" s="356"/>
    </row>
    <row r="44" spans="1:9" s="450" customFormat="1" ht="16.5" customHeight="1" thickBot="1">
      <c r="A44" s="233"/>
      <c r="B44" s="234" t="s">
        <v>57</v>
      </c>
      <c r="C44" s="357"/>
      <c r="D44" s="705"/>
      <c r="E44" s="706"/>
      <c r="F44" s="705"/>
      <c r="G44" s="706"/>
      <c r="H44" s="705"/>
      <c r="I44" s="706"/>
    </row>
    <row r="45" spans="1:9" s="452" customFormat="1" ht="12" customHeight="1" thickBot="1">
      <c r="A45" s="193" t="s">
        <v>18</v>
      </c>
      <c r="B45" s="118" t="s">
        <v>415</v>
      </c>
      <c r="C45" s="310">
        <f>SUM(C46:C50)</f>
        <v>346689460</v>
      </c>
      <c r="D45" s="710">
        <f>SUM(D46:D50)</f>
        <v>25808928</v>
      </c>
      <c r="E45" s="716">
        <f>SUM(C45+D45)</f>
        <v>372498388</v>
      </c>
      <c r="F45" s="710">
        <f>SUM(F46:F50)</f>
        <v>0</v>
      </c>
      <c r="G45" s="716">
        <f>SUM(E45+F45)</f>
        <v>372498388</v>
      </c>
      <c r="H45" s="710">
        <f>SUM(H46:H50)</f>
        <v>425754</v>
      </c>
      <c r="I45" s="716">
        <f>SUM(G45+H45)</f>
        <v>372924142</v>
      </c>
    </row>
    <row r="46" spans="1:9" ht="12" customHeight="1">
      <c r="A46" s="444" t="s">
        <v>98</v>
      </c>
      <c r="B46" s="9" t="s">
        <v>49</v>
      </c>
      <c r="C46" s="69">
        <v>122193150</v>
      </c>
      <c r="D46" s="709">
        <v>877500</v>
      </c>
      <c r="E46" s="717">
        <f>SUM(C46+D46)</f>
        <v>123070650</v>
      </c>
      <c r="F46" s="709"/>
      <c r="G46" s="717">
        <f>SUM(E46+F46)</f>
        <v>123070650</v>
      </c>
      <c r="H46" s="709">
        <v>278500</v>
      </c>
      <c r="I46" s="717">
        <f>SUM(G46+H46)</f>
        <v>123349150</v>
      </c>
    </row>
    <row r="47" spans="1:9" ht="12" customHeight="1">
      <c r="A47" s="444" t="s">
        <v>99</v>
      </c>
      <c r="B47" s="8" t="s">
        <v>183</v>
      </c>
      <c r="C47" s="72">
        <v>25779330</v>
      </c>
      <c r="D47" s="707">
        <v>153563</v>
      </c>
      <c r="E47" s="717">
        <f t="shared" ref="E47:E60" si="3">SUM(C47+D47)</f>
        <v>25932893</v>
      </c>
      <c r="F47" s="707"/>
      <c r="G47" s="717">
        <f t="shared" ref="G47:G60" si="4">SUM(E47+F47)</f>
        <v>25932893</v>
      </c>
      <c r="H47" s="707">
        <v>49855</v>
      </c>
      <c r="I47" s="717">
        <f t="shared" ref="I47:I60" si="5">SUM(G47+H47)</f>
        <v>25982748</v>
      </c>
    </row>
    <row r="48" spans="1:9" ht="12" customHeight="1">
      <c r="A48" s="444" t="s">
        <v>100</v>
      </c>
      <c r="B48" s="8" t="s">
        <v>140</v>
      </c>
      <c r="C48" s="72">
        <v>198716980</v>
      </c>
      <c r="D48" s="707">
        <v>24777865</v>
      </c>
      <c r="E48" s="717">
        <f t="shared" si="3"/>
        <v>223494845</v>
      </c>
      <c r="F48" s="707"/>
      <c r="G48" s="717">
        <f t="shared" si="4"/>
        <v>223494845</v>
      </c>
      <c r="H48" s="707">
        <v>97399</v>
      </c>
      <c r="I48" s="717">
        <f t="shared" si="5"/>
        <v>223592244</v>
      </c>
    </row>
    <row r="49" spans="1:9" ht="12" customHeight="1">
      <c r="A49" s="444" t="s">
        <v>101</v>
      </c>
      <c r="B49" s="8" t="s">
        <v>184</v>
      </c>
      <c r="C49" s="72"/>
      <c r="D49" s="707"/>
      <c r="E49" s="717">
        <f t="shared" si="3"/>
        <v>0</v>
      </c>
      <c r="F49" s="707"/>
      <c r="G49" s="717">
        <f t="shared" si="4"/>
        <v>0</v>
      </c>
      <c r="H49" s="707"/>
      <c r="I49" s="717">
        <f t="shared" si="5"/>
        <v>0</v>
      </c>
    </row>
    <row r="50" spans="1:9" ht="12" customHeight="1" thickBot="1">
      <c r="A50" s="444" t="s">
        <v>148</v>
      </c>
      <c r="B50" s="8" t="s">
        <v>185</v>
      </c>
      <c r="C50" s="72"/>
      <c r="D50" s="708"/>
      <c r="E50" s="718">
        <f t="shared" si="3"/>
        <v>0</v>
      </c>
      <c r="F50" s="708"/>
      <c r="G50" s="718">
        <f t="shared" si="4"/>
        <v>0</v>
      </c>
      <c r="H50" s="708"/>
      <c r="I50" s="718">
        <f t="shared" si="5"/>
        <v>0</v>
      </c>
    </row>
    <row r="51" spans="1:9" ht="12" customHeight="1" thickBot="1">
      <c r="A51" s="193" t="s">
        <v>19</v>
      </c>
      <c r="B51" s="118" t="s">
        <v>416</v>
      </c>
      <c r="C51" s="310">
        <f>SUM(C52:C54)</f>
        <v>0</v>
      </c>
      <c r="D51" s="710">
        <f>SUM(D52:D54)</f>
        <v>1321533</v>
      </c>
      <c r="E51" s="716">
        <f t="shared" si="3"/>
        <v>1321533</v>
      </c>
      <c r="F51" s="710">
        <f>SUM(F52:F54)</f>
        <v>0</v>
      </c>
      <c r="G51" s="716">
        <f t="shared" si="4"/>
        <v>1321533</v>
      </c>
      <c r="H51" s="710">
        <f>SUM(H52:H54)</f>
        <v>2902601</v>
      </c>
      <c r="I51" s="716">
        <f t="shared" si="5"/>
        <v>4224134</v>
      </c>
    </row>
    <row r="52" spans="1:9" s="452" customFormat="1" ht="12" customHeight="1">
      <c r="A52" s="444" t="s">
        <v>104</v>
      </c>
      <c r="B52" s="9" t="s">
        <v>230</v>
      </c>
      <c r="C52" s="69"/>
      <c r="D52" s="709">
        <v>1321533</v>
      </c>
      <c r="E52" s="717">
        <f t="shared" si="3"/>
        <v>1321533</v>
      </c>
      <c r="F52" s="709"/>
      <c r="G52" s="717">
        <f t="shared" si="4"/>
        <v>1321533</v>
      </c>
      <c r="H52" s="709">
        <v>2902601</v>
      </c>
      <c r="I52" s="717">
        <f t="shared" si="5"/>
        <v>4224134</v>
      </c>
    </row>
    <row r="53" spans="1:9" ht="12" customHeight="1">
      <c r="A53" s="444" t="s">
        <v>105</v>
      </c>
      <c r="B53" s="8" t="s">
        <v>187</v>
      </c>
      <c r="C53" s="72"/>
      <c r="D53" s="707"/>
      <c r="E53" s="717">
        <f t="shared" si="3"/>
        <v>0</v>
      </c>
      <c r="F53" s="707"/>
      <c r="G53" s="717">
        <f t="shared" si="4"/>
        <v>0</v>
      </c>
      <c r="H53" s="707"/>
      <c r="I53" s="717">
        <f t="shared" si="5"/>
        <v>0</v>
      </c>
    </row>
    <row r="54" spans="1:9" ht="12" customHeight="1">
      <c r="A54" s="444" t="s">
        <v>106</v>
      </c>
      <c r="B54" s="8" t="s">
        <v>58</v>
      </c>
      <c r="C54" s="72"/>
      <c r="D54" s="707"/>
      <c r="E54" s="717">
        <f t="shared" si="3"/>
        <v>0</v>
      </c>
      <c r="F54" s="707"/>
      <c r="G54" s="717">
        <f t="shared" si="4"/>
        <v>0</v>
      </c>
      <c r="H54" s="707"/>
      <c r="I54" s="717">
        <f t="shared" si="5"/>
        <v>0</v>
      </c>
    </row>
    <row r="55" spans="1:9" ht="12" customHeight="1" thickBot="1">
      <c r="A55" s="444" t="s">
        <v>107</v>
      </c>
      <c r="B55" s="8" t="s">
        <v>524</v>
      </c>
      <c r="C55" s="72"/>
      <c r="D55" s="708"/>
      <c r="E55" s="718">
        <f t="shared" si="3"/>
        <v>0</v>
      </c>
      <c r="F55" s="708"/>
      <c r="G55" s="718">
        <f t="shared" si="4"/>
        <v>0</v>
      </c>
      <c r="H55" s="708"/>
      <c r="I55" s="718">
        <f t="shared" si="5"/>
        <v>0</v>
      </c>
    </row>
    <row r="56" spans="1:9" ht="15.2" customHeight="1" thickBot="1">
      <c r="A56" s="193" t="s">
        <v>20</v>
      </c>
      <c r="B56" s="118" t="s">
        <v>13</v>
      </c>
      <c r="C56" s="336"/>
      <c r="D56" s="710"/>
      <c r="E56" s="712">
        <f t="shared" si="3"/>
        <v>0</v>
      </c>
      <c r="F56" s="710"/>
      <c r="G56" s="712">
        <f t="shared" si="4"/>
        <v>0</v>
      </c>
      <c r="H56" s="710"/>
      <c r="I56" s="712">
        <f t="shared" si="5"/>
        <v>0</v>
      </c>
    </row>
    <row r="57" spans="1:9" ht="13.5" thickBot="1">
      <c r="A57" s="193" t="s">
        <v>21</v>
      </c>
      <c r="B57" s="235" t="s">
        <v>529</v>
      </c>
      <c r="C57" s="358">
        <f>+C45+C51+C56</f>
        <v>346689460</v>
      </c>
      <c r="D57" s="710">
        <f>SUM(D45+D51+D56)</f>
        <v>27130461</v>
      </c>
      <c r="E57" s="716">
        <f t="shared" si="3"/>
        <v>373819921</v>
      </c>
      <c r="F57" s="710">
        <f>SUM(F45+F51+F56)</f>
        <v>0</v>
      </c>
      <c r="G57" s="716">
        <f t="shared" si="4"/>
        <v>373819921</v>
      </c>
      <c r="H57" s="710">
        <f>SUM(H45+H51+H56)</f>
        <v>3328355</v>
      </c>
      <c r="I57" s="716">
        <f t="shared" si="5"/>
        <v>377148276</v>
      </c>
    </row>
    <row r="58" spans="1:9" ht="15.2" customHeight="1" thickBot="1">
      <c r="C58" s="623">
        <f>C41-C57</f>
        <v>0</v>
      </c>
      <c r="D58" s="711"/>
      <c r="E58" s="712">
        <f t="shared" si="3"/>
        <v>0</v>
      </c>
      <c r="F58" s="711"/>
      <c r="G58" s="712">
        <f t="shared" si="4"/>
        <v>0</v>
      </c>
      <c r="H58" s="711"/>
      <c r="I58" s="712">
        <f t="shared" si="5"/>
        <v>0</v>
      </c>
    </row>
    <row r="59" spans="1:9" ht="14.45" customHeight="1" thickBot="1">
      <c r="A59" s="238" t="s">
        <v>519</v>
      </c>
      <c r="B59" s="239"/>
      <c r="C59" s="115">
        <v>45</v>
      </c>
      <c r="D59" s="710">
        <v>2</v>
      </c>
      <c r="E59" s="716">
        <f t="shared" si="3"/>
        <v>47</v>
      </c>
      <c r="F59" s="710"/>
      <c r="G59" s="716">
        <f t="shared" si="4"/>
        <v>47</v>
      </c>
      <c r="H59" s="710"/>
      <c r="I59" s="716">
        <f t="shared" si="5"/>
        <v>47</v>
      </c>
    </row>
    <row r="60" spans="1:9" ht="13.5" thickBot="1">
      <c r="A60" s="238" t="s">
        <v>206</v>
      </c>
      <c r="B60" s="239"/>
      <c r="C60" s="115"/>
      <c r="D60" s="710"/>
      <c r="E60" s="712">
        <f t="shared" si="3"/>
        <v>0</v>
      </c>
      <c r="F60" s="710"/>
      <c r="G60" s="712">
        <f t="shared" si="4"/>
        <v>0</v>
      </c>
      <c r="H60" s="710"/>
      <c r="I60" s="712">
        <f t="shared" si="5"/>
        <v>0</v>
      </c>
    </row>
  </sheetData>
  <sheetProtection formatCells="0"/>
  <printOptions horizontalCentered="1"/>
  <pageMargins left="0.78740157480314965" right="0.78740157480314965" top="0.98425196850393704" bottom="0.98425196850393704" header="0.78740157480314965" footer="0.78740157480314965"/>
  <pageSetup paperSize="8" scale="80" orientation="landscape" verticalDpi="300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E3" sqref="E3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16384" width="9.33203125" style="237"/>
  </cols>
  <sheetData>
    <row r="1" spans="1:3" s="217" customFormat="1" ht="21.2" customHeight="1" thickBot="1">
      <c r="A1" s="216"/>
      <c r="B1" s="218"/>
      <c r="C1" s="588" t="str">
        <f ca="1">CONCATENATE("9.7.1. melléklet ",ALAPADATOK!A7," ",ALAPADATOK!B7," ",ALAPADATOK!C7," ",ALAPADATOK!D7," ",ALAPADATOK!E7," ",ALAPADATOK!F7," ",ALAPADATOK!G7," ",ALAPADATOK!H7)</f>
        <v>9.7.1. melléklet a … / 2019 ( … ) önkormányzati rendelethez</v>
      </c>
    </row>
    <row r="2" spans="1:3" s="448" customFormat="1" ht="36">
      <c r="A2" s="400" t="s">
        <v>204</v>
      </c>
      <c r="B2" s="586" t="str">
        <f ca="1">CONCATENATE(KV_9.7.sz.mell!B2)</f>
        <v>Dabasi Intézményfenntartó Központ</v>
      </c>
      <c r="C2" s="359" t="s">
        <v>608</v>
      </c>
    </row>
    <row r="3" spans="1:3" s="448" customFormat="1" ht="24.75" thickBot="1">
      <c r="A3" s="442" t="s">
        <v>203</v>
      </c>
      <c r="B3" s="587" t="s">
        <v>417</v>
      </c>
      <c r="C3" s="360" t="s">
        <v>59</v>
      </c>
    </row>
    <row r="4" spans="1:3" s="449" customFormat="1" ht="15.95" customHeight="1" thickBot="1">
      <c r="A4" s="219"/>
      <c r="B4" s="219"/>
      <c r="C4" s="220" t="str">
        <f ca="1">KV_9.7.sz.mell!C4</f>
        <v/>
      </c>
    </row>
    <row r="5" spans="1:3" ht="13.5" thickBot="1">
      <c r="A5" s="401" t="s">
        <v>205</v>
      </c>
      <c r="B5" s="221" t="s">
        <v>563</v>
      </c>
      <c r="C5" s="222" t="s">
        <v>55</v>
      </c>
    </row>
    <row r="6" spans="1:3" s="450" customFormat="1" ht="12.95" customHeight="1" thickBot="1">
      <c r="A6" s="185"/>
      <c r="B6" s="186" t="s">
        <v>493</v>
      </c>
      <c r="C6" s="187" t="s">
        <v>494</v>
      </c>
    </row>
    <row r="7" spans="1:3" s="450" customFormat="1" ht="15.95" customHeight="1" thickBot="1">
      <c r="A7" s="223"/>
      <c r="B7" s="224" t="s">
        <v>56</v>
      </c>
      <c r="C7" s="225"/>
    </row>
    <row r="8" spans="1:3" s="361" customFormat="1" ht="12" customHeight="1" thickBot="1">
      <c r="A8" s="185" t="s">
        <v>18</v>
      </c>
      <c r="B8" s="226" t="s">
        <v>520</v>
      </c>
      <c r="C8" s="310">
        <f>SUM(C9:C19)</f>
        <v>0</v>
      </c>
    </row>
    <row r="9" spans="1:3" s="361" customFormat="1" ht="12" customHeight="1">
      <c r="A9" s="443" t="s">
        <v>98</v>
      </c>
      <c r="B9" s="10" t="s">
        <v>277</v>
      </c>
      <c r="C9" s="351"/>
    </row>
    <row r="10" spans="1:3" s="361" customFormat="1" ht="12" customHeight="1">
      <c r="A10" s="444" t="s">
        <v>99</v>
      </c>
      <c r="B10" s="8" t="s">
        <v>278</v>
      </c>
      <c r="C10" s="308"/>
    </row>
    <row r="11" spans="1:3" s="361" customFormat="1" ht="12" customHeight="1">
      <c r="A11" s="444" t="s">
        <v>100</v>
      </c>
      <c r="B11" s="8" t="s">
        <v>279</v>
      </c>
      <c r="C11" s="308"/>
    </row>
    <row r="12" spans="1:3" s="361" customFormat="1" ht="12" customHeight="1">
      <c r="A12" s="444" t="s">
        <v>101</v>
      </c>
      <c r="B12" s="8" t="s">
        <v>280</v>
      </c>
      <c r="C12" s="308"/>
    </row>
    <row r="13" spans="1:3" s="361" customFormat="1" ht="12" customHeight="1">
      <c r="A13" s="444" t="s">
        <v>148</v>
      </c>
      <c r="B13" s="8" t="s">
        <v>281</v>
      </c>
      <c r="C13" s="308"/>
    </row>
    <row r="14" spans="1:3" s="361" customFormat="1" ht="12" customHeight="1">
      <c r="A14" s="444" t="s">
        <v>102</v>
      </c>
      <c r="B14" s="8" t="s">
        <v>399</v>
      </c>
      <c r="C14" s="308"/>
    </row>
    <row r="15" spans="1:3" s="361" customFormat="1" ht="12" customHeight="1">
      <c r="A15" s="444" t="s">
        <v>103</v>
      </c>
      <c r="B15" s="7" t="s">
        <v>400</v>
      </c>
      <c r="C15" s="308"/>
    </row>
    <row r="16" spans="1:3" s="361" customFormat="1" ht="12" customHeight="1">
      <c r="A16" s="444" t="s">
        <v>113</v>
      </c>
      <c r="B16" s="8" t="s">
        <v>284</v>
      </c>
      <c r="C16" s="352"/>
    </row>
    <row r="17" spans="1:3" s="451" customFormat="1" ht="12" customHeight="1">
      <c r="A17" s="444" t="s">
        <v>114</v>
      </c>
      <c r="B17" s="8" t="s">
        <v>285</v>
      </c>
      <c r="C17" s="308"/>
    </row>
    <row r="18" spans="1:3" s="451" customFormat="1" ht="12" customHeight="1">
      <c r="A18" s="444" t="s">
        <v>115</v>
      </c>
      <c r="B18" s="8" t="s">
        <v>436</v>
      </c>
      <c r="C18" s="309"/>
    </row>
    <row r="19" spans="1:3" s="451" customFormat="1" ht="12" customHeight="1" thickBot="1">
      <c r="A19" s="444" t="s">
        <v>116</v>
      </c>
      <c r="B19" s="7" t="s">
        <v>286</v>
      </c>
      <c r="C19" s="309"/>
    </row>
    <row r="20" spans="1:3" s="361" customFormat="1" ht="12" customHeight="1" thickBot="1">
      <c r="A20" s="185" t="s">
        <v>19</v>
      </c>
      <c r="B20" s="226" t="s">
        <v>401</v>
      </c>
      <c r="C20" s="310">
        <f>SUM(C21:C23)</f>
        <v>0</v>
      </c>
    </row>
    <row r="21" spans="1:3" s="451" customFormat="1" ht="12" customHeight="1">
      <c r="A21" s="444" t="s">
        <v>104</v>
      </c>
      <c r="B21" s="9" t="s">
        <v>258</v>
      </c>
      <c r="C21" s="308"/>
    </row>
    <row r="22" spans="1:3" s="451" customFormat="1" ht="12" customHeight="1">
      <c r="A22" s="444" t="s">
        <v>105</v>
      </c>
      <c r="B22" s="8" t="s">
        <v>402</v>
      </c>
      <c r="C22" s="308"/>
    </row>
    <row r="23" spans="1:3" s="451" customFormat="1" ht="12" customHeight="1">
      <c r="A23" s="444" t="s">
        <v>106</v>
      </c>
      <c r="B23" s="8" t="s">
        <v>403</v>
      </c>
      <c r="C23" s="308"/>
    </row>
    <row r="24" spans="1:3" s="451" customFormat="1" ht="12" customHeight="1" thickBot="1">
      <c r="A24" s="444" t="s">
        <v>107</v>
      </c>
      <c r="B24" s="8" t="s">
        <v>525</v>
      </c>
      <c r="C24" s="308"/>
    </row>
    <row r="25" spans="1:3" s="451" customFormat="1" ht="12" customHeight="1" thickBot="1">
      <c r="A25" s="193" t="s">
        <v>20</v>
      </c>
      <c r="B25" s="118" t="s">
        <v>174</v>
      </c>
      <c r="C25" s="336"/>
    </row>
    <row r="26" spans="1:3" s="451" customFormat="1" ht="12" customHeight="1" thickBot="1">
      <c r="A26" s="193" t="s">
        <v>21</v>
      </c>
      <c r="B26" s="118" t="s">
        <v>404</v>
      </c>
      <c r="C26" s="310">
        <f>+C27+C28</f>
        <v>0</v>
      </c>
    </row>
    <row r="27" spans="1:3" s="451" customFormat="1" ht="12" customHeight="1">
      <c r="A27" s="445" t="s">
        <v>268</v>
      </c>
      <c r="B27" s="446" t="s">
        <v>402</v>
      </c>
      <c r="C27" s="69"/>
    </row>
    <row r="28" spans="1:3" s="451" customFormat="1" ht="12" customHeight="1">
      <c r="A28" s="445" t="s">
        <v>269</v>
      </c>
      <c r="B28" s="447" t="s">
        <v>405</v>
      </c>
      <c r="C28" s="311"/>
    </row>
    <row r="29" spans="1:3" s="451" customFormat="1" ht="12" customHeight="1" thickBot="1">
      <c r="A29" s="444" t="s">
        <v>270</v>
      </c>
      <c r="B29" s="135" t="s">
        <v>526</v>
      </c>
      <c r="C29" s="76"/>
    </row>
    <row r="30" spans="1:3" s="451" customFormat="1" ht="12" customHeight="1" thickBot="1">
      <c r="A30" s="193" t="s">
        <v>22</v>
      </c>
      <c r="B30" s="118" t="s">
        <v>406</v>
      </c>
      <c r="C30" s="310">
        <f>+C31+C32+C33</f>
        <v>0</v>
      </c>
    </row>
    <row r="31" spans="1:3" s="451" customFormat="1" ht="12" customHeight="1">
      <c r="A31" s="445" t="s">
        <v>91</v>
      </c>
      <c r="B31" s="446" t="s">
        <v>291</v>
      </c>
      <c r="C31" s="69"/>
    </row>
    <row r="32" spans="1:3" s="451" customFormat="1" ht="12" customHeight="1">
      <c r="A32" s="445" t="s">
        <v>92</v>
      </c>
      <c r="B32" s="447" t="s">
        <v>292</v>
      </c>
      <c r="C32" s="311"/>
    </row>
    <row r="33" spans="1:3" s="451" customFormat="1" ht="12" customHeight="1" thickBot="1">
      <c r="A33" s="444" t="s">
        <v>93</v>
      </c>
      <c r="B33" s="135" t="s">
        <v>293</v>
      </c>
      <c r="C33" s="76"/>
    </row>
    <row r="34" spans="1:3" s="361" customFormat="1" ht="12" customHeight="1" thickBot="1">
      <c r="A34" s="193" t="s">
        <v>23</v>
      </c>
      <c r="B34" s="118" t="s">
        <v>376</v>
      </c>
      <c r="C34" s="336"/>
    </row>
    <row r="35" spans="1:3" s="361" customFormat="1" ht="12" customHeight="1" thickBot="1">
      <c r="A35" s="193" t="s">
        <v>24</v>
      </c>
      <c r="B35" s="118" t="s">
        <v>407</v>
      </c>
      <c r="C35" s="353"/>
    </row>
    <row r="36" spans="1:3" s="361" customFormat="1" ht="12" customHeight="1" thickBot="1">
      <c r="A36" s="185" t="s">
        <v>25</v>
      </c>
      <c r="B36" s="118" t="s">
        <v>527</v>
      </c>
      <c r="C36" s="354">
        <f>+C8+C20+C25+C26+C30+C34+C35</f>
        <v>0</v>
      </c>
    </row>
    <row r="37" spans="1:3" s="361" customFormat="1" ht="12" customHeight="1" thickBot="1">
      <c r="A37" s="227" t="s">
        <v>26</v>
      </c>
      <c r="B37" s="118" t="s">
        <v>409</v>
      </c>
      <c r="C37" s="354">
        <f>+C38+C39+C40</f>
        <v>0</v>
      </c>
    </row>
    <row r="38" spans="1:3" s="361" customFormat="1" ht="12" customHeight="1">
      <c r="A38" s="445" t="s">
        <v>410</v>
      </c>
      <c r="B38" s="446" t="s">
        <v>236</v>
      </c>
      <c r="C38" s="69"/>
    </row>
    <row r="39" spans="1:3" s="361" customFormat="1" ht="12" customHeight="1">
      <c r="A39" s="445" t="s">
        <v>411</v>
      </c>
      <c r="B39" s="447" t="s">
        <v>2</v>
      </c>
      <c r="C39" s="311"/>
    </row>
    <row r="40" spans="1:3" s="451" customFormat="1" ht="12" customHeight="1" thickBot="1">
      <c r="A40" s="444" t="s">
        <v>412</v>
      </c>
      <c r="B40" s="135" t="s">
        <v>413</v>
      </c>
      <c r="C40" s="76"/>
    </row>
    <row r="41" spans="1:3" s="451" customFormat="1" ht="15.2" customHeight="1" thickBot="1">
      <c r="A41" s="227" t="s">
        <v>27</v>
      </c>
      <c r="B41" s="228" t="s">
        <v>414</v>
      </c>
      <c r="C41" s="357">
        <f>+C36+C37</f>
        <v>0</v>
      </c>
    </row>
    <row r="42" spans="1:3" s="451" customFormat="1" ht="15.2" customHeight="1">
      <c r="A42" s="229"/>
      <c r="B42" s="230"/>
      <c r="C42" s="355"/>
    </row>
    <row r="43" spans="1:3" ht="13.5" thickBot="1">
      <c r="A43" s="231"/>
      <c r="B43" s="232"/>
      <c r="C43" s="356"/>
    </row>
    <row r="44" spans="1:3" s="450" customFormat="1" ht="16.5" customHeight="1" thickBot="1">
      <c r="A44" s="233"/>
      <c r="B44" s="234" t="s">
        <v>57</v>
      </c>
      <c r="C44" s="357"/>
    </row>
    <row r="45" spans="1:3" s="452" customFormat="1" ht="12" customHeight="1" thickBot="1">
      <c r="A45" s="193" t="s">
        <v>18</v>
      </c>
      <c r="B45" s="118" t="s">
        <v>415</v>
      </c>
      <c r="C45" s="310">
        <f>SUM(C46:C50)</f>
        <v>0</v>
      </c>
    </row>
    <row r="46" spans="1:3" ht="12" customHeight="1">
      <c r="A46" s="444" t="s">
        <v>98</v>
      </c>
      <c r="B46" s="9" t="s">
        <v>49</v>
      </c>
      <c r="C46" s="69"/>
    </row>
    <row r="47" spans="1:3" ht="12" customHeight="1">
      <c r="A47" s="444" t="s">
        <v>99</v>
      </c>
      <c r="B47" s="8" t="s">
        <v>183</v>
      </c>
      <c r="C47" s="72"/>
    </row>
    <row r="48" spans="1:3" ht="12" customHeight="1">
      <c r="A48" s="444" t="s">
        <v>100</v>
      </c>
      <c r="B48" s="8" t="s">
        <v>140</v>
      </c>
      <c r="C48" s="72"/>
    </row>
    <row r="49" spans="1:3" ht="12" customHeight="1">
      <c r="A49" s="444" t="s">
        <v>101</v>
      </c>
      <c r="B49" s="8" t="s">
        <v>184</v>
      </c>
      <c r="C49" s="72"/>
    </row>
    <row r="50" spans="1:3" ht="12" customHeight="1" thickBot="1">
      <c r="A50" s="444" t="s">
        <v>148</v>
      </c>
      <c r="B50" s="8" t="s">
        <v>185</v>
      </c>
      <c r="C50" s="72"/>
    </row>
    <row r="51" spans="1:3" ht="12" customHeight="1" thickBot="1">
      <c r="A51" s="193" t="s">
        <v>19</v>
      </c>
      <c r="B51" s="118" t="s">
        <v>416</v>
      </c>
      <c r="C51" s="310">
        <f>SUM(C52:C54)</f>
        <v>0</v>
      </c>
    </row>
    <row r="52" spans="1:3" s="452" customFormat="1" ht="12" customHeight="1">
      <c r="A52" s="444" t="s">
        <v>104</v>
      </c>
      <c r="B52" s="9" t="s">
        <v>230</v>
      </c>
      <c r="C52" s="69"/>
    </row>
    <row r="53" spans="1:3" ht="12" customHeight="1">
      <c r="A53" s="444" t="s">
        <v>105</v>
      </c>
      <c r="B53" s="8" t="s">
        <v>187</v>
      </c>
      <c r="C53" s="72"/>
    </row>
    <row r="54" spans="1:3" ht="12" customHeight="1">
      <c r="A54" s="444" t="s">
        <v>106</v>
      </c>
      <c r="B54" s="8" t="s">
        <v>58</v>
      </c>
      <c r="C54" s="72"/>
    </row>
    <row r="55" spans="1:3" ht="12" customHeight="1" thickBot="1">
      <c r="A55" s="444" t="s">
        <v>107</v>
      </c>
      <c r="B55" s="8" t="s">
        <v>524</v>
      </c>
      <c r="C55" s="72"/>
    </row>
    <row r="56" spans="1:3" ht="15.2" customHeight="1" thickBot="1">
      <c r="A56" s="193" t="s">
        <v>20</v>
      </c>
      <c r="B56" s="118" t="s">
        <v>13</v>
      </c>
      <c r="C56" s="336"/>
    </row>
    <row r="57" spans="1:3" ht="13.5" thickBot="1">
      <c r="A57" s="193" t="s">
        <v>21</v>
      </c>
      <c r="B57" s="235" t="s">
        <v>529</v>
      </c>
      <c r="C57" s="358">
        <f>+C45+C51+C56</f>
        <v>0</v>
      </c>
    </row>
    <row r="58" spans="1:3" ht="15.2" customHeight="1" thickBot="1">
      <c r="C58" s="623">
        <f>C41-C57</f>
        <v>0</v>
      </c>
    </row>
    <row r="59" spans="1:3" ht="14.45" customHeight="1" thickBot="1">
      <c r="A59" s="238" t="s">
        <v>519</v>
      </c>
      <c r="B59" s="239"/>
      <c r="C59" s="115"/>
    </row>
    <row r="60" spans="1:3" ht="13.5" thickBot="1">
      <c r="A60" s="238" t="s">
        <v>206</v>
      </c>
      <c r="B60" s="239"/>
      <c r="C60" s="115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E4" sqref="E4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16384" width="9.33203125" style="237"/>
  </cols>
  <sheetData>
    <row r="1" spans="1:3" s="217" customFormat="1" ht="21.2" customHeight="1" thickBot="1">
      <c r="A1" s="216"/>
      <c r="B1" s="218"/>
      <c r="C1" s="588" t="str">
        <f ca="1">CONCATENATE("9.7.2. melléklet ",ALAPADATOK!A7," ",ALAPADATOK!B7," ",ALAPADATOK!C7," ",ALAPADATOK!D7," ",ALAPADATOK!E7," ",ALAPADATOK!F7," ",ALAPADATOK!G7," ",ALAPADATOK!H7)</f>
        <v>9.7.2. melléklet a … / 2019 ( … ) önkormányzati rendelethez</v>
      </c>
    </row>
    <row r="2" spans="1:3" s="448" customFormat="1" ht="36">
      <c r="A2" s="400" t="s">
        <v>204</v>
      </c>
      <c r="B2" s="586" t="str">
        <f ca="1">CONCATENATE(KV_9.7.1.sz.mell!B2)</f>
        <v>Dabasi Intézményfenntartó Központ</v>
      </c>
      <c r="C2" s="359" t="s">
        <v>608</v>
      </c>
    </row>
    <row r="3" spans="1:3" s="448" customFormat="1" ht="24.75" thickBot="1">
      <c r="A3" s="442" t="s">
        <v>203</v>
      </c>
      <c r="B3" s="587" t="s">
        <v>418</v>
      </c>
      <c r="C3" s="360" t="s">
        <v>60</v>
      </c>
    </row>
    <row r="4" spans="1:3" s="449" customFormat="1" ht="15.95" customHeight="1" thickBot="1">
      <c r="A4" s="219"/>
      <c r="B4" s="219"/>
      <c r="C4" s="220" t="str">
        <f ca="1">KV_9.7.1.sz.mell!C4</f>
        <v/>
      </c>
    </row>
    <row r="5" spans="1:3" ht="13.5" thickBot="1">
      <c r="A5" s="401" t="s">
        <v>205</v>
      </c>
      <c r="B5" s="221" t="s">
        <v>563</v>
      </c>
      <c r="C5" s="222" t="s">
        <v>55</v>
      </c>
    </row>
    <row r="6" spans="1:3" s="450" customFormat="1" ht="12.95" customHeight="1" thickBot="1">
      <c r="A6" s="185"/>
      <c r="B6" s="186" t="s">
        <v>493</v>
      </c>
      <c r="C6" s="187" t="s">
        <v>494</v>
      </c>
    </row>
    <row r="7" spans="1:3" s="450" customFormat="1" ht="15.95" customHeight="1" thickBot="1">
      <c r="A7" s="223"/>
      <c r="B7" s="224" t="s">
        <v>56</v>
      </c>
      <c r="C7" s="225"/>
    </row>
    <row r="8" spans="1:3" s="361" customFormat="1" ht="12" customHeight="1" thickBot="1">
      <c r="A8" s="185" t="s">
        <v>18</v>
      </c>
      <c r="B8" s="226" t="s">
        <v>520</v>
      </c>
      <c r="C8" s="310">
        <f>SUM(C9:C19)</f>
        <v>0</v>
      </c>
    </row>
    <row r="9" spans="1:3" s="361" customFormat="1" ht="12" customHeight="1">
      <c r="A9" s="443" t="s">
        <v>98</v>
      </c>
      <c r="B9" s="10" t="s">
        <v>277</v>
      </c>
      <c r="C9" s="351"/>
    </row>
    <row r="10" spans="1:3" s="361" customFormat="1" ht="12" customHeight="1">
      <c r="A10" s="444" t="s">
        <v>99</v>
      </c>
      <c r="B10" s="8" t="s">
        <v>278</v>
      </c>
      <c r="C10" s="308"/>
    </row>
    <row r="11" spans="1:3" s="361" customFormat="1" ht="12" customHeight="1">
      <c r="A11" s="444" t="s">
        <v>100</v>
      </c>
      <c r="B11" s="8" t="s">
        <v>279</v>
      </c>
      <c r="C11" s="308"/>
    </row>
    <row r="12" spans="1:3" s="361" customFormat="1" ht="12" customHeight="1">
      <c r="A12" s="444" t="s">
        <v>101</v>
      </c>
      <c r="B12" s="8" t="s">
        <v>280</v>
      </c>
      <c r="C12" s="308"/>
    </row>
    <row r="13" spans="1:3" s="361" customFormat="1" ht="12" customHeight="1">
      <c r="A13" s="444" t="s">
        <v>148</v>
      </c>
      <c r="B13" s="8" t="s">
        <v>281</v>
      </c>
      <c r="C13" s="308"/>
    </row>
    <row r="14" spans="1:3" s="361" customFormat="1" ht="12" customHeight="1">
      <c r="A14" s="444" t="s">
        <v>102</v>
      </c>
      <c r="B14" s="8" t="s">
        <v>399</v>
      </c>
      <c r="C14" s="308"/>
    </row>
    <row r="15" spans="1:3" s="361" customFormat="1" ht="12" customHeight="1">
      <c r="A15" s="444" t="s">
        <v>103</v>
      </c>
      <c r="B15" s="7" t="s">
        <v>400</v>
      </c>
      <c r="C15" s="308"/>
    </row>
    <row r="16" spans="1:3" s="361" customFormat="1" ht="12" customHeight="1">
      <c r="A16" s="444" t="s">
        <v>113</v>
      </c>
      <c r="B16" s="8" t="s">
        <v>284</v>
      </c>
      <c r="C16" s="352"/>
    </row>
    <row r="17" spans="1:3" s="451" customFormat="1" ht="12" customHeight="1">
      <c r="A17" s="444" t="s">
        <v>114</v>
      </c>
      <c r="B17" s="8" t="s">
        <v>285</v>
      </c>
      <c r="C17" s="308"/>
    </row>
    <row r="18" spans="1:3" s="451" customFormat="1" ht="12" customHeight="1">
      <c r="A18" s="444" t="s">
        <v>115</v>
      </c>
      <c r="B18" s="8" t="s">
        <v>436</v>
      </c>
      <c r="C18" s="309"/>
    </row>
    <row r="19" spans="1:3" s="451" customFormat="1" ht="12" customHeight="1" thickBot="1">
      <c r="A19" s="444" t="s">
        <v>116</v>
      </c>
      <c r="B19" s="7" t="s">
        <v>286</v>
      </c>
      <c r="C19" s="309"/>
    </row>
    <row r="20" spans="1:3" s="361" customFormat="1" ht="12" customHeight="1" thickBot="1">
      <c r="A20" s="185" t="s">
        <v>19</v>
      </c>
      <c r="B20" s="226" t="s">
        <v>401</v>
      </c>
      <c r="C20" s="310">
        <f>SUM(C21:C23)</f>
        <v>0</v>
      </c>
    </row>
    <row r="21" spans="1:3" s="451" customFormat="1" ht="12" customHeight="1">
      <c r="A21" s="444" t="s">
        <v>104</v>
      </c>
      <c r="B21" s="9" t="s">
        <v>258</v>
      </c>
      <c r="C21" s="308"/>
    </row>
    <row r="22" spans="1:3" s="451" customFormat="1" ht="12" customHeight="1">
      <c r="A22" s="444" t="s">
        <v>105</v>
      </c>
      <c r="B22" s="8" t="s">
        <v>402</v>
      </c>
      <c r="C22" s="308"/>
    </row>
    <row r="23" spans="1:3" s="451" customFormat="1" ht="12" customHeight="1">
      <c r="A23" s="444" t="s">
        <v>106</v>
      </c>
      <c r="B23" s="8" t="s">
        <v>403</v>
      </c>
      <c r="C23" s="308"/>
    </row>
    <row r="24" spans="1:3" s="451" customFormat="1" ht="12" customHeight="1" thickBot="1">
      <c r="A24" s="444" t="s">
        <v>107</v>
      </c>
      <c r="B24" s="8" t="s">
        <v>525</v>
      </c>
      <c r="C24" s="308"/>
    </row>
    <row r="25" spans="1:3" s="451" customFormat="1" ht="12" customHeight="1" thickBot="1">
      <c r="A25" s="193" t="s">
        <v>20</v>
      </c>
      <c r="B25" s="118" t="s">
        <v>174</v>
      </c>
      <c r="C25" s="336"/>
    </row>
    <row r="26" spans="1:3" s="451" customFormat="1" ht="12" customHeight="1" thickBot="1">
      <c r="A26" s="193" t="s">
        <v>21</v>
      </c>
      <c r="B26" s="118" t="s">
        <v>404</v>
      </c>
      <c r="C26" s="310">
        <f>+C27+C28</f>
        <v>0</v>
      </c>
    </row>
    <row r="27" spans="1:3" s="451" customFormat="1" ht="12" customHeight="1">
      <c r="A27" s="445" t="s">
        <v>268</v>
      </c>
      <c r="B27" s="446" t="s">
        <v>402</v>
      </c>
      <c r="C27" s="69"/>
    </row>
    <row r="28" spans="1:3" s="451" customFormat="1" ht="12" customHeight="1">
      <c r="A28" s="445" t="s">
        <v>269</v>
      </c>
      <c r="B28" s="447" t="s">
        <v>405</v>
      </c>
      <c r="C28" s="311"/>
    </row>
    <row r="29" spans="1:3" s="451" customFormat="1" ht="12" customHeight="1" thickBot="1">
      <c r="A29" s="444" t="s">
        <v>270</v>
      </c>
      <c r="B29" s="135" t="s">
        <v>526</v>
      </c>
      <c r="C29" s="76"/>
    </row>
    <row r="30" spans="1:3" s="451" customFormat="1" ht="12" customHeight="1" thickBot="1">
      <c r="A30" s="193" t="s">
        <v>22</v>
      </c>
      <c r="B30" s="118" t="s">
        <v>406</v>
      </c>
      <c r="C30" s="310">
        <f>+C31+C32+C33</f>
        <v>0</v>
      </c>
    </row>
    <row r="31" spans="1:3" s="451" customFormat="1" ht="12" customHeight="1">
      <c r="A31" s="445" t="s">
        <v>91</v>
      </c>
      <c r="B31" s="446" t="s">
        <v>291</v>
      </c>
      <c r="C31" s="69"/>
    </row>
    <row r="32" spans="1:3" s="451" customFormat="1" ht="12" customHeight="1">
      <c r="A32" s="445" t="s">
        <v>92</v>
      </c>
      <c r="B32" s="447" t="s">
        <v>292</v>
      </c>
      <c r="C32" s="311"/>
    </row>
    <row r="33" spans="1:3" s="451" customFormat="1" ht="12" customHeight="1" thickBot="1">
      <c r="A33" s="444" t="s">
        <v>93</v>
      </c>
      <c r="B33" s="135" t="s">
        <v>293</v>
      </c>
      <c r="C33" s="76"/>
    </row>
    <row r="34" spans="1:3" s="361" customFormat="1" ht="12" customHeight="1" thickBot="1">
      <c r="A34" s="193" t="s">
        <v>23</v>
      </c>
      <c r="B34" s="118" t="s">
        <v>376</v>
      </c>
      <c r="C34" s="336"/>
    </row>
    <row r="35" spans="1:3" s="361" customFormat="1" ht="12" customHeight="1" thickBot="1">
      <c r="A35" s="193" t="s">
        <v>24</v>
      </c>
      <c r="B35" s="118" t="s">
        <v>407</v>
      </c>
      <c r="C35" s="353"/>
    </row>
    <row r="36" spans="1:3" s="361" customFormat="1" ht="12" customHeight="1" thickBot="1">
      <c r="A36" s="185" t="s">
        <v>25</v>
      </c>
      <c r="B36" s="118" t="s">
        <v>527</v>
      </c>
      <c r="C36" s="354">
        <f>+C8+C20+C25+C26+C30+C34+C35</f>
        <v>0</v>
      </c>
    </row>
    <row r="37" spans="1:3" s="361" customFormat="1" ht="12" customHeight="1" thickBot="1">
      <c r="A37" s="227" t="s">
        <v>26</v>
      </c>
      <c r="B37" s="118" t="s">
        <v>409</v>
      </c>
      <c r="C37" s="354">
        <f>+C38+C39+C40</f>
        <v>0</v>
      </c>
    </row>
    <row r="38" spans="1:3" s="361" customFormat="1" ht="12" customHeight="1">
      <c r="A38" s="445" t="s">
        <v>410</v>
      </c>
      <c r="B38" s="446" t="s">
        <v>236</v>
      </c>
      <c r="C38" s="69"/>
    </row>
    <row r="39" spans="1:3" s="361" customFormat="1" ht="12" customHeight="1">
      <c r="A39" s="445" t="s">
        <v>411</v>
      </c>
      <c r="B39" s="447" t="s">
        <v>2</v>
      </c>
      <c r="C39" s="311"/>
    </row>
    <row r="40" spans="1:3" s="451" customFormat="1" ht="12" customHeight="1" thickBot="1">
      <c r="A40" s="444" t="s">
        <v>412</v>
      </c>
      <c r="B40" s="135" t="s">
        <v>413</v>
      </c>
      <c r="C40" s="76"/>
    </row>
    <row r="41" spans="1:3" s="451" customFormat="1" ht="15.2" customHeight="1" thickBot="1">
      <c r="A41" s="227" t="s">
        <v>27</v>
      </c>
      <c r="B41" s="228" t="s">
        <v>414</v>
      </c>
      <c r="C41" s="357">
        <f>+C36+C37</f>
        <v>0</v>
      </c>
    </row>
    <row r="42" spans="1:3" s="451" customFormat="1" ht="15.2" customHeight="1">
      <c r="A42" s="229"/>
      <c r="B42" s="230"/>
      <c r="C42" s="355"/>
    </row>
    <row r="43" spans="1:3" ht="13.5" thickBot="1">
      <c r="A43" s="231"/>
      <c r="B43" s="232"/>
      <c r="C43" s="356"/>
    </row>
    <row r="44" spans="1:3" s="450" customFormat="1" ht="16.5" customHeight="1" thickBot="1">
      <c r="A44" s="233"/>
      <c r="B44" s="234" t="s">
        <v>57</v>
      </c>
      <c r="C44" s="357"/>
    </row>
    <row r="45" spans="1:3" s="452" customFormat="1" ht="12" customHeight="1" thickBot="1">
      <c r="A45" s="193" t="s">
        <v>18</v>
      </c>
      <c r="B45" s="118" t="s">
        <v>415</v>
      </c>
      <c r="C45" s="310">
        <f>SUM(C46:C50)</f>
        <v>0</v>
      </c>
    </row>
    <row r="46" spans="1:3" ht="12" customHeight="1">
      <c r="A46" s="444" t="s">
        <v>98</v>
      </c>
      <c r="B46" s="9" t="s">
        <v>49</v>
      </c>
      <c r="C46" s="69"/>
    </row>
    <row r="47" spans="1:3" ht="12" customHeight="1">
      <c r="A47" s="444" t="s">
        <v>99</v>
      </c>
      <c r="B47" s="8" t="s">
        <v>183</v>
      </c>
      <c r="C47" s="72"/>
    </row>
    <row r="48" spans="1:3" ht="12" customHeight="1">
      <c r="A48" s="444" t="s">
        <v>100</v>
      </c>
      <c r="B48" s="8" t="s">
        <v>140</v>
      </c>
      <c r="C48" s="72"/>
    </row>
    <row r="49" spans="1:3" ht="12" customHeight="1">
      <c r="A49" s="444" t="s">
        <v>101</v>
      </c>
      <c r="B49" s="8" t="s">
        <v>184</v>
      </c>
      <c r="C49" s="72"/>
    </row>
    <row r="50" spans="1:3" ht="12" customHeight="1" thickBot="1">
      <c r="A50" s="444" t="s">
        <v>148</v>
      </c>
      <c r="B50" s="8" t="s">
        <v>185</v>
      </c>
      <c r="C50" s="72"/>
    </row>
    <row r="51" spans="1:3" ht="12" customHeight="1" thickBot="1">
      <c r="A51" s="193" t="s">
        <v>19</v>
      </c>
      <c r="B51" s="118" t="s">
        <v>416</v>
      </c>
      <c r="C51" s="310">
        <f>SUM(C52:C54)</f>
        <v>0</v>
      </c>
    </row>
    <row r="52" spans="1:3" s="452" customFormat="1" ht="12" customHeight="1">
      <c r="A52" s="444" t="s">
        <v>104</v>
      </c>
      <c r="B52" s="9" t="s">
        <v>230</v>
      </c>
      <c r="C52" s="69"/>
    </row>
    <row r="53" spans="1:3" ht="12" customHeight="1">
      <c r="A53" s="444" t="s">
        <v>105</v>
      </c>
      <c r="B53" s="8" t="s">
        <v>187</v>
      </c>
      <c r="C53" s="72"/>
    </row>
    <row r="54" spans="1:3" ht="12" customHeight="1">
      <c r="A54" s="444" t="s">
        <v>106</v>
      </c>
      <c r="B54" s="8" t="s">
        <v>58</v>
      </c>
      <c r="C54" s="72"/>
    </row>
    <row r="55" spans="1:3" ht="12" customHeight="1" thickBot="1">
      <c r="A55" s="444" t="s">
        <v>107</v>
      </c>
      <c r="B55" s="8" t="s">
        <v>524</v>
      </c>
      <c r="C55" s="72"/>
    </row>
    <row r="56" spans="1:3" ht="15.2" customHeight="1" thickBot="1">
      <c r="A56" s="193" t="s">
        <v>20</v>
      </c>
      <c r="B56" s="118" t="s">
        <v>13</v>
      </c>
      <c r="C56" s="336"/>
    </row>
    <row r="57" spans="1:3" ht="13.5" thickBot="1">
      <c r="A57" s="193" t="s">
        <v>21</v>
      </c>
      <c r="B57" s="235" t="s">
        <v>529</v>
      </c>
      <c r="C57" s="358">
        <f>+C45+C51+C56</f>
        <v>0</v>
      </c>
    </row>
    <row r="58" spans="1:3" ht="15.2" customHeight="1" thickBot="1">
      <c r="C58" s="623">
        <f>C41-C57</f>
        <v>0</v>
      </c>
    </row>
    <row r="59" spans="1:3" ht="14.45" customHeight="1" thickBot="1">
      <c r="A59" s="238" t="s">
        <v>519</v>
      </c>
      <c r="B59" s="239"/>
      <c r="C59" s="115"/>
    </row>
    <row r="60" spans="1:3" ht="13.5" thickBot="1">
      <c r="A60" s="238" t="s">
        <v>206</v>
      </c>
      <c r="B60" s="239"/>
      <c r="C60" s="115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E3" sqref="E3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16384" width="9.33203125" style="237"/>
  </cols>
  <sheetData>
    <row r="1" spans="1:3" s="217" customFormat="1" ht="21.2" customHeight="1" thickBot="1">
      <c r="A1" s="216"/>
      <c r="B1" s="218"/>
      <c r="C1" s="588" t="str">
        <f ca="1">CONCATENATE("9.7.3. melléklet ",ALAPADATOK!A7," ",ALAPADATOK!B7," ",ALAPADATOK!C7," ",ALAPADATOK!D7," ",ALAPADATOK!E7," ",ALAPADATOK!F7," ",ALAPADATOK!G7," ",ALAPADATOK!H7)</f>
        <v>9.7.3. melléklet a … / 2019 ( … ) önkormányzati rendelethez</v>
      </c>
    </row>
    <row r="2" spans="1:3" s="448" customFormat="1" ht="36">
      <c r="A2" s="400" t="s">
        <v>204</v>
      </c>
      <c r="B2" s="586" t="str">
        <f ca="1">CONCATENATE(KV_9.7.2.sz.mell!B2)</f>
        <v>Dabasi Intézményfenntartó Központ</v>
      </c>
      <c r="C2" s="359" t="s">
        <v>608</v>
      </c>
    </row>
    <row r="3" spans="1:3" s="448" customFormat="1" ht="24.75" thickBot="1">
      <c r="A3" s="442" t="s">
        <v>203</v>
      </c>
      <c r="B3" s="587" t="s">
        <v>530</v>
      </c>
      <c r="C3" s="360" t="s">
        <v>431</v>
      </c>
    </row>
    <row r="4" spans="1:3" s="449" customFormat="1" ht="15.95" customHeight="1" thickBot="1">
      <c r="A4" s="219"/>
      <c r="B4" s="219"/>
      <c r="C4" s="220" t="str">
        <f ca="1">KV_9.7.2.sz.mell!C4</f>
        <v/>
      </c>
    </row>
    <row r="5" spans="1:3" ht="13.5" thickBot="1">
      <c r="A5" s="401" t="s">
        <v>205</v>
      </c>
      <c r="B5" s="221" t="s">
        <v>563</v>
      </c>
      <c r="C5" s="547" t="s">
        <v>55</v>
      </c>
    </row>
    <row r="6" spans="1:3" s="450" customFormat="1" ht="12.95" customHeight="1" thickBot="1">
      <c r="A6" s="185"/>
      <c r="B6" s="186" t="s">
        <v>493</v>
      </c>
      <c r="C6" s="187" t="s">
        <v>494</v>
      </c>
    </row>
    <row r="7" spans="1:3" s="450" customFormat="1" ht="15.95" customHeight="1" thickBot="1">
      <c r="A7" s="223"/>
      <c r="B7" s="224" t="s">
        <v>56</v>
      </c>
      <c r="C7" s="225"/>
    </row>
    <row r="8" spans="1:3" s="361" customFormat="1" ht="12" customHeight="1" thickBot="1">
      <c r="A8" s="185" t="s">
        <v>18</v>
      </c>
      <c r="B8" s="226" t="s">
        <v>520</v>
      </c>
      <c r="C8" s="310">
        <f>SUM(C9:C19)</f>
        <v>0</v>
      </c>
    </row>
    <row r="9" spans="1:3" s="361" customFormat="1" ht="12" customHeight="1">
      <c r="A9" s="443" t="s">
        <v>98</v>
      </c>
      <c r="B9" s="10" t="s">
        <v>277</v>
      </c>
      <c r="C9" s="351"/>
    </row>
    <row r="10" spans="1:3" s="361" customFormat="1" ht="12" customHeight="1">
      <c r="A10" s="444" t="s">
        <v>99</v>
      </c>
      <c r="B10" s="8" t="s">
        <v>278</v>
      </c>
      <c r="C10" s="308"/>
    </row>
    <row r="11" spans="1:3" s="361" customFormat="1" ht="12" customHeight="1">
      <c r="A11" s="444" t="s">
        <v>100</v>
      </c>
      <c r="B11" s="8" t="s">
        <v>279</v>
      </c>
      <c r="C11" s="308"/>
    </row>
    <row r="12" spans="1:3" s="361" customFormat="1" ht="12" customHeight="1">
      <c r="A12" s="444" t="s">
        <v>101</v>
      </c>
      <c r="B12" s="8" t="s">
        <v>280</v>
      </c>
      <c r="C12" s="308"/>
    </row>
    <row r="13" spans="1:3" s="361" customFormat="1" ht="12" customHeight="1">
      <c r="A13" s="444" t="s">
        <v>148</v>
      </c>
      <c r="B13" s="8" t="s">
        <v>281</v>
      </c>
      <c r="C13" s="308"/>
    </row>
    <row r="14" spans="1:3" s="361" customFormat="1" ht="12" customHeight="1">
      <c r="A14" s="444" t="s">
        <v>102</v>
      </c>
      <c r="B14" s="8" t="s">
        <v>399</v>
      </c>
      <c r="C14" s="308"/>
    </row>
    <row r="15" spans="1:3" s="361" customFormat="1" ht="12" customHeight="1">
      <c r="A15" s="444" t="s">
        <v>103</v>
      </c>
      <c r="B15" s="7" t="s">
        <v>400</v>
      </c>
      <c r="C15" s="308"/>
    </row>
    <row r="16" spans="1:3" s="361" customFormat="1" ht="12" customHeight="1">
      <c r="A16" s="444" t="s">
        <v>113</v>
      </c>
      <c r="B16" s="8" t="s">
        <v>284</v>
      </c>
      <c r="C16" s="352"/>
    </row>
    <row r="17" spans="1:3" s="451" customFormat="1" ht="12" customHeight="1">
      <c r="A17" s="444" t="s">
        <v>114</v>
      </c>
      <c r="B17" s="8" t="s">
        <v>285</v>
      </c>
      <c r="C17" s="308"/>
    </row>
    <row r="18" spans="1:3" s="451" customFormat="1" ht="12" customHeight="1">
      <c r="A18" s="444" t="s">
        <v>115</v>
      </c>
      <c r="B18" s="8" t="s">
        <v>436</v>
      </c>
      <c r="C18" s="309"/>
    </row>
    <row r="19" spans="1:3" s="451" customFormat="1" ht="12" customHeight="1" thickBot="1">
      <c r="A19" s="444" t="s">
        <v>116</v>
      </c>
      <c r="B19" s="7" t="s">
        <v>286</v>
      </c>
      <c r="C19" s="309"/>
    </row>
    <row r="20" spans="1:3" s="361" customFormat="1" ht="12" customHeight="1" thickBot="1">
      <c r="A20" s="185" t="s">
        <v>19</v>
      </c>
      <c r="B20" s="226" t="s">
        <v>401</v>
      </c>
      <c r="C20" s="310">
        <f>SUM(C21:C23)</f>
        <v>0</v>
      </c>
    </row>
    <row r="21" spans="1:3" s="451" customFormat="1" ht="12" customHeight="1">
      <c r="A21" s="444" t="s">
        <v>104</v>
      </c>
      <c r="B21" s="9" t="s">
        <v>258</v>
      </c>
      <c r="C21" s="308"/>
    </row>
    <row r="22" spans="1:3" s="451" customFormat="1" ht="12" customHeight="1">
      <c r="A22" s="444" t="s">
        <v>105</v>
      </c>
      <c r="B22" s="8" t="s">
        <v>402</v>
      </c>
      <c r="C22" s="308"/>
    </row>
    <row r="23" spans="1:3" s="451" customFormat="1" ht="12" customHeight="1">
      <c r="A23" s="444" t="s">
        <v>106</v>
      </c>
      <c r="B23" s="8" t="s">
        <v>403</v>
      </c>
      <c r="C23" s="308"/>
    </row>
    <row r="24" spans="1:3" s="451" customFormat="1" ht="12" customHeight="1" thickBot="1">
      <c r="A24" s="444" t="s">
        <v>107</v>
      </c>
      <c r="B24" s="8" t="s">
        <v>525</v>
      </c>
      <c r="C24" s="308"/>
    </row>
    <row r="25" spans="1:3" s="451" customFormat="1" ht="12" customHeight="1" thickBot="1">
      <c r="A25" s="193" t="s">
        <v>20</v>
      </c>
      <c r="B25" s="118" t="s">
        <v>174</v>
      </c>
      <c r="C25" s="336"/>
    </row>
    <row r="26" spans="1:3" s="451" customFormat="1" ht="12" customHeight="1" thickBot="1">
      <c r="A26" s="193" t="s">
        <v>21</v>
      </c>
      <c r="B26" s="118" t="s">
        <v>404</v>
      </c>
      <c r="C26" s="310">
        <f>+C27+C28</f>
        <v>0</v>
      </c>
    </row>
    <row r="27" spans="1:3" s="451" customFormat="1" ht="12" customHeight="1">
      <c r="A27" s="445" t="s">
        <v>268</v>
      </c>
      <c r="B27" s="446" t="s">
        <v>402</v>
      </c>
      <c r="C27" s="69"/>
    </row>
    <row r="28" spans="1:3" s="451" customFormat="1" ht="12" customHeight="1">
      <c r="A28" s="445" t="s">
        <v>269</v>
      </c>
      <c r="B28" s="447" t="s">
        <v>405</v>
      </c>
      <c r="C28" s="311"/>
    </row>
    <row r="29" spans="1:3" s="451" customFormat="1" ht="12" customHeight="1" thickBot="1">
      <c r="A29" s="444" t="s">
        <v>270</v>
      </c>
      <c r="B29" s="135" t="s">
        <v>526</v>
      </c>
      <c r="C29" s="76"/>
    </row>
    <row r="30" spans="1:3" s="451" customFormat="1" ht="12" customHeight="1" thickBot="1">
      <c r="A30" s="193" t="s">
        <v>22</v>
      </c>
      <c r="B30" s="118" t="s">
        <v>406</v>
      </c>
      <c r="C30" s="310">
        <f>+C31+C32+C33</f>
        <v>0</v>
      </c>
    </row>
    <row r="31" spans="1:3" s="451" customFormat="1" ht="12" customHeight="1">
      <c r="A31" s="445" t="s">
        <v>91</v>
      </c>
      <c r="B31" s="446" t="s">
        <v>291</v>
      </c>
      <c r="C31" s="69"/>
    </row>
    <row r="32" spans="1:3" s="451" customFormat="1" ht="12" customHeight="1">
      <c r="A32" s="445" t="s">
        <v>92</v>
      </c>
      <c r="B32" s="447" t="s">
        <v>292</v>
      </c>
      <c r="C32" s="311"/>
    </row>
    <row r="33" spans="1:3" s="451" customFormat="1" ht="12" customHeight="1" thickBot="1">
      <c r="A33" s="444" t="s">
        <v>93</v>
      </c>
      <c r="B33" s="135" t="s">
        <v>293</v>
      </c>
      <c r="C33" s="76"/>
    </row>
    <row r="34" spans="1:3" s="361" customFormat="1" ht="12" customHeight="1" thickBot="1">
      <c r="A34" s="193" t="s">
        <v>23</v>
      </c>
      <c r="B34" s="118" t="s">
        <v>376</v>
      </c>
      <c r="C34" s="336"/>
    </row>
    <row r="35" spans="1:3" s="361" customFormat="1" ht="12" customHeight="1" thickBot="1">
      <c r="A35" s="193" t="s">
        <v>24</v>
      </c>
      <c r="B35" s="118" t="s">
        <v>407</v>
      </c>
      <c r="C35" s="353"/>
    </row>
    <row r="36" spans="1:3" s="361" customFormat="1" ht="12" customHeight="1" thickBot="1">
      <c r="A36" s="185" t="s">
        <v>25</v>
      </c>
      <c r="B36" s="118" t="s">
        <v>527</v>
      </c>
      <c r="C36" s="354">
        <f>+C8+C20+C25+C26+C30+C34+C35</f>
        <v>0</v>
      </c>
    </row>
    <row r="37" spans="1:3" s="361" customFormat="1" ht="12" customHeight="1" thickBot="1">
      <c r="A37" s="227" t="s">
        <v>26</v>
      </c>
      <c r="B37" s="118" t="s">
        <v>409</v>
      </c>
      <c r="C37" s="354">
        <f>+C38+C39+C40</f>
        <v>0</v>
      </c>
    </row>
    <row r="38" spans="1:3" s="361" customFormat="1" ht="12" customHeight="1">
      <c r="A38" s="445" t="s">
        <v>410</v>
      </c>
      <c r="B38" s="446" t="s">
        <v>236</v>
      </c>
      <c r="C38" s="69"/>
    </row>
    <row r="39" spans="1:3" s="361" customFormat="1" ht="12" customHeight="1">
      <c r="A39" s="445" t="s">
        <v>411</v>
      </c>
      <c r="B39" s="447" t="s">
        <v>2</v>
      </c>
      <c r="C39" s="311"/>
    </row>
    <row r="40" spans="1:3" s="451" customFormat="1" ht="12" customHeight="1" thickBot="1">
      <c r="A40" s="444" t="s">
        <v>412</v>
      </c>
      <c r="B40" s="135" t="s">
        <v>413</v>
      </c>
      <c r="C40" s="76"/>
    </row>
    <row r="41" spans="1:3" s="451" customFormat="1" ht="15.2" customHeight="1" thickBot="1">
      <c r="A41" s="227" t="s">
        <v>27</v>
      </c>
      <c r="B41" s="228" t="s">
        <v>414</v>
      </c>
      <c r="C41" s="357">
        <f>+C36+C37</f>
        <v>0</v>
      </c>
    </row>
    <row r="42" spans="1:3" s="451" customFormat="1" ht="15.2" customHeight="1">
      <c r="A42" s="229"/>
      <c r="B42" s="230"/>
      <c r="C42" s="355"/>
    </row>
    <row r="43" spans="1:3" ht="13.5" thickBot="1">
      <c r="A43" s="231"/>
      <c r="B43" s="232"/>
      <c r="C43" s="356"/>
    </row>
    <row r="44" spans="1:3" s="450" customFormat="1" ht="16.5" customHeight="1" thickBot="1">
      <c r="A44" s="233"/>
      <c r="B44" s="234" t="s">
        <v>57</v>
      </c>
      <c r="C44" s="357"/>
    </row>
    <row r="45" spans="1:3" s="452" customFormat="1" ht="12" customHeight="1" thickBot="1">
      <c r="A45" s="193" t="s">
        <v>18</v>
      </c>
      <c r="B45" s="118" t="s">
        <v>415</v>
      </c>
      <c r="C45" s="310">
        <f>SUM(C46:C50)</f>
        <v>0</v>
      </c>
    </row>
    <row r="46" spans="1:3" ht="12" customHeight="1">
      <c r="A46" s="444" t="s">
        <v>98</v>
      </c>
      <c r="B46" s="9" t="s">
        <v>49</v>
      </c>
      <c r="C46" s="69"/>
    </row>
    <row r="47" spans="1:3" ht="12" customHeight="1">
      <c r="A47" s="444" t="s">
        <v>99</v>
      </c>
      <c r="B47" s="8" t="s">
        <v>183</v>
      </c>
      <c r="C47" s="72"/>
    </row>
    <row r="48" spans="1:3" ht="12" customHeight="1">
      <c r="A48" s="444" t="s">
        <v>100</v>
      </c>
      <c r="B48" s="8" t="s">
        <v>140</v>
      </c>
      <c r="C48" s="72"/>
    </row>
    <row r="49" spans="1:3" ht="12" customHeight="1">
      <c r="A49" s="444" t="s">
        <v>101</v>
      </c>
      <c r="B49" s="8" t="s">
        <v>184</v>
      </c>
      <c r="C49" s="72"/>
    </row>
    <row r="50" spans="1:3" ht="12" customHeight="1" thickBot="1">
      <c r="A50" s="444" t="s">
        <v>148</v>
      </c>
      <c r="B50" s="8" t="s">
        <v>185</v>
      </c>
      <c r="C50" s="72"/>
    </row>
    <row r="51" spans="1:3" ht="12" customHeight="1" thickBot="1">
      <c r="A51" s="193" t="s">
        <v>19</v>
      </c>
      <c r="B51" s="118" t="s">
        <v>416</v>
      </c>
      <c r="C51" s="310">
        <f>SUM(C52:C54)</f>
        <v>0</v>
      </c>
    </row>
    <row r="52" spans="1:3" s="452" customFormat="1" ht="12" customHeight="1">
      <c r="A52" s="444" t="s">
        <v>104</v>
      </c>
      <c r="B52" s="9" t="s">
        <v>230</v>
      </c>
      <c r="C52" s="69"/>
    </row>
    <row r="53" spans="1:3" ht="12" customHeight="1">
      <c r="A53" s="444" t="s">
        <v>105</v>
      </c>
      <c r="B53" s="8" t="s">
        <v>187</v>
      </c>
      <c r="C53" s="72"/>
    </row>
    <row r="54" spans="1:3" ht="12" customHeight="1">
      <c r="A54" s="444" t="s">
        <v>106</v>
      </c>
      <c r="B54" s="8" t="s">
        <v>58</v>
      </c>
      <c r="C54" s="72"/>
    </row>
    <row r="55" spans="1:3" ht="12" customHeight="1" thickBot="1">
      <c r="A55" s="444" t="s">
        <v>107</v>
      </c>
      <c r="B55" s="8" t="s">
        <v>524</v>
      </c>
      <c r="C55" s="72"/>
    </row>
    <row r="56" spans="1:3" ht="15.2" customHeight="1" thickBot="1">
      <c r="A56" s="193" t="s">
        <v>20</v>
      </c>
      <c r="B56" s="118" t="s">
        <v>13</v>
      </c>
      <c r="C56" s="336"/>
    </row>
    <row r="57" spans="1:3" ht="13.5" thickBot="1">
      <c r="A57" s="193" t="s">
        <v>21</v>
      </c>
      <c r="B57" s="235" t="s">
        <v>529</v>
      </c>
      <c r="C57" s="358">
        <f>+C45+C51+C56</f>
        <v>0</v>
      </c>
    </row>
    <row r="58" spans="1:3" ht="15.2" customHeight="1" thickBot="1">
      <c r="C58" s="623">
        <f>C41-C57</f>
        <v>0</v>
      </c>
    </row>
    <row r="59" spans="1:3" ht="14.45" customHeight="1" thickBot="1">
      <c r="A59" s="238" t="s">
        <v>519</v>
      </c>
      <c r="B59" s="239"/>
      <c r="C59" s="115"/>
    </row>
    <row r="60" spans="1:3" ht="13.5" thickBot="1">
      <c r="A60" s="238" t="s">
        <v>206</v>
      </c>
      <c r="B60" s="239"/>
      <c r="C60" s="115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>
  <sheetPr>
    <tabColor rgb="FF92D050"/>
  </sheetPr>
  <dimension ref="A2:G29"/>
  <sheetViews>
    <sheetView topLeftCell="A4" zoomScale="120" zoomScaleNormal="120" workbookViewId="0">
      <selection activeCell="L21" sqref="L21"/>
    </sheetView>
  </sheetViews>
  <sheetFormatPr defaultRowHeight="12.75"/>
  <cols>
    <col min="1" max="1" width="5.5" style="46" customWidth="1"/>
    <col min="2" max="2" width="33.1640625" style="46" customWidth="1"/>
    <col min="3" max="3" width="12.33203125" style="46" customWidth="1"/>
    <col min="4" max="4" width="11.5" style="46" customWidth="1"/>
    <col min="5" max="5" width="11.33203125" style="46" customWidth="1"/>
    <col min="6" max="6" width="11" style="46" customWidth="1"/>
    <col min="7" max="7" width="14.33203125" style="46" customWidth="1"/>
    <col min="8" max="16384" width="9.33203125" style="46"/>
  </cols>
  <sheetData>
    <row r="2" spans="1:7" ht="15">
      <c r="B2" s="877" t="str">
        <f ca="1">CONCATENATE("10. melléklet ",ALAPADATOK!A7," ",ALAPADATOK!B7," ",ALAPADATOK!C7," ",ALAPADATOK!D7," ",ALAPADATOK!E7," ",ALAPADATOK!F7," ",ALAPADATOK!G7," ",ALAPADATOK!H7)</f>
        <v>10. melléklet a … / 2019 ( … ) önkormányzati rendelethez</v>
      </c>
      <c r="C2" s="877"/>
      <c r="D2" s="877"/>
      <c r="E2" s="877"/>
      <c r="F2" s="877"/>
      <c r="G2" s="877"/>
    </row>
    <row r="4" spans="1:7" ht="43.5" customHeight="1">
      <c r="A4" s="876" t="s">
        <v>3</v>
      </c>
      <c r="B4" s="876"/>
      <c r="C4" s="876"/>
      <c r="D4" s="876"/>
      <c r="E4" s="876"/>
      <c r="F4" s="876"/>
      <c r="G4" s="876"/>
    </row>
    <row r="6" spans="1:7" s="153" customFormat="1" ht="27.2" customHeight="1">
      <c r="A6" s="684" t="s">
        <v>210</v>
      </c>
      <c r="C6" s="875" t="s">
        <v>211</v>
      </c>
      <c r="D6" s="875"/>
      <c r="E6" s="875"/>
      <c r="F6" s="875"/>
      <c r="G6" s="875"/>
    </row>
    <row r="7" spans="1:7" s="153" customFormat="1" ht="15.75"/>
    <row r="8" spans="1:7" s="153" customFormat="1" ht="24.75" customHeight="1">
      <c r="A8" s="684" t="s">
        <v>212</v>
      </c>
      <c r="C8" s="875" t="s">
        <v>211</v>
      </c>
      <c r="D8" s="875"/>
      <c r="E8" s="875"/>
      <c r="F8" s="875"/>
    </row>
    <row r="9" spans="1:7" s="154" customFormat="1"/>
    <row r="10" spans="1:7" s="155" customFormat="1" ht="15.2" customHeight="1">
      <c r="A10" s="255" t="s">
        <v>566</v>
      </c>
      <c r="B10" s="254"/>
      <c r="C10" s="254"/>
      <c r="D10" s="254"/>
      <c r="E10" s="254"/>
      <c r="F10" s="254"/>
      <c r="G10" s="254"/>
    </row>
    <row r="11" spans="1:7" s="155" customFormat="1" ht="15.2" customHeight="1" thickBot="1">
      <c r="A11" s="255" t="s">
        <v>213</v>
      </c>
      <c r="B11" s="254"/>
      <c r="C11" s="254"/>
      <c r="D11" s="254"/>
      <c r="E11" s="254"/>
      <c r="F11" s="254"/>
      <c r="G11" s="671" t="str">
        <f ca="1">KV_9.3.3.sz.mell!C4</f>
        <v/>
      </c>
    </row>
    <row r="12" spans="1:7" s="68" customFormat="1" ht="42" customHeight="1" thickBot="1">
      <c r="A12" s="182" t="s">
        <v>16</v>
      </c>
      <c r="B12" s="183" t="s">
        <v>214</v>
      </c>
      <c r="C12" s="183" t="s">
        <v>215</v>
      </c>
      <c r="D12" s="183" t="s">
        <v>216</v>
      </c>
      <c r="E12" s="183" t="s">
        <v>217</v>
      </c>
      <c r="F12" s="183" t="s">
        <v>218</v>
      </c>
      <c r="G12" s="184" t="s">
        <v>53</v>
      </c>
    </row>
    <row r="13" spans="1:7" ht="24" customHeight="1">
      <c r="A13" s="241" t="s">
        <v>18</v>
      </c>
      <c r="B13" s="191" t="s">
        <v>219</v>
      </c>
      <c r="C13" s="156"/>
      <c r="D13" s="156"/>
      <c r="E13" s="156"/>
      <c r="F13" s="156"/>
      <c r="G13" s="242">
        <f>SUM(C13:F13)</f>
        <v>0</v>
      </c>
    </row>
    <row r="14" spans="1:7" ht="24" customHeight="1">
      <c r="A14" s="243" t="s">
        <v>19</v>
      </c>
      <c r="B14" s="192" t="s">
        <v>220</v>
      </c>
      <c r="C14" s="157"/>
      <c r="D14" s="157"/>
      <c r="E14" s="157"/>
      <c r="F14" s="157"/>
      <c r="G14" s="244">
        <f t="shared" ref="G14:G19" si="0">SUM(C14:F14)</f>
        <v>0</v>
      </c>
    </row>
    <row r="15" spans="1:7" ht="24" customHeight="1">
      <c r="A15" s="243" t="s">
        <v>20</v>
      </c>
      <c r="B15" s="192" t="s">
        <v>221</v>
      </c>
      <c r="C15" s="157"/>
      <c r="D15" s="157"/>
      <c r="E15" s="157"/>
      <c r="F15" s="157"/>
      <c r="G15" s="244">
        <f t="shared" si="0"/>
        <v>0</v>
      </c>
    </row>
    <row r="16" spans="1:7" ht="24" customHeight="1">
      <c r="A16" s="243" t="s">
        <v>21</v>
      </c>
      <c r="B16" s="192" t="s">
        <v>222</v>
      </c>
      <c r="C16" s="157"/>
      <c r="D16" s="157"/>
      <c r="E16" s="157"/>
      <c r="F16" s="157"/>
      <c r="G16" s="244">
        <f t="shared" si="0"/>
        <v>0</v>
      </c>
    </row>
    <row r="17" spans="1:7" ht="24" customHeight="1">
      <c r="A17" s="243" t="s">
        <v>22</v>
      </c>
      <c r="B17" s="192" t="s">
        <v>223</v>
      </c>
      <c r="C17" s="157"/>
      <c r="D17" s="157"/>
      <c r="E17" s="157"/>
      <c r="F17" s="157"/>
      <c r="G17" s="244">
        <f t="shared" si="0"/>
        <v>0</v>
      </c>
    </row>
    <row r="18" spans="1:7" ht="24" customHeight="1" thickBot="1">
      <c r="A18" s="245" t="s">
        <v>23</v>
      </c>
      <c r="B18" s="246" t="s">
        <v>224</v>
      </c>
      <c r="C18" s="158"/>
      <c r="D18" s="158"/>
      <c r="E18" s="158"/>
      <c r="F18" s="158"/>
      <c r="G18" s="247">
        <f t="shared" si="0"/>
        <v>0</v>
      </c>
    </row>
    <row r="19" spans="1:7" s="159" customFormat="1" ht="24" customHeight="1" thickBot="1">
      <c r="A19" s="248" t="s">
        <v>24</v>
      </c>
      <c r="B19" s="249" t="s">
        <v>53</v>
      </c>
      <c r="C19" s="250">
        <f>SUM(C13:C18)</f>
        <v>0</v>
      </c>
      <c r="D19" s="250">
        <f>SUM(D13:D18)</f>
        <v>0</v>
      </c>
      <c r="E19" s="250">
        <f>SUM(E13:E18)</f>
        <v>0</v>
      </c>
      <c r="F19" s="250">
        <f>SUM(F13:F18)</f>
        <v>0</v>
      </c>
      <c r="G19" s="251">
        <f t="shared" si="0"/>
        <v>0</v>
      </c>
    </row>
    <row r="20" spans="1:7" s="154" customFormat="1">
      <c r="A20" s="202"/>
      <c r="B20" s="202"/>
      <c r="C20" s="202"/>
      <c r="D20" s="202"/>
      <c r="E20" s="202"/>
      <c r="F20" s="202"/>
      <c r="G20" s="202"/>
    </row>
    <row r="21" spans="1:7" s="154" customFormat="1">
      <c r="A21" s="202"/>
      <c r="B21" s="202"/>
      <c r="C21" s="202"/>
      <c r="D21" s="202"/>
      <c r="E21" s="202"/>
      <c r="F21" s="202"/>
      <c r="G21" s="202"/>
    </row>
    <row r="22" spans="1:7" s="154" customFormat="1">
      <c r="A22" s="202"/>
      <c r="B22" s="202"/>
      <c r="C22" s="202"/>
      <c r="D22" s="202"/>
      <c r="E22" s="202"/>
      <c r="F22" s="202"/>
      <c r="G22" s="202"/>
    </row>
    <row r="23" spans="1:7" s="154" customFormat="1" ht="15.75">
      <c r="A23" s="153" t="str">
        <f ca="1">+CONCATENATE("......................, ",LEFT(KV_ÖSSZEFÜGGÉSEK!A5,4),". .......................... hó ..... nap")</f>
        <v>......................, 2019. .......................... hó ..... nap</v>
      </c>
      <c r="F23" s="202"/>
      <c r="G23" s="202"/>
    </row>
    <row r="24" spans="1:7" s="154" customFormat="1">
      <c r="F24" s="202"/>
      <c r="G24" s="202"/>
    </row>
    <row r="25" spans="1:7">
      <c r="A25" s="202"/>
      <c r="B25" s="202"/>
      <c r="C25" s="202"/>
      <c r="D25" s="202"/>
      <c r="E25" s="202"/>
      <c r="F25" s="202"/>
      <c r="G25" s="202"/>
    </row>
    <row r="26" spans="1:7">
      <c r="A26" s="202"/>
      <c r="B26" s="202"/>
      <c r="C26" s="154"/>
      <c r="D26" s="154"/>
      <c r="E26" s="154"/>
      <c r="F26" s="154"/>
      <c r="G26" s="202"/>
    </row>
    <row r="27" spans="1:7">
      <c r="A27" s="202"/>
      <c r="B27" s="202"/>
      <c r="C27" s="252"/>
      <c r="D27" s="253" t="s">
        <v>225</v>
      </c>
      <c r="E27" s="253"/>
      <c r="F27" s="252"/>
      <c r="G27" s="202"/>
    </row>
    <row r="28" spans="1:7">
      <c r="C28" s="160"/>
      <c r="D28" s="161"/>
      <c r="E28" s="161"/>
      <c r="F28" s="160"/>
    </row>
    <row r="29" spans="1:7">
      <c r="C29" s="160"/>
      <c r="D29" s="161"/>
      <c r="E29" s="161"/>
      <c r="F29" s="160"/>
    </row>
  </sheetData>
  <sheetProtection sheet="1"/>
  <mergeCells count="4">
    <mergeCell ref="C6:G6"/>
    <mergeCell ref="C8:F8"/>
    <mergeCell ref="A4:G4"/>
    <mergeCell ref="B2:G2"/>
  </mergeCells>
  <phoneticPr fontId="29" type="noConversion"/>
  <printOptions horizontalCentered="1"/>
  <pageMargins left="0.78740157480314965" right="0.78740157480314965" top="1.1417322834645669" bottom="0.98425196850393704" header="0.78740157480314965" footer="0.78740157480314965"/>
  <pageSetup paperSize="9" scale="95" orientation="portrait" horizontalDpi="300" verticalDpi="300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>
  <sheetPr>
    <tabColor rgb="FF92D050"/>
  </sheetPr>
  <dimension ref="A1:G170"/>
  <sheetViews>
    <sheetView topLeftCell="A28" zoomScale="80" zoomScaleNormal="80" zoomScaleSheetLayoutView="100" workbookViewId="0">
      <selection activeCell="G24" sqref="G24"/>
    </sheetView>
  </sheetViews>
  <sheetFormatPr defaultRowHeight="15.75"/>
  <cols>
    <col min="1" max="1" width="9" style="376" customWidth="1"/>
    <col min="2" max="2" width="75.83203125" style="376" customWidth="1"/>
    <col min="3" max="3" width="15.5" style="377" customWidth="1"/>
    <col min="4" max="5" width="15.5" style="376" customWidth="1"/>
    <col min="6" max="6" width="9" style="38" customWidth="1"/>
    <col min="7" max="16384" width="9.33203125" style="38"/>
  </cols>
  <sheetData>
    <row r="1" spans="1:5" ht="14.45" customHeight="1">
      <c r="A1" s="625"/>
      <c r="B1" s="625"/>
      <c r="C1" s="629"/>
      <c r="D1" s="625"/>
      <c r="E1" s="660" t="str">
        <f ca="1">CONCATENATE("1. tájékoztató tábla ",ALAPADATOK!A7," ",ALAPADATOK!B7," ",ALAPADATOK!C7," ",ALAPADATOK!D7," ",ALAPADATOK!E7," ",ALAPADATOK!F7," ",ALAPADATOK!G7," ",ALAPADATOK!H7)</f>
        <v>1. tájékoztató tábla a … / 2019 ( … ) önkormányzati rendelethez</v>
      </c>
    </row>
    <row r="2" spans="1:5">
      <c r="A2" s="878" t="str">
        <f ca="1">CONCATENATE(ALAPADATOK!A3)</f>
        <v>DABAS ÖNKORMÁNYZATA</v>
      </c>
      <c r="B2" s="878"/>
      <c r="C2" s="879"/>
      <c r="D2" s="878"/>
      <c r="E2" s="878"/>
    </row>
    <row r="3" spans="1:5">
      <c r="A3" s="878" t="s">
        <v>603</v>
      </c>
      <c r="B3" s="878"/>
      <c r="C3" s="879"/>
      <c r="D3" s="878"/>
      <c r="E3" s="878"/>
    </row>
    <row r="4" spans="1:5" ht="15.95" customHeight="1">
      <c r="A4" s="819" t="s">
        <v>15</v>
      </c>
      <c r="B4" s="819"/>
      <c r="C4" s="819"/>
      <c r="D4" s="819"/>
      <c r="E4" s="819"/>
    </row>
    <row r="5" spans="1:5" ht="15.95" customHeight="1" thickBot="1">
      <c r="A5" s="820" t="s">
        <v>152</v>
      </c>
      <c r="B5" s="820"/>
      <c r="C5" s="629"/>
      <c r="D5" s="661"/>
      <c r="E5" s="672" t="str">
        <f ca="1">KV_10.sz.mell!G11</f>
        <v/>
      </c>
    </row>
    <row r="6" spans="1:5" ht="30.75" customHeight="1" thickBot="1">
      <c r="A6" s="630" t="s">
        <v>69</v>
      </c>
      <c r="B6" s="631" t="s">
        <v>17</v>
      </c>
      <c r="C6" s="631" t="str">
        <f ca="1">+CONCATENATE(LEFT(KV_ÖSSZEFÜGGÉSEK!A5,4)-2,". évi tény")</f>
        <v>2017. évi tény</v>
      </c>
      <c r="D6" s="673" t="str">
        <f ca="1">+CONCATENATE(LEFT(KV_ÖSSZEFÜGGÉSEK!A5,4)-1,". évi várható")</f>
        <v>2018. évi várható</v>
      </c>
      <c r="E6" s="674" t="str">
        <f ca="1">+KV_1.1.sz.mell.!C8</f>
        <v>2019. évi előirányzat</v>
      </c>
    </row>
    <row r="7" spans="1:5" s="39" customFormat="1" ht="12" customHeight="1" thickBot="1">
      <c r="A7" s="32" t="s">
        <v>493</v>
      </c>
      <c r="B7" s="33" t="s">
        <v>494</v>
      </c>
      <c r="C7" s="33" t="s">
        <v>495</v>
      </c>
      <c r="D7" s="33" t="s">
        <v>497</v>
      </c>
      <c r="E7" s="441" t="s">
        <v>496</v>
      </c>
    </row>
    <row r="8" spans="1:5" s="1" customFormat="1" ht="12" customHeight="1" thickBot="1">
      <c r="A8" s="20" t="s">
        <v>18</v>
      </c>
      <c r="B8" s="21" t="s">
        <v>252</v>
      </c>
      <c r="C8" s="390">
        <f>+C9+C10+C11+C12+C13+C14</f>
        <v>0</v>
      </c>
      <c r="D8" s="390">
        <f>+D9+D10+D11+D12+D13+D14</f>
        <v>0</v>
      </c>
      <c r="E8" s="256">
        <f>+E9+E10+E11+E12+E13+E14</f>
        <v>905656407</v>
      </c>
    </row>
    <row r="9" spans="1:5" s="1" customFormat="1" ht="12" customHeight="1">
      <c r="A9" s="15" t="s">
        <v>98</v>
      </c>
      <c r="B9" s="409" t="s">
        <v>253</v>
      </c>
      <c r="C9" s="392"/>
      <c r="D9" s="392"/>
      <c r="E9" s="258">
        <v>172534022</v>
      </c>
    </row>
    <row r="10" spans="1:5" s="1" customFormat="1" ht="12" customHeight="1">
      <c r="A10" s="14" t="s">
        <v>99</v>
      </c>
      <c r="B10" s="410" t="s">
        <v>254</v>
      </c>
      <c r="C10" s="391"/>
      <c r="D10" s="391"/>
      <c r="E10" s="257">
        <v>437309484</v>
      </c>
    </row>
    <row r="11" spans="1:5" s="1" customFormat="1" ht="12" customHeight="1">
      <c r="A11" s="14" t="s">
        <v>100</v>
      </c>
      <c r="B11" s="410" t="s">
        <v>255</v>
      </c>
      <c r="C11" s="391"/>
      <c r="D11" s="391"/>
      <c r="E11" s="257">
        <v>275225961</v>
      </c>
    </row>
    <row r="12" spans="1:5" s="1" customFormat="1" ht="12" customHeight="1">
      <c r="A12" s="14" t="s">
        <v>101</v>
      </c>
      <c r="B12" s="410" t="s">
        <v>256</v>
      </c>
      <c r="C12" s="391"/>
      <c r="D12" s="391"/>
      <c r="E12" s="257">
        <v>20586940</v>
      </c>
    </row>
    <row r="13" spans="1:5" s="1" customFormat="1" ht="12" customHeight="1">
      <c r="A13" s="14" t="s">
        <v>148</v>
      </c>
      <c r="B13" s="286" t="s">
        <v>432</v>
      </c>
      <c r="C13" s="391"/>
      <c r="D13" s="391"/>
      <c r="E13" s="257"/>
    </row>
    <row r="14" spans="1:5" s="1" customFormat="1" ht="12" customHeight="1" thickBot="1">
      <c r="A14" s="16" t="s">
        <v>102</v>
      </c>
      <c r="B14" s="287" t="s">
        <v>433</v>
      </c>
      <c r="C14" s="391"/>
      <c r="D14" s="391"/>
      <c r="E14" s="257"/>
    </row>
    <row r="15" spans="1:5" s="1" customFormat="1" ht="12" customHeight="1" thickBot="1">
      <c r="A15" s="20" t="s">
        <v>19</v>
      </c>
      <c r="B15" s="285" t="s">
        <v>257</v>
      </c>
      <c r="C15" s="390">
        <f>+C16+C17+C18+C19+C20</f>
        <v>0</v>
      </c>
      <c r="D15" s="390">
        <f>+D16+D17+D18+D19+D20</f>
        <v>0</v>
      </c>
      <c r="E15" s="256">
        <f>+E16+E17+E18+E19+E20</f>
        <v>997850000</v>
      </c>
    </row>
    <row r="16" spans="1:5" s="1" customFormat="1" ht="12" customHeight="1">
      <c r="A16" s="15" t="s">
        <v>104</v>
      </c>
      <c r="B16" s="409" t="s">
        <v>258</v>
      </c>
      <c r="C16" s="392"/>
      <c r="D16" s="392"/>
      <c r="E16" s="258"/>
    </row>
    <row r="17" spans="1:5" s="1" customFormat="1" ht="12" customHeight="1">
      <c r="A17" s="14" t="s">
        <v>105</v>
      </c>
      <c r="B17" s="410" t="s">
        <v>259</v>
      </c>
      <c r="C17" s="391"/>
      <c r="D17" s="391"/>
      <c r="E17" s="257"/>
    </row>
    <row r="18" spans="1:5" s="1" customFormat="1" ht="12" customHeight="1">
      <c r="A18" s="14" t="s">
        <v>106</v>
      </c>
      <c r="B18" s="410" t="s">
        <v>422</v>
      </c>
      <c r="C18" s="391"/>
      <c r="D18" s="391"/>
      <c r="E18" s="257"/>
    </row>
    <row r="19" spans="1:5" s="1" customFormat="1" ht="12" customHeight="1">
      <c r="A19" s="14" t="s">
        <v>107</v>
      </c>
      <c r="B19" s="410" t="s">
        <v>423</v>
      </c>
      <c r="C19" s="391"/>
      <c r="D19" s="391"/>
      <c r="E19" s="257"/>
    </row>
    <row r="20" spans="1:5" s="1" customFormat="1" ht="12" customHeight="1">
      <c r="A20" s="14" t="s">
        <v>108</v>
      </c>
      <c r="B20" s="410" t="s">
        <v>260</v>
      </c>
      <c r="C20" s="391"/>
      <c r="D20" s="391"/>
      <c r="E20" s="257">
        <v>997850000</v>
      </c>
    </row>
    <row r="21" spans="1:5" s="1" customFormat="1" ht="12" customHeight="1" thickBot="1">
      <c r="A21" s="16" t="s">
        <v>117</v>
      </c>
      <c r="B21" s="287" t="s">
        <v>261</v>
      </c>
      <c r="C21" s="393"/>
      <c r="D21" s="393"/>
      <c r="E21" s="259"/>
    </row>
    <row r="22" spans="1:5" s="1" customFormat="1" ht="12" customHeight="1" thickBot="1">
      <c r="A22" s="20" t="s">
        <v>20</v>
      </c>
      <c r="B22" s="21" t="s">
        <v>262</v>
      </c>
      <c r="C22" s="390">
        <f>+C23+C24+C25+C26+C27</f>
        <v>0</v>
      </c>
      <c r="D22" s="390">
        <f>+D23+D24+D25+D26+D27</f>
        <v>0</v>
      </c>
      <c r="E22" s="256">
        <f>+E23+E24+E25+E26+E27</f>
        <v>384801977</v>
      </c>
    </row>
    <row r="23" spans="1:5" s="1" customFormat="1" ht="12" customHeight="1">
      <c r="A23" s="15" t="s">
        <v>87</v>
      </c>
      <c r="B23" s="409" t="s">
        <v>263</v>
      </c>
      <c r="C23" s="392"/>
      <c r="D23" s="392"/>
      <c r="E23" s="258"/>
    </row>
    <row r="24" spans="1:5" s="1" customFormat="1" ht="12" customHeight="1">
      <c r="A24" s="14" t="s">
        <v>88</v>
      </c>
      <c r="B24" s="410" t="s">
        <v>264</v>
      </c>
      <c r="C24" s="391"/>
      <c r="D24" s="391"/>
      <c r="E24" s="257"/>
    </row>
    <row r="25" spans="1:5" s="1" customFormat="1" ht="12" customHeight="1">
      <c r="A25" s="14" t="s">
        <v>89</v>
      </c>
      <c r="B25" s="410" t="s">
        <v>424</v>
      </c>
      <c r="C25" s="391"/>
      <c r="D25" s="391"/>
      <c r="E25" s="257"/>
    </row>
    <row r="26" spans="1:5" s="1" customFormat="1" ht="12" customHeight="1">
      <c r="A26" s="14" t="s">
        <v>90</v>
      </c>
      <c r="B26" s="410" t="s">
        <v>425</v>
      </c>
      <c r="C26" s="391"/>
      <c r="D26" s="391"/>
      <c r="E26" s="257"/>
    </row>
    <row r="27" spans="1:5" s="1" customFormat="1" ht="12" customHeight="1">
      <c r="A27" s="14" t="s">
        <v>171</v>
      </c>
      <c r="B27" s="410" t="s">
        <v>265</v>
      </c>
      <c r="C27" s="391"/>
      <c r="D27" s="391"/>
      <c r="E27" s="257">
        <v>384801977</v>
      </c>
    </row>
    <row r="28" spans="1:5" s="1" customFormat="1" ht="12" customHeight="1" thickBot="1">
      <c r="A28" s="16" t="s">
        <v>172</v>
      </c>
      <c r="B28" s="411" t="s">
        <v>266</v>
      </c>
      <c r="C28" s="393"/>
      <c r="D28" s="393"/>
      <c r="E28" s="259"/>
    </row>
    <row r="29" spans="1:5" s="1" customFormat="1" ht="12" customHeight="1" thickBot="1">
      <c r="A29" s="20" t="s">
        <v>173</v>
      </c>
      <c r="B29" s="21" t="s">
        <v>267</v>
      </c>
      <c r="C29" s="397">
        <f>SUM(C30:C36)</f>
        <v>0</v>
      </c>
      <c r="D29" s="397">
        <f>SUM(D30:D36)</f>
        <v>0</v>
      </c>
      <c r="E29" s="440">
        <f>SUM(E30:E36)</f>
        <v>1190000000</v>
      </c>
    </row>
    <row r="30" spans="1:5" s="1" customFormat="1" ht="12" customHeight="1">
      <c r="A30" s="15" t="s">
        <v>268</v>
      </c>
      <c r="B30" s="409" t="s">
        <v>555</v>
      </c>
      <c r="C30" s="392"/>
      <c r="D30" s="392"/>
      <c r="E30" s="291">
        <v>81000000</v>
      </c>
    </row>
    <row r="31" spans="1:5" s="1" customFormat="1" ht="12" customHeight="1">
      <c r="A31" s="14" t="s">
        <v>269</v>
      </c>
      <c r="B31" s="410" t="s">
        <v>556</v>
      </c>
      <c r="C31" s="391"/>
      <c r="D31" s="391"/>
      <c r="E31" s="292">
        <v>2000000</v>
      </c>
    </row>
    <row r="32" spans="1:5" s="1" customFormat="1" ht="12" customHeight="1">
      <c r="A32" s="14" t="s">
        <v>270</v>
      </c>
      <c r="B32" s="410" t="s">
        <v>557</v>
      </c>
      <c r="C32" s="391"/>
      <c r="D32" s="391"/>
      <c r="E32" s="292">
        <v>950000000</v>
      </c>
    </row>
    <row r="33" spans="1:5" s="1" customFormat="1" ht="12" customHeight="1">
      <c r="A33" s="14" t="s">
        <v>271</v>
      </c>
      <c r="B33" s="410" t="s">
        <v>558</v>
      </c>
      <c r="C33" s="391"/>
      <c r="D33" s="391"/>
      <c r="E33" s="292">
        <v>2000000</v>
      </c>
    </row>
    <row r="34" spans="1:5" s="1" customFormat="1" ht="12" customHeight="1">
      <c r="A34" s="14" t="s">
        <v>552</v>
      </c>
      <c r="B34" s="410" t="s">
        <v>272</v>
      </c>
      <c r="C34" s="391"/>
      <c r="D34" s="391"/>
      <c r="E34" s="292">
        <v>105000000</v>
      </c>
    </row>
    <row r="35" spans="1:5" s="1" customFormat="1" ht="12" customHeight="1">
      <c r="A35" s="14" t="s">
        <v>553</v>
      </c>
      <c r="B35" s="410" t="s">
        <v>273</v>
      </c>
      <c r="C35" s="391"/>
      <c r="D35" s="391"/>
      <c r="E35" s="292">
        <v>50000000</v>
      </c>
    </row>
    <row r="36" spans="1:5" s="1" customFormat="1" ht="12" customHeight="1" thickBot="1">
      <c r="A36" s="16" t="s">
        <v>554</v>
      </c>
      <c r="B36" s="411" t="s">
        <v>274</v>
      </c>
      <c r="C36" s="393"/>
      <c r="D36" s="393"/>
      <c r="E36" s="298"/>
    </row>
    <row r="37" spans="1:5" s="1" customFormat="1" ht="12" customHeight="1" thickBot="1">
      <c r="A37" s="20" t="s">
        <v>22</v>
      </c>
      <c r="B37" s="21" t="s">
        <v>434</v>
      </c>
      <c r="C37" s="390">
        <f>SUM(C38:C48)</f>
        <v>0</v>
      </c>
      <c r="D37" s="390">
        <f>SUM(D38:D48)</f>
        <v>0</v>
      </c>
      <c r="E37" s="256">
        <f>SUM(E38:E48)</f>
        <v>0</v>
      </c>
    </row>
    <row r="38" spans="1:5" s="1" customFormat="1" ht="12" customHeight="1">
      <c r="A38" s="15" t="s">
        <v>91</v>
      </c>
      <c r="B38" s="409" t="s">
        <v>277</v>
      </c>
      <c r="C38" s="392"/>
      <c r="D38" s="392"/>
      <c r="E38" s="258"/>
    </row>
    <row r="39" spans="1:5" s="1" customFormat="1" ht="12" customHeight="1">
      <c r="A39" s="14" t="s">
        <v>92</v>
      </c>
      <c r="B39" s="410" t="s">
        <v>278</v>
      </c>
      <c r="C39" s="391"/>
      <c r="D39" s="391"/>
      <c r="E39" s="257"/>
    </row>
    <row r="40" spans="1:5" s="1" customFormat="1" ht="12" customHeight="1">
      <c r="A40" s="14" t="s">
        <v>93</v>
      </c>
      <c r="B40" s="410" t="s">
        <v>279</v>
      </c>
      <c r="C40" s="391"/>
      <c r="D40" s="391"/>
      <c r="E40" s="257"/>
    </row>
    <row r="41" spans="1:5" s="1" customFormat="1" ht="12" customHeight="1">
      <c r="A41" s="14" t="s">
        <v>175</v>
      </c>
      <c r="B41" s="410" t="s">
        <v>280</v>
      </c>
      <c r="C41" s="391"/>
      <c r="D41" s="391"/>
      <c r="E41" s="257"/>
    </row>
    <row r="42" spans="1:5" s="1" customFormat="1" ht="12" customHeight="1">
      <c r="A42" s="14" t="s">
        <v>176</v>
      </c>
      <c r="B42" s="410" t="s">
        <v>281</v>
      </c>
      <c r="C42" s="391"/>
      <c r="D42" s="391"/>
      <c r="E42" s="257"/>
    </row>
    <row r="43" spans="1:5" s="1" customFormat="1" ht="12" customHeight="1">
      <c r="A43" s="14" t="s">
        <v>177</v>
      </c>
      <c r="B43" s="410" t="s">
        <v>282</v>
      </c>
      <c r="C43" s="391"/>
      <c r="D43" s="391"/>
      <c r="E43" s="257"/>
    </row>
    <row r="44" spans="1:5" s="1" customFormat="1" ht="12" customHeight="1">
      <c r="A44" s="14" t="s">
        <v>178</v>
      </c>
      <c r="B44" s="410" t="s">
        <v>283</v>
      </c>
      <c r="C44" s="391"/>
      <c r="D44" s="391"/>
      <c r="E44" s="257"/>
    </row>
    <row r="45" spans="1:5" s="1" customFormat="1" ht="12" customHeight="1">
      <c r="A45" s="14" t="s">
        <v>179</v>
      </c>
      <c r="B45" s="410" t="s">
        <v>559</v>
      </c>
      <c r="C45" s="391"/>
      <c r="D45" s="391"/>
      <c r="E45" s="257"/>
    </row>
    <row r="46" spans="1:5" s="1" customFormat="1" ht="12" customHeight="1">
      <c r="A46" s="14" t="s">
        <v>275</v>
      </c>
      <c r="B46" s="410" t="s">
        <v>285</v>
      </c>
      <c r="C46" s="394"/>
      <c r="D46" s="394"/>
      <c r="E46" s="260"/>
    </row>
    <row r="47" spans="1:5" s="1" customFormat="1" ht="12" customHeight="1">
      <c r="A47" s="16" t="s">
        <v>276</v>
      </c>
      <c r="B47" s="411" t="s">
        <v>436</v>
      </c>
      <c r="C47" s="395"/>
      <c r="D47" s="395"/>
      <c r="E47" s="261"/>
    </row>
    <row r="48" spans="1:5" s="1" customFormat="1" ht="12" customHeight="1" thickBot="1">
      <c r="A48" s="16" t="s">
        <v>435</v>
      </c>
      <c r="B48" s="287" t="s">
        <v>286</v>
      </c>
      <c r="C48" s="395"/>
      <c r="D48" s="395"/>
      <c r="E48" s="261"/>
    </row>
    <row r="49" spans="1:5" s="1" customFormat="1" ht="12" customHeight="1" thickBot="1">
      <c r="A49" s="20" t="s">
        <v>23</v>
      </c>
      <c r="B49" s="21" t="s">
        <v>287</v>
      </c>
      <c r="C49" s="390">
        <f>SUM(C50:C54)</f>
        <v>0</v>
      </c>
      <c r="D49" s="390">
        <f>SUM(D50:D54)</f>
        <v>0</v>
      </c>
      <c r="E49" s="256">
        <f>SUM(E50:E54)</f>
        <v>0</v>
      </c>
    </row>
    <row r="50" spans="1:5" s="1" customFormat="1" ht="12" customHeight="1">
      <c r="A50" s="15" t="s">
        <v>94</v>
      </c>
      <c r="B50" s="409" t="s">
        <v>291</v>
      </c>
      <c r="C50" s="455"/>
      <c r="D50" s="455"/>
      <c r="E50" s="283"/>
    </row>
    <row r="51" spans="1:5" s="1" customFormat="1" ht="12" customHeight="1">
      <c r="A51" s="14" t="s">
        <v>95</v>
      </c>
      <c r="B51" s="410" t="s">
        <v>292</v>
      </c>
      <c r="C51" s="394"/>
      <c r="D51" s="394"/>
      <c r="E51" s="260"/>
    </row>
    <row r="52" spans="1:5" s="1" customFormat="1" ht="12" customHeight="1">
      <c r="A52" s="14" t="s">
        <v>288</v>
      </c>
      <c r="B52" s="410" t="s">
        <v>293</v>
      </c>
      <c r="C52" s="394"/>
      <c r="D52" s="394"/>
      <c r="E52" s="260"/>
    </row>
    <row r="53" spans="1:5" s="1" customFormat="1" ht="12" customHeight="1">
      <c r="A53" s="14" t="s">
        <v>289</v>
      </c>
      <c r="B53" s="410" t="s">
        <v>294</v>
      </c>
      <c r="C53" s="394"/>
      <c r="D53" s="394"/>
      <c r="E53" s="260"/>
    </row>
    <row r="54" spans="1:5" s="1" customFormat="1" ht="12" customHeight="1" thickBot="1">
      <c r="A54" s="16" t="s">
        <v>290</v>
      </c>
      <c r="B54" s="287" t="s">
        <v>295</v>
      </c>
      <c r="C54" s="395"/>
      <c r="D54" s="395"/>
      <c r="E54" s="261"/>
    </row>
    <row r="55" spans="1:5" s="1" customFormat="1" ht="12" customHeight="1" thickBot="1">
      <c r="A55" s="20" t="s">
        <v>180</v>
      </c>
      <c r="B55" s="21" t="s">
        <v>296</v>
      </c>
      <c r="C55" s="390">
        <f>SUM(C56:C58)</f>
        <v>0</v>
      </c>
      <c r="D55" s="390">
        <f>SUM(D56:D58)</f>
        <v>0</v>
      </c>
      <c r="E55" s="256">
        <f>SUM(E56:E58)</f>
        <v>0</v>
      </c>
    </row>
    <row r="56" spans="1:5" s="1" customFormat="1" ht="12" customHeight="1">
      <c r="A56" s="15" t="s">
        <v>96</v>
      </c>
      <c r="B56" s="409" t="s">
        <v>297</v>
      </c>
      <c r="C56" s="392"/>
      <c r="D56" s="392"/>
      <c r="E56" s="258"/>
    </row>
    <row r="57" spans="1:5" s="1" customFormat="1" ht="12" customHeight="1">
      <c r="A57" s="14" t="s">
        <v>97</v>
      </c>
      <c r="B57" s="410" t="s">
        <v>426</v>
      </c>
      <c r="C57" s="391"/>
      <c r="D57" s="391"/>
      <c r="E57" s="257"/>
    </row>
    <row r="58" spans="1:5" s="1" customFormat="1" ht="12" customHeight="1">
      <c r="A58" s="14" t="s">
        <v>300</v>
      </c>
      <c r="B58" s="410" t="s">
        <v>298</v>
      </c>
      <c r="C58" s="391"/>
      <c r="D58" s="391"/>
      <c r="E58" s="257"/>
    </row>
    <row r="59" spans="1:5" s="1" customFormat="1" ht="12" customHeight="1" thickBot="1">
      <c r="A59" s="16" t="s">
        <v>301</v>
      </c>
      <c r="B59" s="287" t="s">
        <v>299</v>
      </c>
      <c r="C59" s="393"/>
      <c r="D59" s="393"/>
      <c r="E59" s="259"/>
    </row>
    <row r="60" spans="1:5" s="1" customFormat="1" ht="12" customHeight="1" thickBot="1">
      <c r="A60" s="20" t="s">
        <v>25</v>
      </c>
      <c r="B60" s="285" t="s">
        <v>302</v>
      </c>
      <c r="C60" s="390">
        <f>SUM(C61:C63)</f>
        <v>0</v>
      </c>
      <c r="D60" s="390">
        <f>SUM(D61:D63)</f>
        <v>0</v>
      </c>
      <c r="E60" s="256">
        <f>SUM(E61:E63)</f>
        <v>0</v>
      </c>
    </row>
    <row r="61" spans="1:5" s="1" customFormat="1" ht="12" customHeight="1">
      <c r="A61" s="15" t="s">
        <v>181</v>
      </c>
      <c r="B61" s="409" t="s">
        <v>304</v>
      </c>
      <c r="C61" s="394"/>
      <c r="D61" s="394"/>
      <c r="E61" s="260"/>
    </row>
    <row r="62" spans="1:5" s="1" customFormat="1" ht="12" customHeight="1">
      <c r="A62" s="14" t="s">
        <v>182</v>
      </c>
      <c r="B62" s="410" t="s">
        <v>427</v>
      </c>
      <c r="C62" s="394"/>
      <c r="D62" s="394"/>
      <c r="E62" s="260"/>
    </row>
    <row r="63" spans="1:5" s="1" customFormat="1" ht="12" customHeight="1">
      <c r="A63" s="14" t="s">
        <v>231</v>
      </c>
      <c r="B63" s="410" t="s">
        <v>305</v>
      </c>
      <c r="C63" s="394"/>
      <c r="D63" s="394"/>
      <c r="E63" s="260"/>
    </row>
    <row r="64" spans="1:5" s="1" customFormat="1" ht="12" customHeight="1" thickBot="1">
      <c r="A64" s="16" t="s">
        <v>303</v>
      </c>
      <c r="B64" s="287" t="s">
        <v>306</v>
      </c>
      <c r="C64" s="394"/>
      <c r="D64" s="394"/>
      <c r="E64" s="260"/>
    </row>
    <row r="65" spans="1:7" s="1" customFormat="1" ht="12" customHeight="1" thickBot="1">
      <c r="A65" s="477" t="s">
        <v>476</v>
      </c>
      <c r="B65" s="21" t="s">
        <v>307</v>
      </c>
      <c r="C65" s="397">
        <f>+C8+C15+C22+C29+C37+C49+C55+C60</f>
        <v>0</v>
      </c>
      <c r="D65" s="397">
        <f>+D8+D15+D22+D29+D37+D49+D55+D60</f>
        <v>0</v>
      </c>
      <c r="E65" s="440">
        <f>+E8+E15+E22+E29+E37+E49+E55+E60</f>
        <v>3478308384</v>
      </c>
    </row>
    <row r="66" spans="1:7" s="1" customFormat="1" ht="12" customHeight="1" thickBot="1">
      <c r="A66" s="456" t="s">
        <v>308</v>
      </c>
      <c r="B66" s="285" t="s">
        <v>543</v>
      </c>
      <c r="C66" s="390">
        <f>SUM(C67:C69)</f>
        <v>0</v>
      </c>
      <c r="D66" s="390">
        <f>SUM(D67:D69)</f>
        <v>0</v>
      </c>
      <c r="E66" s="256">
        <f>SUM(E67:E69)</f>
        <v>0</v>
      </c>
    </row>
    <row r="67" spans="1:7" s="1" customFormat="1" ht="12" customHeight="1">
      <c r="A67" s="15" t="s">
        <v>337</v>
      </c>
      <c r="B67" s="409" t="s">
        <v>310</v>
      </c>
      <c r="C67" s="394"/>
      <c r="D67" s="394"/>
      <c r="E67" s="260"/>
    </row>
    <row r="68" spans="1:7" s="1" customFormat="1" ht="12" customHeight="1">
      <c r="A68" s="14" t="s">
        <v>346</v>
      </c>
      <c r="B68" s="410" t="s">
        <v>311</v>
      </c>
      <c r="C68" s="394"/>
      <c r="D68" s="394"/>
      <c r="E68" s="260"/>
    </row>
    <row r="69" spans="1:7" s="1" customFormat="1" ht="12" customHeight="1" thickBot="1">
      <c r="A69" s="16" t="s">
        <v>347</v>
      </c>
      <c r="B69" s="471" t="s">
        <v>461</v>
      </c>
      <c r="C69" s="394"/>
      <c r="D69" s="394"/>
      <c r="E69" s="260"/>
    </row>
    <row r="70" spans="1:7" s="1" customFormat="1" ht="12" customHeight="1" thickBot="1">
      <c r="A70" s="456" t="s">
        <v>313</v>
      </c>
      <c r="B70" s="285" t="s">
        <v>314</v>
      </c>
      <c r="C70" s="390">
        <f>SUM(C71:C74)</f>
        <v>0</v>
      </c>
      <c r="D70" s="390">
        <f>SUM(D71:D74)</f>
        <v>0</v>
      </c>
      <c r="E70" s="256">
        <f>SUM(E71:E74)</f>
        <v>0</v>
      </c>
    </row>
    <row r="71" spans="1:7" s="1" customFormat="1" ht="12" customHeight="1">
      <c r="A71" s="15" t="s">
        <v>149</v>
      </c>
      <c r="B71" s="552" t="s">
        <v>315</v>
      </c>
      <c r="C71" s="394"/>
      <c r="D71" s="394"/>
      <c r="E71" s="260"/>
    </row>
    <row r="72" spans="1:7" s="1" customFormat="1" ht="13.5" customHeight="1">
      <c r="A72" s="14" t="s">
        <v>150</v>
      </c>
      <c r="B72" s="552" t="s">
        <v>571</v>
      </c>
      <c r="C72" s="394"/>
      <c r="D72" s="394"/>
      <c r="E72" s="260"/>
      <c r="G72" s="40"/>
    </row>
    <row r="73" spans="1:7" s="1" customFormat="1" ht="12" customHeight="1">
      <c r="A73" s="14" t="s">
        <v>338</v>
      </c>
      <c r="B73" s="552" t="s">
        <v>316</v>
      </c>
      <c r="C73" s="394"/>
      <c r="D73" s="394"/>
      <c r="E73" s="260"/>
    </row>
    <row r="74" spans="1:7" s="1" customFormat="1" ht="12" customHeight="1" thickBot="1">
      <c r="A74" s="16" t="s">
        <v>339</v>
      </c>
      <c r="B74" s="553" t="s">
        <v>572</v>
      </c>
      <c r="C74" s="394"/>
      <c r="D74" s="394"/>
      <c r="E74" s="260"/>
    </row>
    <row r="75" spans="1:7" s="1" customFormat="1" ht="12" customHeight="1" thickBot="1">
      <c r="A75" s="456" t="s">
        <v>317</v>
      </c>
      <c r="B75" s="285" t="s">
        <v>318</v>
      </c>
      <c r="C75" s="390">
        <f>SUM(C76:C77)</f>
        <v>0</v>
      </c>
      <c r="D75" s="390">
        <f>SUM(D76:D77)</f>
        <v>0</v>
      </c>
      <c r="E75" s="256">
        <f>SUM(E76:E77)</f>
        <v>0</v>
      </c>
    </row>
    <row r="76" spans="1:7" s="1" customFormat="1" ht="12" customHeight="1">
      <c r="A76" s="15" t="s">
        <v>340</v>
      </c>
      <c r="B76" s="409" t="s">
        <v>319</v>
      </c>
      <c r="C76" s="394"/>
      <c r="D76" s="394"/>
      <c r="E76" s="260"/>
    </row>
    <row r="77" spans="1:7" s="1" customFormat="1" ht="12" customHeight="1" thickBot="1">
      <c r="A77" s="16" t="s">
        <v>341</v>
      </c>
      <c r="B77" s="287" t="s">
        <v>320</v>
      </c>
      <c r="C77" s="394"/>
      <c r="D77" s="394"/>
      <c r="E77" s="260"/>
    </row>
    <row r="78" spans="1:7" s="1" customFormat="1" ht="12" customHeight="1" thickBot="1">
      <c r="A78" s="456" t="s">
        <v>321</v>
      </c>
      <c r="B78" s="285" t="s">
        <v>322</v>
      </c>
      <c r="C78" s="390">
        <f>SUM(C79:C81)</f>
        <v>0</v>
      </c>
      <c r="D78" s="390">
        <f>SUM(D79:D81)</f>
        <v>0</v>
      </c>
      <c r="E78" s="256">
        <f>SUM(E79:E81)</f>
        <v>0</v>
      </c>
    </row>
    <row r="79" spans="1:7" s="1" customFormat="1" ht="12" customHeight="1">
      <c r="A79" s="15" t="s">
        <v>342</v>
      </c>
      <c r="B79" s="409" t="s">
        <v>323</v>
      </c>
      <c r="C79" s="394"/>
      <c r="D79" s="394"/>
      <c r="E79" s="260"/>
    </row>
    <row r="80" spans="1:7" s="1" customFormat="1" ht="12" customHeight="1">
      <c r="A80" s="14" t="s">
        <v>343</v>
      </c>
      <c r="B80" s="410" t="s">
        <v>324</v>
      </c>
      <c r="C80" s="394"/>
      <c r="D80" s="394"/>
      <c r="E80" s="260"/>
    </row>
    <row r="81" spans="1:6" s="1" customFormat="1" ht="12" customHeight="1" thickBot="1">
      <c r="A81" s="16" t="s">
        <v>344</v>
      </c>
      <c r="B81" s="287" t="s">
        <v>573</v>
      </c>
      <c r="C81" s="394"/>
      <c r="D81" s="394"/>
      <c r="E81" s="260"/>
    </row>
    <row r="82" spans="1:6" s="1" customFormat="1" ht="12" customHeight="1" thickBot="1">
      <c r="A82" s="456" t="s">
        <v>325</v>
      </c>
      <c r="B82" s="285" t="s">
        <v>345</v>
      </c>
      <c r="C82" s="390">
        <f>SUM(C83:C86)</f>
        <v>0</v>
      </c>
      <c r="D82" s="390">
        <f>SUM(D83:D86)</f>
        <v>0</v>
      </c>
      <c r="E82" s="256">
        <f>SUM(E83:E86)</f>
        <v>0</v>
      </c>
    </row>
    <row r="83" spans="1:6" s="1" customFormat="1" ht="12" customHeight="1">
      <c r="A83" s="413" t="s">
        <v>326</v>
      </c>
      <c r="B83" s="409" t="s">
        <v>327</v>
      </c>
      <c r="C83" s="394"/>
      <c r="D83" s="394"/>
      <c r="E83" s="260"/>
    </row>
    <row r="84" spans="1:6" s="1" customFormat="1" ht="12" customHeight="1">
      <c r="A84" s="414" t="s">
        <v>328</v>
      </c>
      <c r="B84" s="410" t="s">
        <v>329</v>
      </c>
      <c r="C84" s="394"/>
      <c r="D84" s="394"/>
      <c r="E84" s="260"/>
    </row>
    <row r="85" spans="1:6" s="1" customFormat="1" ht="12" customHeight="1">
      <c r="A85" s="414" t="s">
        <v>330</v>
      </c>
      <c r="B85" s="410" t="s">
        <v>331</v>
      </c>
      <c r="C85" s="394"/>
      <c r="D85" s="394"/>
      <c r="E85" s="260"/>
    </row>
    <row r="86" spans="1:6" s="1" customFormat="1" ht="12" customHeight="1" thickBot="1">
      <c r="A86" s="415" t="s">
        <v>332</v>
      </c>
      <c r="B86" s="287" t="s">
        <v>333</v>
      </c>
      <c r="C86" s="394"/>
      <c r="D86" s="394"/>
      <c r="E86" s="260"/>
    </row>
    <row r="87" spans="1:6" s="1" customFormat="1" ht="12" customHeight="1" thickBot="1">
      <c r="A87" s="456" t="s">
        <v>334</v>
      </c>
      <c r="B87" s="285" t="s">
        <v>475</v>
      </c>
      <c r="C87" s="458"/>
      <c r="D87" s="458"/>
      <c r="E87" s="459"/>
    </row>
    <row r="88" spans="1:6" s="1" customFormat="1" ht="12" customHeight="1" thickBot="1">
      <c r="A88" s="456" t="s">
        <v>336</v>
      </c>
      <c r="B88" s="285" t="s">
        <v>335</v>
      </c>
      <c r="C88" s="458"/>
      <c r="D88" s="458"/>
      <c r="E88" s="459"/>
    </row>
    <row r="89" spans="1:6" s="1" customFormat="1" ht="12" customHeight="1" thickBot="1">
      <c r="A89" s="456" t="s">
        <v>348</v>
      </c>
      <c r="B89" s="416" t="s">
        <v>478</v>
      </c>
      <c r="C89" s="397">
        <f>+C66+C70+C75+C78+C82+C88+C87</f>
        <v>0</v>
      </c>
      <c r="D89" s="397">
        <f>+D66+D70+D75+D78+D82+D88+D87</f>
        <v>0</v>
      </c>
      <c r="E89" s="440">
        <f>+E66+E70+E75+E78+E82+E88+E87</f>
        <v>0</v>
      </c>
    </row>
    <row r="90" spans="1:6" s="1" customFormat="1" ht="12" customHeight="1" thickBot="1">
      <c r="A90" s="457" t="s">
        <v>477</v>
      </c>
      <c r="B90" s="417" t="s">
        <v>479</v>
      </c>
      <c r="C90" s="397">
        <f>+C65+C89</f>
        <v>0</v>
      </c>
      <c r="D90" s="397">
        <f>+D65+D89</f>
        <v>0</v>
      </c>
      <c r="E90" s="440">
        <f>+E65+E89</f>
        <v>3478308384</v>
      </c>
    </row>
    <row r="91" spans="1:6" s="1" customFormat="1" ht="12" customHeight="1">
      <c r="A91" s="362"/>
      <c r="B91" s="363"/>
      <c r="C91" s="364"/>
      <c r="D91" s="365"/>
      <c r="E91" s="366"/>
    </row>
    <row r="92" spans="1:6" s="1" customFormat="1" ht="12" customHeight="1">
      <c r="A92" s="824" t="s">
        <v>47</v>
      </c>
      <c r="B92" s="824"/>
      <c r="C92" s="824"/>
      <c r="D92" s="824"/>
      <c r="E92" s="824"/>
    </row>
    <row r="93" spans="1:6" s="1" customFormat="1" ht="12" customHeight="1" thickBot="1">
      <c r="A93" s="821" t="s">
        <v>153</v>
      </c>
      <c r="B93" s="821"/>
      <c r="C93" s="377"/>
      <c r="D93" s="134"/>
      <c r="E93" s="300" t="str">
        <f ca="1">E5</f>
        <v/>
      </c>
    </row>
    <row r="94" spans="1:6" s="1" customFormat="1" ht="24" customHeight="1" thickBot="1">
      <c r="A94" s="23" t="s">
        <v>16</v>
      </c>
      <c r="B94" s="24" t="s">
        <v>48</v>
      </c>
      <c r="C94" s="24" t="str">
        <f ca="1">+C6</f>
        <v>2017. évi tény</v>
      </c>
      <c r="D94" s="24" t="str">
        <f ca="1">+D6</f>
        <v>2018. évi várható</v>
      </c>
      <c r="E94" s="152" t="str">
        <f ca="1">+E6</f>
        <v>2019. évi előirányzat</v>
      </c>
      <c r="F94" s="142"/>
    </row>
    <row r="95" spans="1:6" s="1" customFormat="1" ht="12" customHeight="1" thickBot="1">
      <c r="A95" s="32" t="s">
        <v>493</v>
      </c>
      <c r="B95" s="33" t="s">
        <v>494</v>
      </c>
      <c r="C95" s="33" t="s">
        <v>495</v>
      </c>
      <c r="D95" s="33" t="s">
        <v>497</v>
      </c>
      <c r="E95" s="441" t="s">
        <v>496</v>
      </c>
      <c r="F95" s="142"/>
    </row>
    <row r="96" spans="1:6" s="1" customFormat="1" ht="15.2" customHeight="1" thickBot="1">
      <c r="A96" s="22" t="s">
        <v>18</v>
      </c>
      <c r="B96" s="28" t="s">
        <v>437</v>
      </c>
      <c r="C96" s="389">
        <f>C97+C98+C99+C100+C101+C114</f>
        <v>0</v>
      </c>
      <c r="D96" s="389">
        <f>D97+D98+D99+D100+D101+D114</f>
        <v>0</v>
      </c>
      <c r="E96" s="480">
        <f>E97+E98+E99+E100+E101+E114</f>
        <v>0</v>
      </c>
      <c r="F96" s="142"/>
    </row>
    <row r="97" spans="1:5" s="1" customFormat="1" ht="12.95" customHeight="1">
      <c r="A97" s="17" t="s">
        <v>98</v>
      </c>
      <c r="B97" s="10" t="s">
        <v>49</v>
      </c>
      <c r="C97" s="487"/>
      <c r="D97" s="487"/>
      <c r="E97" s="481"/>
    </row>
    <row r="98" spans="1:5" ht="16.5" customHeight="1">
      <c r="A98" s="14" t="s">
        <v>99</v>
      </c>
      <c r="B98" s="8" t="s">
        <v>183</v>
      </c>
      <c r="C98" s="391"/>
      <c r="D98" s="391"/>
      <c r="E98" s="257"/>
    </row>
    <row r="99" spans="1:5">
      <c r="A99" s="14" t="s">
        <v>100</v>
      </c>
      <c r="B99" s="8" t="s">
        <v>140</v>
      </c>
      <c r="C99" s="393"/>
      <c r="D99" s="393"/>
      <c r="E99" s="259"/>
    </row>
    <row r="100" spans="1:5" s="39" customFormat="1" ht="12" customHeight="1">
      <c r="A100" s="14" t="s">
        <v>101</v>
      </c>
      <c r="B100" s="11" t="s">
        <v>184</v>
      </c>
      <c r="C100" s="393"/>
      <c r="D100" s="393"/>
      <c r="E100" s="259"/>
    </row>
    <row r="101" spans="1:5" ht="12" customHeight="1">
      <c r="A101" s="14" t="s">
        <v>112</v>
      </c>
      <c r="B101" s="19" t="s">
        <v>185</v>
      </c>
      <c r="C101" s="393"/>
      <c r="D101" s="393"/>
      <c r="E101" s="259"/>
    </row>
    <row r="102" spans="1:5" ht="12" customHeight="1">
      <c r="A102" s="14" t="s">
        <v>102</v>
      </c>
      <c r="B102" s="8" t="s">
        <v>442</v>
      </c>
      <c r="C102" s="393"/>
      <c r="D102" s="393"/>
      <c r="E102" s="259"/>
    </row>
    <row r="103" spans="1:5" ht="12" customHeight="1">
      <c r="A103" s="14" t="s">
        <v>103</v>
      </c>
      <c r="B103" s="138" t="s">
        <v>441</v>
      </c>
      <c r="C103" s="393"/>
      <c r="D103" s="393"/>
      <c r="E103" s="259"/>
    </row>
    <row r="104" spans="1:5" ht="12" customHeight="1">
      <c r="A104" s="14" t="s">
        <v>113</v>
      </c>
      <c r="B104" s="138" t="s">
        <v>440</v>
      </c>
      <c r="C104" s="393"/>
      <c r="D104" s="393"/>
      <c r="E104" s="259"/>
    </row>
    <row r="105" spans="1:5" ht="12" customHeight="1">
      <c r="A105" s="14" t="s">
        <v>114</v>
      </c>
      <c r="B105" s="136" t="s">
        <v>351</v>
      </c>
      <c r="C105" s="393"/>
      <c r="D105" s="393"/>
      <c r="E105" s="259"/>
    </row>
    <row r="106" spans="1:5" ht="12" customHeight="1">
      <c r="A106" s="14" t="s">
        <v>115</v>
      </c>
      <c r="B106" s="137" t="s">
        <v>352</v>
      </c>
      <c r="C106" s="393"/>
      <c r="D106" s="393"/>
      <c r="E106" s="259"/>
    </row>
    <row r="107" spans="1:5" ht="12" customHeight="1">
      <c r="A107" s="14" t="s">
        <v>116</v>
      </c>
      <c r="B107" s="137" t="s">
        <v>353</v>
      </c>
      <c r="C107" s="393"/>
      <c r="D107" s="393"/>
      <c r="E107" s="259"/>
    </row>
    <row r="108" spans="1:5" ht="12" customHeight="1">
      <c r="A108" s="14" t="s">
        <v>118</v>
      </c>
      <c r="B108" s="136" t="s">
        <v>354</v>
      </c>
      <c r="C108" s="393"/>
      <c r="D108" s="393"/>
      <c r="E108" s="259"/>
    </row>
    <row r="109" spans="1:5" ht="12" customHeight="1">
      <c r="A109" s="14" t="s">
        <v>186</v>
      </c>
      <c r="B109" s="136" t="s">
        <v>355</v>
      </c>
      <c r="C109" s="393"/>
      <c r="D109" s="393"/>
      <c r="E109" s="259"/>
    </row>
    <row r="110" spans="1:5" ht="12" customHeight="1">
      <c r="A110" s="14" t="s">
        <v>349</v>
      </c>
      <c r="B110" s="137" t="s">
        <v>356</v>
      </c>
      <c r="C110" s="393"/>
      <c r="D110" s="393"/>
      <c r="E110" s="259"/>
    </row>
    <row r="111" spans="1:5" ht="12" customHeight="1">
      <c r="A111" s="13" t="s">
        <v>350</v>
      </c>
      <c r="B111" s="138" t="s">
        <v>357</v>
      </c>
      <c r="C111" s="393"/>
      <c r="D111" s="393"/>
      <c r="E111" s="259"/>
    </row>
    <row r="112" spans="1:5" ht="12" customHeight="1">
      <c r="A112" s="14" t="s">
        <v>438</v>
      </c>
      <c r="B112" s="138" t="s">
        <v>358</v>
      </c>
      <c r="C112" s="393"/>
      <c r="D112" s="393"/>
      <c r="E112" s="259"/>
    </row>
    <row r="113" spans="1:5" ht="12" customHeight="1">
      <c r="A113" s="16" t="s">
        <v>439</v>
      </c>
      <c r="B113" s="138" t="s">
        <v>359</v>
      </c>
      <c r="C113" s="393"/>
      <c r="D113" s="393"/>
      <c r="E113" s="259"/>
    </row>
    <row r="114" spans="1:5" ht="12" customHeight="1">
      <c r="A114" s="14" t="s">
        <v>443</v>
      </c>
      <c r="B114" s="11" t="s">
        <v>50</v>
      </c>
      <c r="C114" s="391"/>
      <c r="D114" s="391"/>
      <c r="E114" s="257"/>
    </row>
    <row r="115" spans="1:5" ht="12" customHeight="1">
      <c r="A115" s="14" t="s">
        <v>444</v>
      </c>
      <c r="B115" s="8" t="s">
        <v>446</v>
      </c>
      <c r="C115" s="391"/>
      <c r="D115" s="391"/>
      <c r="E115" s="257"/>
    </row>
    <row r="116" spans="1:5" ht="12" customHeight="1" thickBot="1">
      <c r="A116" s="18" t="s">
        <v>445</v>
      </c>
      <c r="B116" s="475" t="s">
        <v>447</v>
      </c>
      <c r="C116" s="488"/>
      <c r="D116" s="488"/>
      <c r="E116" s="482"/>
    </row>
    <row r="117" spans="1:5" ht="12" customHeight="1" thickBot="1">
      <c r="A117" s="472" t="s">
        <v>19</v>
      </c>
      <c r="B117" s="473" t="s">
        <v>360</v>
      </c>
      <c r="C117" s="489">
        <f>+C118+C120+C122</f>
        <v>0</v>
      </c>
      <c r="D117" s="489">
        <f>+D118+D120+D122</f>
        <v>0</v>
      </c>
      <c r="E117" s="483">
        <f>+E118+E120+E122</f>
        <v>0</v>
      </c>
    </row>
    <row r="118" spans="1:5" ht="12" customHeight="1">
      <c r="A118" s="15" t="s">
        <v>104</v>
      </c>
      <c r="B118" s="8" t="s">
        <v>230</v>
      </c>
      <c r="C118" s="392"/>
      <c r="D118" s="392"/>
      <c r="E118" s="258"/>
    </row>
    <row r="119" spans="1:5">
      <c r="A119" s="15" t="s">
        <v>105</v>
      </c>
      <c r="B119" s="12" t="s">
        <v>364</v>
      </c>
      <c r="C119" s="392"/>
      <c r="D119" s="392"/>
      <c r="E119" s="258"/>
    </row>
    <row r="120" spans="1:5" ht="12" customHeight="1">
      <c r="A120" s="15" t="s">
        <v>106</v>
      </c>
      <c r="B120" s="12" t="s">
        <v>187</v>
      </c>
      <c r="C120" s="391"/>
      <c r="D120" s="391"/>
      <c r="E120" s="257"/>
    </row>
    <row r="121" spans="1:5" ht="12" customHeight="1">
      <c r="A121" s="15" t="s">
        <v>107</v>
      </c>
      <c r="B121" s="12" t="s">
        <v>365</v>
      </c>
      <c r="C121" s="391"/>
      <c r="D121" s="391"/>
      <c r="E121" s="257"/>
    </row>
    <row r="122" spans="1:5" ht="12" customHeight="1">
      <c r="A122" s="15" t="s">
        <v>108</v>
      </c>
      <c r="B122" s="287" t="s">
        <v>232</v>
      </c>
      <c r="C122" s="391"/>
      <c r="D122" s="391"/>
      <c r="E122" s="257"/>
    </row>
    <row r="123" spans="1:5" ht="12" customHeight="1">
      <c r="A123" s="15" t="s">
        <v>117</v>
      </c>
      <c r="B123" s="286" t="s">
        <v>428</v>
      </c>
      <c r="C123" s="391"/>
      <c r="D123" s="391"/>
      <c r="E123" s="257"/>
    </row>
    <row r="124" spans="1:5" ht="12" customHeight="1">
      <c r="A124" s="15" t="s">
        <v>119</v>
      </c>
      <c r="B124" s="405" t="s">
        <v>370</v>
      </c>
      <c r="C124" s="391"/>
      <c r="D124" s="391"/>
      <c r="E124" s="257"/>
    </row>
    <row r="125" spans="1:5" ht="12" customHeight="1">
      <c r="A125" s="15" t="s">
        <v>188</v>
      </c>
      <c r="B125" s="137" t="s">
        <v>353</v>
      </c>
      <c r="C125" s="391"/>
      <c r="D125" s="391"/>
      <c r="E125" s="257"/>
    </row>
    <row r="126" spans="1:5" ht="12" customHeight="1">
      <c r="A126" s="15" t="s">
        <v>189</v>
      </c>
      <c r="B126" s="137" t="s">
        <v>369</v>
      </c>
      <c r="C126" s="391"/>
      <c r="D126" s="391"/>
      <c r="E126" s="257"/>
    </row>
    <row r="127" spans="1:5" ht="12" customHeight="1">
      <c r="A127" s="15" t="s">
        <v>190</v>
      </c>
      <c r="B127" s="137" t="s">
        <v>368</v>
      </c>
      <c r="C127" s="391"/>
      <c r="D127" s="391"/>
      <c r="E127" s="257"/>
    </row>
    <row r="128" spans="1:5" ht="12" customHeight="1">
      <c r="A128" s="15" t="s">
        <v>361</v>
      </c>
      <c r="B128" s="137" t="s">
        <v>356</v>
      </c>
      <c r="C128" s="391"/>
      <c r="D128" s="391"/>
      <c r="E128" s="257"/>
    </row>
    <row r="129" spans="1:5" ht="12" customHeight="1">
      <c r="A129" s="15" t="s">
        <v>362</v>
      </c>
      <c r="B129" s="137" t="s">
        <v>367</v>
      </c>
      <c r="C129" s="391"/>
      <c r="D129" s="391"/>
      <c r="E129" s="257"/>
    </row>
    <row r="130" spans="1:5" ht="12" customHeight="1" thickBot="1">
      <c r="A130" s="13" t="s">
        <v>363</v>
      </c>
      <c r="B130" s="137" t="s">
        <v>366</v>
      </c>
      <c r="C130" s="393"/>
      <c r="D130" s="393"/>
      <c r="E130" s="259"/>
    </row>
    <row r="131" spans="1:5" ht="12" customHeight="1" thickBot="1">
      <c r="A131" s="20" t="s">
        <v>20</v>
      </c>
      <c r="B131" s="118" t="s">
        <v>448</v>
      </c>
      <c r="C131" s="390">
        <f>+C96+C117</f>
        <v>0</v>
      </c>
      <c r="D131" s="390">
        <f>+D96+D117</f>
        <v>0</v>
      </c>
      <c r="E131" s="256">
        <f>+E96+E117</f>
        <v>0</v>
      </c>
    </row>
    <row r="132" spans="1:5" ht="12" customHeight="1" thickBot="1">
      <c r="A132" s="20" t="s">
        <v>21</v>
      </c>
      <c r="B132" s="118" t="s">
        <v>449</v>
      </c>
      <c r="C132" s="390">
        <f>+C133+C134+C135</f>
        <v>0</v>
      </c>
      <c r="D132" s="390">
        <f>+D133+D134+D135</f>
        <v>0</v>
      </c>
      <c r="E132" s="256">
        <f>+E133+E134+E135</f>
        <v>0</v>
      </c>
    </row>
    <row r="133" spans="1:5" ht="12" customHeight="1">
      <c r="A133" s="15" t="s">
        <v>268</v>
      </c>
      <c r="B133" s="12" t="s">
        <v>456</v>
      </c>
      <c r="C133" s="391"/>
      <c r="D133" s="391"/>
      <c r="E133" s="257"/>
    </row>
    <row r="134" spans="1:5" ht="12" customHeight="1">
      <c r="A134" s="15" t="s">
        <v>269</v>
      </c>
      <c r="B134" s="12" t="s">
        <v>457</v>
      </c>
      <c r="C134" s="391"/>
      <c r="D134" s="391"/>
      <c r="E134" s="257"/>
    </row>
    <row r="135" spans="1:5" ht="12" customHeight="1" thickBot="1">
      <c r="A135" s="13" t="s">
        <v>270</v>
      </c>
      <c r="B135" s="12" t="s">
        <v>458</v>
      </c>
      <c r="C135" s="391"/>
      <c r="D135" s="391"/>
      <c r="E135" s="257"/>
    </row>
    <row r="136" spans="1:5" ht="12" customHeight="1" thickBot="1">
      <c r="A136" s="20" t="s">
        <v>22</v>
      </c>
      <c r="B136" s="118" t="s">
        <v>450</v>
      </c>
      <c r="C136" s="390">
        <f>SUM(C137:C142)</f>
        <v>0</v>
      </c>
      <c r="D136" s="390">
        <f>SUM(D137:D142)</f>
        <v>0</v>
      </c>
      <c r="E136" s="256">
        <f>SUM(E137:E142)</f>
        <v>0</v>
      </c>
    </row>
    <row r="137" spans="1:5" ht="12" customHeight="1">
      <c r="A137" s="15" t="s">
        <v>91</v>
      </c>
      <c r="B137" s="9" t="s">
        <v>459</v>
      </c>
      <c r="C137" s="391"/>
      <c r="D137" s="391"/>
      <c r="E137" s="257"/>
    </row>
    <row r="138" spans="1:5" ht="12" customHeight="1">
      <c r="A138" s="15" t="s">
        <v>92</v>
      </c>
      <c r="B138" s="9" t="s">
        <v>451</v>
      </c>
      <c r="C138" s="391"/>
      <c r="D138" s="391"/>
      <c r="E138" s="257"/>
    </row>
    <row r="139" spans="1:5" ht="12" customHeight="1">
      <c r="A139" s="15" t="s">
        <v>93</v>
      </c>
      <c r="B139" s="9" t="s">
        <v>452</v>
      </c>
      <c r="C139" s="391"/>
      <c r="D139" s="391"/>
      <c r="E139" s="257"/>
    </row>
    <row r="140" spans="1:5" ht="12" customHeight="1">
      <c r="A140" s="15" t="s">
        <v>175</v>
      </c>
      <c r="B140" s="9" t="s">
        <v>453</v>
      </c>
      <c r="C140" s="391"/>
      <c r="D140" s="391"/>
      <c r="E140" s="257"/>
    </row>
    <row r="141" spans="1:5" ht="12" customHeight="1">
      <c r="A141" s="15" t="s">
        <v>176</v>
      </c>
      <c r="B141" s="9" t="s">
        <v>454</v>
      </c>
      <c r="C141" s="391"/>
      <c r="D141" s="391"/>
      <c r="E141" s="257"/>
    </row>
    <row r="142" spans="1:5" ht="12" customHeight="1" thickBot="1">
      <c r="A142" s="13" t="s">
        <v>177</v>
      </c>
      <c r="B142" s="9" t="s">
        <v>455</v>
      </c>
      <c r="C142" s="391"/>
      <c r="D142" s="391"/>
      <c r="E142" s="257"/>
    </row>
    <row r="143" spans="1:5" ht="12" customHeight="1" thickBot="1">
      <c r="A143" s="20" t="s">
        <v>23</v>
      </c>
      <c r="B143" s="118" t="s">
        <v>463</v>
      </c>
      <c r="C143" s="397">
        <f>+C144+C145+C146+C147</f>
        <v>0</v>
      </c>
      <c r="D143" s="397">
        <f>+D144+D145+D146+D147</f>
        <v>0</v>
      </c>
      <c r="E143" s="440">
        <f>+E144+E145+E146+E147</f>
        <v>0</v>
      </c>
    </row>
    <row r="144" spans="1:5" ht="12" customHeight="1">
      <c r="A144" s="15" t="s">
        <v>94</v>
      </c>
      <c r="B144" s="9" t="s">
        <v>371</v>
      </c>
      <c r="C144" s="391"/>
      <c r="D144" s="391"/>
      <c r="E144" s="257"/>
    </row>
    <row r="145" spans="1:6" ht="12" customHeight="1">
      <c r="A145" s="15" t="s">
        <v>95</v>
      </c>
      <c r="B145" s="9" t="s">
        <v>372</v>
      </c>
      <c r="C145" s="391"/>
      <c r="D145" s="391"/>
      <c r="E145" s="257"/>
    </row>
    <row r="146" spans="1:6" ht="12" customHeight="1">
      <c r="A146" s="15" t="s">
        <v>288</v>
      </c>
      <c r="B146" s="9" t="s">
        <v>464</v>
      </c>
      <c r="C146" s="391"/>
      <c r="D146" s="391"/>
      <c r="E146" s="257"/>
    </row>
    <row r="147" spans="1:6" ht="12" customHeight="1" thickBot="1">
      <c r="A147" s="13" t="s">
        <v>289</v>
      </c>
      <c r="B147" s="7" t="s">
        <v>390</v>
      </c>
      <c r="C147" s="391"/>
      <c r="D147" s="391"/>
      <c r="E147" s="257"/>
    </row>
    <row r="148" spans="1:6" ht="12" customHeight="1" thickBot="1">
      <c r="A148" s="20" t="s">
        <v>24</v>
      </c>
      <c r="B148" s="118" t="s">
        <v>465</v>
      </c>
      <c r="C148" s="490">
        <f>SUM(C149:C153)</f>
        <v>0</v>
      </c>
      <c r="D148" s="490">
        <f>SUM(D149:D153)</f>
        <v>0</v>
      </c>
      <c r="E148" s="484">
        <f>SUM(E149:E153)</f>
        <v>0</v>
      </c>
    </row>
    <row r="149" spans="1:6" ht="12" customHeight="1">
      <c r="A149" s="15" t="s">
        <v>96</v>
      </c>
      <c r="B149" s="9" t="s">
        <v>460</v>
      </c>
      <c r="C149" s="391"/>
      <c r="D149" s="391"/>
      <c r="E149" s="257"/>
    </row>
    <row r="150" spans="1:6" ht="12" customHeight="1">
      <c r="A150" s="15" t="s">
        <v>97</v>
      </c>
      <c r="B150" s="9" t="s">
        <v>467</v>
      </c>
      <c r="C150" s="391"/>
      <c r="D150" s="391"/>
      <c r="E150" s="257"/>
    </row>
    <row r="151" spans="1:6" ht="12" customHeight="1">
      <c r="A151" s="15" t="s">
        <v>300</v>
      </c>
      <c r="B151" s="9" t="s">
        <v>462</v>
      </c>
      <c r="C151" s="391"/>
      <c r="D151" s="391"/>
      <c r="E151" s="257"/>
    </row>
    <row r="152" spans="1:6" ht="12" customHeight="1">
      <c r="A152" s="15" t="s">
        <v>301</v>
      </c>
      <c r="B152" s="9" t="s">
        <v>468</v>
      </c>
      <c r="C152" s="391"/>
      <c r="D152" s="391"/>
      <c r="E152" s="257"/>
    </row>
    <row r="153" spans="1:6" ht="12" customHeight="1" thickBot="1">
      <c r="A153" s="15" t="s">
        <v>466</v>
      </c>
      <c r="B153" s="9" t="s">
        <v>469</v>
      </c>
      <c r="C153" s="391"/>
      <c r="D153" s="391"/>
      <c r="E153" s="257"/>
    </row>
    <row r="154" spans="1:6" ht="12" customHeight="1" thickBot="1">
      <c r="A154" s="20" t="s">
        <v>25</v>
      </c>
      <c r="B154" s="118" t="s">
        <v>470</v>
      </c>
      <c r="C154" s="491"/>
      <c r="D154" s="491"/>
      <c r="E154" s="485"/>
    </row>
    <row r="155" spans="1:6" ht="12" customHeight="1" thickBot="1">
      <c r="A155" s="20" t="s">
        <v>26</v>
      </c>
      <c r="B155" s="118" t="s">
        <v>471</v>
      </c>
      <c r="C155" s="491"/>
      <c r="D155" s="491"/>
      <c r="E155" s="485"/>
    </row>
    <row r="156" spans="1:6" ht="15.2" customHeight="1" thickBot="1">
      <c r="A156" s="20" t="s">
        <v>27</v>
      </c>
      <c r="B156" s="118" t="s">
        <v>473</v>
      </c>
      <c r="C156" s="492">
        <f>+C132+C136+C143+C148+C154+C155</f>
        <v>0</v>
      </c>
      <c r="D156" s="492">
        <f>+D132+D136+D143+D148+D154+D155</f>
        <v>0</v>
      </c>
      <c r="E156" s="486">
        <f>+E132+E136+E143+E148+E154+E155</f>
        <v>0</v>
      </c>
      <c r="F156" s="119"/>
    </row>
    <row r="157" spans="1:6" s="1" customFormat="1" ht="12.95" customHeight="1" thickBot="1">
      <c r="A157" s="288" t="s">
        <v>28</v>
      </c>
      <c r="B157" s="373" t="s">
        <v>472</v>
      </c>
      <c r="C157" s="492">
        <f>+C131+C156</f>
        <v>0</v>
      </c>
      <c r="D157" s="492">
        <f>+D131+D156</f>
        <v>0</v>
      </c>
      <c r="E157" s="486">
        <f>+E131+E156</f>
        <v>0</v>
      </c>
    </row>
    <row r="158" spans="1:6">
      <c r="C158" s="376"/>
      <c r="E158" s="655">
        <f>E90-E157</f>
        <v>3478308384</v>
      </c>
    </row>
    <row r="159" spans="1:6">
      <c r="C159" s="376"/>
    </row>
    <row r="160" spans="1:6">
      <c r="C160" s="376"/>
    </row>
    <row r="161" spans="3:3" ht="16.5" customHeight="1">
      <c r="C161" s="376"/>
    </row>
    <row r="162" spans="3:3">
      <c r="C162" s="376"/>
    </row>
    <row r="163" spans="3:3">
      <c r="C163" s="376"/>
    </row>
    <row r="164" spans="3:3">
      <c r="C164" s="376"/>
    </row>
    <row r="165" spans="3:3">
      <c r="C165" s="376"/>
    </row>
    <row r="166" spans="3:3">
      <c r="C166" s="376"/>
    </row>
    <row r="167" spans="3:3">
      <c r="C167" s="376"/>
    </row>
    <row r="168" spans="3:3">
      <c r="C168" s="376"/>
    </row>
    <row r="169" spans="3:3">
      <c r="C169" s="376"/>
    </row>
    <row r="170" spans="3:3">
      <c r="C170" s="376"/>
    </row>
  </sheetData>
  <sheetProtection sheet="1"/>
  <mergeCells count="6">
    <mergeCell ref="A4:E4"/>
    <mergeCell ref="A92:E92"/>
    <mergeCell ref="A93:B93"/>
    <mergeCell ref="A5:B5"/>
    <mergeCell ref="A2:E2"/>
    <mergeCell ref="A3:E3"/>
  </mergeCells>
  <phoneticPr fontId="29" type="noConversion"/>
  <printOptions horizontalCentered="1"/>
  <pageMargins left="0.78740157480314965" right="0.78740157480314965" top="0.6692913385826772" bottom="0.47244094488188981" header="0.39370078740157483" footer="0.19685039370078741"/>
  <pageSetup paperSize="9" scale="65" fitToWidth="3" fitToHeight="2" orientation="portrait" r:id="rId1"/>
  <headerFooter alignWithMargins="0"/>
  <rowBreaks count="1" manualBreakCount="1">
    <brk id="91" max="4" man="1"/>
  </rowBreaks>
</worksheet>
</file>

<file path=xl/worksheets/sheet47.xml><?xml version="1.0" encoding="utf-8"?>
<worksheet xmlns="http://schemas.openxmlformats.org/spreadsheetml/2006/main" xmlns:r="http://schemas.openxmlformats.org/officeDocument/2006/relationships">
  <sheetPr>
    <tabColor rgb="FF92D050"/>
  </sheetPr>
  <dimension ref="A1:J18"/>
  <sheetViews>
    <sheetView zoomScale="120" zoomScaleNormal="120" workbookViewId="0">
      <selection activeCell="K4" sqref="K4"/>
    </sheetView>
  </sheetViews>
  <sheetFormatPr defaultRowHeight="12.75"/>
  <cols>
    <col min="1" max="1" width="6.83203125" style="178" customWidth="1"/>
    <col min="2" max="2" width="42.83203125" style="54" customWidth="1"/>
    <col min="3" max="8" width="12.83203125" style="54" customWidth="1"/>
    <col min="9" max="9" width="14.33203125" style="54" customWidth="1"/>
    <col min="10" max="10" width="4.33203125" style="54" customWidth="1"/>
    <col min="11" max="16384" width="9.33203125" style="54"/>
  </cols>
  <sheetData>
    <row r="1" spans="1:10" ht="27.75" customHeight="1">
      <c r="A1" s="844" t="s">
        <v>4</v>
      </c>
      <c r="B1" s="844"/>
      <c r="C1" s="844"/>
      <c r="D1" s="844"/>
      <c r="E1" s="844"/>
      <c r="F1" s="844"/>
      <c r="G1" s="844"/>
      <c r="H1" s="844"/>
      <c r="I1" s="844"/>
      <c r="J1" s="880" t="str">
        <f ca="1">CONCATENATE("2. tájékoztató tábla ",ALAPADATOK!A7," ",ALAPADATOK!B7," ",ALAPADATOK!C7," ",ALAPADATOK!D7," ",ALAPADATOK!E7," ",ALAPADATOK!F7," ",ALAPADATOK!G7," ",ALAPADATOK!H7)</f>
        <v>2. tájékoztató tábla a … / 2019 ( … ) önkormányzati rendelethez</v>
      </c>
    </row>
    <row r="2" spans="1:10" ht="20.45" customHeight="1" thickBot="1">
      <c r="I2" s="465" t="str">
        <f ca="1">KV_1.sz.tájékoztató_t.!E5</f>
        <v/>
      </c>
      <c r="J2" s="880"/>
    </row>
    <row r="3" spans="1:10" s="466" customFormat="1" ht="26.45" customHeight="1">
      <c r="A3" s="888" t="s">
        <v>69</v>
      </c>
      <c r="B3" s="883" t="s">
        <v>85</v>
      </c>
      <c r="C3" s="888" t="s">
        <v>86</v>
      </c>
      <c r="D3" s="888" t="str">
        <f ca="1">+CONCATENATE(LEFT(KV_ÖSSZEFÜGGÉSEK!A5,4)," előtti kifizetés")</f>
        <v>2019 előtti kifizetés</v>
      </c>
      <c r="E3" s="885" t="s">
        <v>68</v>
      </c>
      <c r="F3" s="886"/>
      <c r="G3" s="886"/>
      <c r="H3" s="887"/>
      <c r="I3" s="883" t="s">
        <v>51</v>
      </c>
      <c r="J3" s="880"/>
    </row>
    <row r="4" spans="1:10" s="467" customFormat="1" ht="32.450000000000003" customHeight="1" thickBot="1">
      <c r="A4" s="889"/>
      <c r="B4" s="884"/>
      <c r="C4" s="884"/>
      <c r="D4" s="889"/>
      <c r="E4" s="262" t="str">
        <f ca="1">+CONCATENATE(LEFT(KV_ÖSSZEFÜGGÉSEK!A5,4),".")</f>
        <v>2019.</v>
      </c>
      <c r="F4" s="262" t="str">
        <f ca="1">+CONCATENATE(LEFT(KV_ÖSSZEFÜGGÉSEK!A5,4)+1,".")</f>
        <v>2020.</v>
      </c>
      <c r="G4" s="262" t="str">
        <f ca="1">+CONCATENATE(LEFT(KV_ÖSSZEFÜGGÉSEK!A5,4)+2,".")</f>
        <v>2021.</v>
      </c>
      <c r="H4" s="263" t="str">
        <f ca="1">+CONCATENATE(LEFT(KV_ÖSSZEFÜGGÉSEK!A5,4)+2,".",CHAR(10)," után")</f>
        <v>2021.
 után</v>
      </c>
      <c r="I4" s="884"/>
      <c r="J4" s="880"/>
    </row>
    <row r="5" spans="1:10" s="468" customFormat="1" ht="12.95" customHeight="1" thickBot="1">
      <c r="A5" s="264" t="s">
        <v>493</v>
      </c>
      <c r="B5" s="265" t="s">
        <v>494</v>
      </c>
      <c r="C5" s="266" t="s">
        <v>495</v>
      </c>
      <c r="D5" s="265" t="s">
        <v>497</v>
      </c>
      <c r="E5" s="264" t="s">
        <v>496</v>
      </c>
      <c r="F5" s="266" t="s">
        <v>498</v>
      </c>
      <c r="G5" s="266" t="s">
        <v>499</v>
      </c>
      <c r="H5" s="267" t="s">
        <v>500</v>
      </c>
      <c r="I5" s="268" t="s">
        <v>501</v>
      </c>
      <c r="J5" s="880"/>
    </row>
    <row r="6" spans="1:10" ht="24.75" customHeight="1" thickBot="1">
      <c r="A6" s="269" t="s">
        <v>18</v>
      </c>
      <c r="B6" s="270" t="s">
        <v>5</v>
      </c>
      <c r="C6" s="517"/>
      <c r="D6" s="518">
        <f>+D7+D8</f>
        <v>0</v>
      </c>
      <c r="E6" s="519">
        <f>+E7+E8</f>
        <v>0</v>
      </c>
      <c r="F6" s="520">
        <f>+F7+F8</f>
        <v>0</v>
      </c>
      <c r="G6" s="520">
        <f>+G7+G8</f>
        <v>0</v>
      </c>
      <c r="H6" s="521">
        <f>+H7+H8</f>
        <v>0</v>
      </c>
      <c r="I6" s="61">
        <f t="shared" ref="I6:I17" si="0">SUM(D6:H6)</f>
        <v>0</v>
      </c>
      <c r="J6" s="880"/>
    </row>
    <row r="7" spans="1:10" ht="20.100000000000001" customHeight="1">
      <c r="A7" s="271" t="s">
        <v>19</v>
      </c>
      <c r="B7" s="62" t="s">
        <v>70</v>
      </c>
      <c r="C7" s="522"/>
      <c r="D7" s="523"/>
      <c r="E7" s="524"/>
      <c r="F7" s="525"/>
      <c r="G7" s="525"/>
      <c r="H7" s="526"/>
      <c r="I7" s="272">
        <f t="shared" si="0"/>
        <v>0</v>
      </c>
      <c r="J7" s="880"/>
    </row>
    <row r="8" spans="1:10" ht="20.100000000000001" customHeight="1" thickBot="1">
      <c r="A8" s="271" t="s">
        <v>20</v>
      </c>
      <c r="B8" s="62" t="s">
        <v>70</v>
      </c>
      <c r="C8" s="522"/>
      <c r="D8" s="523"/>
      <c r="E8" s="524"/>
      <c r="F8" s="525"/>
      <c r="G8" s="525"/>
      <c r="H8" s="526"/>
      <c r="I8" s="272">
        <f t="shared" si="0"/>
        <v>0</v>
      </c>
      <c r="J8" s="880"/>
    </row>
    <row r="9" spans="1:10" ht="26.1" customHeight="1" thickBot="1">
      <c r="A9" s="269" t="s">
        <v>21</v>
      </c>
      <c r="B9" s="270" t="s">
        <v>6</v>
      </c>
      <c r="C9" s="517"/>
      <c r="D9" s="518">
        <f>+D10+D11</f>
        <v>0</v>
      </c>
      <c r="E9" s="519">
        <f>+E10+E11</f>
        <v>0</v>
      </c>
      <c r="F9" s="520">
        <f>+F10+F11</f>
        <v>0</v>
      </c>
      <c r="G9" s="520">
        <f>+G10+G11</f>
        <v>0</v>
      </c>
      <c r="H9" s="521">
        <f>+H10+H11</f>
        <v>0</v>
      </c>
      <c r="I9" s="61">
        <f t="shared" si="0"/>
        <v>0</v>
      </c>
      <c r="J9" s="880"/>
    </row>
    <row r="10" spans="1:10" ht="20.100000000000001" customHeight="1">
      <c r="A10" s="271" t="s">
        <v>22</v>
      </c>
      <c r="B10" s="62" t="s">
        <v>70</v>
      </c>
      <c r="C10" s="522"/>
      <c r="D10" s="523"/>
      <c r="E10" s="524"/>
      <c r="F10" s="525"/>
      <c r="G10" s="525"/>
      <c r="H10" s="526"/>
      <c r="I10" s="272">
        <f t="shared" si="0"/>
        <v>0</v>
      </c>
      <c r="J10" s="880"/>
    </row>
    <row r="11" spans="1:10" ht="20.100000000000001" customHeight="1" thickBot="1">
      <c r="A11" s="271" t="s">
        <v>23</v>
      </c>
      <c r="B11" s="62" t="s">
        <v>70</v>
      </c>
      <c r="C11" s="522"/>
      <c r="D11" s="523"/>
      <c r="E11" s="524"/>
      <c r="F11" s="525"/>
      <c r="G11" s="525"/>
      <c r="H11" s="526"/>
      <c r="I11" s="272">
        <f t="shared" si="0"/>
        <v>0</v>
      </c>
      <c r="J11" s="880"/>
    </row>
    <row r="12" spans="1:10" ht="20.100000000000001" customHeight="1" thickBot="1">
      <c r="A12" s="269" t="s">
        <v>24</v>
      </c>
      <c r="B12" s="270" t="s">
        <v>207</v>
      </c>
      <c r="C12" s="517"/>
      <c r="D12" s="518">
        <f>+D13</f>
        <v>0</v>
      </c>
      <c r="E12" s="519">
        <f>+E13</f>
        <v>0</v>
      </c>
      <c r="F12" s="520">
        <f>+F13</f>
        <v>0</v>
      </c>
      <c r="G12" s="520">
        <f>+G13</f>
        <v>0</v>
      </c>
      <c r="H12" s="521">
        <f>+H13</f>
        <v>0</v>
      </c>
      <c r="I12" s="61">
        <f t="shared" si="0"/>
        <v>0</v>
      </c>
      <c r="J12" s="880"/>
    </row>
    <row r="13" spans="1:10" ht="20.100000000000001" customHeight="1" thickBot="1">
      <c r="A13" s="271" t="s">
        <v>25</v>
      </c>
      <c r="B13" s="62" t="s">
        <v>70</v>
      </c>
      <c r="C13" s="522"/>
      <c r="D13" s="523"/>
      <c r="E13" s="524"/>
      <c r="F13" s="525"/>
      <c r="G13" s="525"/>
      <c r="H13" s="526"/>
      <c r="I13" s="272">
        <f t="shared" si="0"/>
        <v>0</v>
      </c>
      <c r="J13" s="880"/>
    </row>
    <row r="14" spans="1:10" ht="20.100000000000001" customHeight="1" thickBot="1">
      <c r="A14" s="269" t="s">
        <v>26</v>
      </c>
      <c r="B14" s="270" t="s">
        <v>208</v>
      </c>
      <c r="C14" s="517"/>
      <c r="D14" s="518">
        <f>+D15</f>
        <v>0</v>
      </c>
      <c r="E14" s="519">
        <f>+E15</f>
        <v>0</v>
      </c>
      <c r="F14" s="520">
        <f>+F15</f>
        <v>0</v>
      </c>
      <c r="G14" s="520">
        <f>+G15</f>
        <v>0</v>
      </c>
      <c r="H14" s="521">
        <f>+H15</f>
        <v>0</v>
      </c>
      <c r="I14" s="61">
        <f t="shared" si="0"/>
        <v>0</v>
      </c>
      <c r="J14" s="880"/>
    </row>
    <row r="15" spans="1:10" ht="20.100000000000001" customHeight="1" thickBot="1">
      <c r="A15" s="273" t="s">
        <v>27</v>
      </c>
      <c r="B15" s="63" t="s">
        <v>70</v>
      </c>
      <c r="C15" s="527"/>
      <c r="D15" s="528"/>
      <c r="E15" s="529"/>
      <c r="F15" s="530"/>
      <c r="G15" s="530"/>
      <c r="H15" s="531"/>
      <c r="I15" s="274">
        <f t="shared" si="0"/>
        <v>0</v>
      </c>
      <c r="J15" s="880"/>
    </row>
    <row r="16" spans="1:10" ht="20.100000000000001" customHeight="1" thickBot="1">
      <c r="A16" s="269" t="s">
        <v>28</v>
      </c>
      <c r="B16" s="275" t="s">
        <v>209</v>
      </c>
      <c r="C16" s="517"/>
      <c r="D16" s="518">
        <f>+D17</f>
        <v>0</v>
      </c>
      <c r="E16" s="519">
        <f>+E17</f>
        <v>0</v>
      </c>
      <c r="F16" s="520">
        <f>+F17</f>
        <v>0</v>
      </c>
      <c r="G16" s="520">
        <f>+G17</f>
        <v>0</v>
      </c>
      <c r="H16" s="521">
        <f>+H17</f>
        <v>0</v>
      </c>
      <c r="I16" s="61">
        <f t="shared" si="0"/>
        <v>0</v>
      </c>
      <c r="J16" s="880"/>
    </row>
    <row r="17" spans="1:10" ht="20.100000000000001" customHeight="1" thickBot="1">
      <c r="A17" s="276" t="s">
        <v>29</v>
      </c>
      <c r="B17" s="64" t="s">
        <v>70</v>
      </c>
      <c r="C17" s="532"/>
      <c r="D17" s="533"/>
      <c r="E17" s="534"/>
      <c r="F17" s="535"/>
      <c r="G17" s="535"/>
      <c r="H17" s="536"/>
      <c r="I17" s="277">
        <f t="shared" si="0"/>
        <v>0</v>
      </c>
      <c r="J17" s="880"/>
    </row>
    <row r="18" spans="1:10" ht="20.100000000000001" customHeight="1" thickBot="1">
      <c r="A18" s="881" t="s">
        <v>146</v>
      </c>
      <c r="B18" s="882"/>
      <c r="C18" s="537"/>
      <c r="D18" s="518">
        <f t="shared" ref="D18:I18" si="1">+D6+D9+D12+D14+D16</f>
        <v>0</v>
      </c>
      <c r="E18" s="519">
        <f t="shared" si="1"/>
        <v>0</v>
      </c>
      <c r="F18" s="520">
        <f t="shared" si="1"/>
        <v>0</v>
      </c>
      <c r="G18" s="520">
        <f t="shared" si="1"/>
        <v>0</v>
      </c>
      <c r="H18" s="521">
        <f t="shared" si="1"/>
        <v>0</v>
      </c>
      <c r="I18" s="61">
        <f t="shared" si="1"/>
        <v>0</v>
      </c>
      <c r="J18" s="880"/>
    </row>
  </sheetData>
  <sheetProtection sheet="1"/>
  <mergeCells count="9">
    <mergeCell ref="J1:J18"/>
    <mergeCell ref="A1:I1"/>
    <mergeCell ref="A18:B18"/>
    <mergeCell ref="I3:I4"/>
    <mergeCell ref="E3:H3"/>
    <mergeCell ref="A3:A4"/>
    <mergeCell ref="B3:B4"/>
    <mergeCell ref="C3:C4"/>
    <mergeCell ref="D3:D4"/>
  </mergeCells>
  <phoneticPr fontId="0" type="noConversion"/>
  <printOptions horizontalCentered="1"/>
  <pageMargins left="0.78740157480314965" right="0.78740157480314965" top="1.03" bottom="0.98425196850393704" header="0.78740157480314965" footer="0.78740157480314965"/>
  <pageSetup paperSize="9" scale="95" orientation="landscape" verticalDpi="300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>
  <sheetPr>
    <tabColor rgb="FF92D050"/>
  </sheetPr>
  <dimension ref="A1:D33"/>
  <sheetViews>
    <sheetView topLeftCell="A16" zoomScale="120" zoomScaleNormal="120" workbookViewId="0">
      <selection activeCell="D19" sqref="D19"/>
    </sheetView>
  </sheetViews>
  <sheetFormatPr defaultRowHeight="12.75"/>
  <cols>
    <col min="1" max="1" width="5.83203125" style="78" customWidth="1"/>
    <col min="2" max="2" width="54.83203125" style="3" customWidth="1"/>
    <col min="3" max="4" width="17.6640625" style="3" customWidth="1"/>
    <col min="5" max="16384" width="9.33203125" style="3"/>
  </cols>
  <sheetData>
    <row r="1" spans="1:4" ht="14.85" customHeight="1">
      <c r="D1" s="654" t="str">
        <f ca="1">CONCATENATE("3. tájékoztató tábla ",ALAPADATOK!A7," ",ALAPADATOK!B7," ",ALAPADATOK!C7," ",ALAPADATOK!D7," ",ALAPADATOK!E7," ",ALAPADATOK!F7," ",ALAPADATOK!G7," ",ALAPADATOK!H7)</f>
        <v>3. tájékoztató tábla a … / 2019 ( … ) önkormányzati rendelethez</v>
      </c>
    </row>
    <row r="3" spans="1:4" ht="31.5" customHeight="1">
      <c r="B3" s="891" t="s">
        <v>7</v>
      </c>
      <c r="C3" s="891"/>
      <c r="D3" s="891"/>
    </row>
    <row r="4" spans="1:4" s="66" customFormat="1" ht="16.5" thickBot="1">
      <c r="A4" s="65"/>
      <c r="B4" s="367"/>
      <c r="D4" s="43" t="str">
        <f ca="1">KV_2.sz.tájékoztató_t.!I2</f>
        <v/>
      </c>
    </row>
    <row r="5" spans="1:4" s="68" customFormat="1" ht="48" customHeight="1" thickBot="1">
      <c r="A5" s="67" t="s">
        <v>16</v>
      </c>
      <c r="B5" s="183" t="s">
        <v>17</v>
      </c>
      <c r="C5" s="183" t="s">
        <v>71</v>
      </c>
      <c r="D5" s="184" t="s">
        <v>72</v>
      </c>
    </row>
    <row r="6" spans="1:4" s="68" customFormat="1" ht="14.1" customHeight="1" thickBot="1">
      <c r="A6" s="35" t="s">
        <v>493</v>
      </c>
      <c r="B6" s="186" t="s">
        <v>494</v>
      </c>
      <c r="C6" s="186" t="s">
        <v>495</v>
      </c>
      <c r="D6" s="187" t="s">
        <v>497</v>
      </c>
    </row>
    <row r="7" spans="1:4" ht="18" customHeight="1">
      <c r="A7" s="128" t="s">
        <v>18</v>
      </c>
      <c r="B7" s="188" t="s">
        <v>167</v>
      </c>
      <c r="C7" s="126"/>
      <c r="D7" s="69"/>
    </row>
    <row r="8" spans="1:4" ht="18" customHeight="1">
      <c r="A8" s="70" t="s">
        <v>19</v>
      </c>
      <c r="B8" s="189" t="s">
        <v>168</v>
      </c>
      <c r="C8" s="127"/>
      <c r="D8" s="72"/>
    </row>
    <row r="9" spans="1:4" ht="18" customHeight="1">
      <c r="A9" s="70" t="s">
        <v>20</v>
      </c>
      <c r="B9" s="189" t="s">
        <v>120</v>
      </c>
      <c r="C9" s="127"/>
      <c r="D9" s="72"/>
    </row>
    <row r="10" spans="1:4" ht="18" customHeight="1">
      <c r="A10" s="70" t="s">
        <v>21</v>
      </c>
      <c r="B10" s="189" t="s">
        <v>121</v>
      </c>
      <c r="C10" s="127"/>
      <c r="D10" s="72"/>
    </row>
    <row r="11" spans="1:4" ht="18" customHeight="1">
      <c r="A11" s="70" t="s">
        <v>22</v>
      </c>
      <c r="B11" s="189" t="s">
        <v>160</v>
      </c>
      <c r="C11" s="127"/>
      <c r="D11" s="72"/>
    </row>
    <row r="12" spans="1:4" ht="18" customHeight="1">
      <c r="A12" s="70" t="s">
        <v>23</v>
      </c>
      <c r="B12" s="189" t="s">
        <v>161</v>
      </c>
      <c r="C12" s="127"/>
      <c r="D12" s="72"/>
    </row>
    <row r="13" spans="1:4" ht="18" customHeight="1">
      <c r="A13" s="70" t="s">
        <v>24</v>
      </c>
      <c r="B13" s="190" t="s">
        <v>162</v>
      </c>
      <c r="C13" s="127"/>
      <c r="D13" s="72"/>
    </row>
    <row r="14" spans="1:4" ht="18" customHeight="1">
      <c r="A14" s="70" t="s">
        <v>26</v>
      </c>
      <c r="B14" s="190" t="s">
        <v>163</v>
      </c>
      <c r="C14" s="127">
        <v>73860800</v>
      </c>
      <c r="D14" s="72">
        <v>23860800</v>
      </c>
    </row>
    <row r="15" spans="1:4" ht="18" customHeight="1">
      <c r="A15" s="70" t="s">
        <v>27</v>
      </c>
      <c r="B15" s="190" t="s">
        <v>164</v>
      </c>
      <c r="C15" s="127"/>
      <c r="D15" s="72"/>
    </row>
    <row r="16" spans="1:4" ht="18" customHeight="1">
      <c r="A16" s="70" t="s">
        <v>28</v>
      </c>
      <c r="B16" s="190" t="s">
        <v>165</v>
      </c>
      <c r="C16" s="127"/>
      <c r="D16" s="72"/>
    </row>
    <row r="17" spans="1:4" ht="22.5" customHeight="1">
      <c r="A17" s="70" t="s">
        <v>29</v>
      </c>
      <c r="B17" s="190" t="s">
        <v>166</v>
      </c>
      <c r="C17" s="127"/>
      <c r="D17" s="72"/>
    </row>
    <row r="18" spans="1:4" ht="18" customHeight="1">
      <c r="A18" s="70" t="s">
        <v>30</v>
      </c>
      <c r="B18" s="189" t="s">
        <v>122</v>
      </c>
      <c r="C18" s="127"/>
      <c r="D18" s="72"/>
    </row>
    <row r="19" spans="1:4" ht="18" customHeight="1">
      <c r="A19" s="70" t="s">
        <v>31</v>
      </c>
      <c r="B19" s="189" t="s">
        <v>9</v>
      </c>
      <c r="C19" s="127">
        <v>278993000</v>
      </c>
      <c r="D19" s="72">
        <v>208193000</v>
      </c>
    </row>
    <row r="20" spans="1:4" ht="18" customHeight="1">
      <c r="A20" s="70" t="s">
        <v>32</v>
      </c>
      <c r="B20" s="189" t="s">
        <v>8</v>
      </c>
      <c r="C20" s="127"/>
      <c r="D20" s="72"/>
    </row>
    <row r="21" spans="1:4" ht="18" customHeight="1">
      <c r="A21" s="70" t="s">
        <v>33</v>
      </c>
      <c r="B21" s="189" t="s">
        <v>123</v>
      </c>
      <c r="C21" s="127"/>
      <c r="D21" s="72"/>
    </row>
    <row r="22" spans="1:4" ht="18" customHeight="1">
      <c r="A22" s="70" t="s">
        <v>34</v>
      </c>
      <c r="B22" s="189" t="s">
        <v>124</v>
      </c>
      <c r="C22" s="127"/>
      <c r="D22" s="72"/>
    </row>
    <row r="23" spans="1:4" ht="18" customHeight="1">
      <c r="A23" s="70" t="s">
        <v>35</v>
      </c>
      <c r="B23" s="117"/>
      <c r="C23" s="71"/>
      <c r="D23" s="72"/>
    </row>
    <row r="24" spans="1:4" ht="18" customHeight="1">
      <c r="A24" s="70" t="s">
        <v>36</v>
      </c>
      <c r="B24" s="73"/>
      <c r="C24" s="71"/>
      <c r="D24" s="72"/>
    </row>
    <row r="25" spans="1:4" ht="18" customHeight="1">
      <c r="A25" s="70" t="s">
        <v>37</v>
      </c>
      <c r="B25" s="73"/>
      <c r="C25" s="71"/>
      <c r="D25" s="72"/>
    </row>
    <row r="26" spans="1:4" ht="18" customHeight="1">
      <c r="A26" s="70" t="s">
        <v>38</v>
      </c>
      <c r="B26" s="73"/>
      <c r="C26" s="71"/>
      <c r="D26" s="72"/>
    </row>
    <row r="27" spans="1:4" ht="18" customHeight="1">
      <c r="A27" s="70" t="s">
        <v>39</v>
      </c>
      <c r="B27" s="73"/>
      <c r="C27" s="71"/>
      <c r="D27" s="72"/>
    </row>
    <row r="28" spans="1:4" ht="18" customHeight="1">
      <c r="A28" s="70" t="s">
        <v>40</v>
      </c>
      <c r="B28" s="73"/>
      <c r="C28" s="71"/>
      <c r="D28" s="72"/>
    </row>
    <row r="29" spans="1:4" ht="18" customHeight="1">
      <c r="A29" s="70" t="s">
        <v>41</v>
      </c>
      <c r="B29" s="73"/>
      <c r="C29" s="71"/>
      <c r="D29" s="72"/>
    </row>
    <row r="30" spans="1:4" ht="18" customHeight="1">
      <c r="A30" s="70" t="s">
        <v>42</v>
      </c>
      <c r="B30" s="73"/>
      <c r="C30" s="71"/>
      <c r="D30" s="72"/>
    </row>
    <row r="31" spans="1:4" ht="18" customHeight="1" thickBot="1">
      <c r="A31" s="129" t="s">
        <v>43</v>
      </c>
      <c r="B31" s="74"/>
      <c r="C31" s="75"/>
      <c r="D31" s="76"/>
    </row>
    <row r="32" spans="1:4" ht="18" customHeight="1" thickBot="1">
      <c r="A32" s="36" t="s">
        <v>44</v>
      </c>
      <c r="B32" s="194" t="s">
        <v>53</v>
      </c>
      <c r="C32" s="195">
        <f>+C7+C8+C9+C10+C11+C18+C19+C20+C21+C22+C23+C24+C25+C26+C27+C28+C29+C30+C31</f>
        <v>278993000</v>
      </c>
      <c r="D32" s="196">
        <f>+D7+D8+D9+D10+D11+D18+D19+D20+D21+D22+D23+D24+D25+D26+D27+D28+D29+D30+D31</f>
        <v>208193000</v>
      </c>
    </row>
    <row r="33" spans="1:4" ht="8.4499999999999993" customHeight="1">
      <c r="A33" s="77"/>
      <c r="B33" s="890"/>
      <c r="C33" s="890"/>
      <c r="D33" s="890"/>
    </row>
  </sheetData>
  <sheetProtection sheet="1"/>
  <mergeCells count="2">
    <mergeCell ref="B33:D33"/>
    <mergeCell ref="B3:D3"/>
  </mergeCells>
  <phoneticPr fontId="29" type="noConversion"/>
  <printOptions horizontalCentered="1"/>
  <pageMargins left="0.78740157480314965" right="0.78740157480314965" top="1.06" bottom="0.98425196850393704" header="0.78740157480314965" footer="0.78740157480314965"/>
  <pageSetup paperSize="9" scale="95" orientation="portrait" horizontalDpi="300" verticalDpi="300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>
  <sheetPr codeName="Munka25">
    <tabColor rgb="FF92D050"/>
  </sheetPr>
  <dimension ref="A1:Q82"/>
  <sheetViews>
    <sheetView zoomScale="120" zoomScaleNormal="120" workbookViewId="0">
      <selection activeCell="Q6" sqref="Q6"/>
    </sheetView>
  </sheetViews>
  <sheetFormatPr defaultRowHeight="15.75"/>
  <cols>
    <col min="1" max="1" width="4.83203125" style="94" customWidth="1"/>
    <col min="2" max="2" width="31.1640625" style="107" customWidth="1"/>
    <col min="3" max="4" width="9" style="107" customWidth="1"/>
    <col min="5" max="5" width="9.5" style="107" customWidth="1"/>
    <col min="6" max="6" width="8.83203125" style="107" customWidth="1"/>
    <col min="7" max="7" width="8.6640625" style="107" customWidth="1"/>
    <col min="8" max="8" width="8.83203125" style="107" customWidth="1"/>
    <col min="9" max="9" width="8.1640625" style="107" customWidth="1"/>
    <col min="10" max="14" width="9.5" style="107" customWidth="1"/>
    <col min="15" max="15" width="12.6640625" style="94" customWidth="1"/>
    <col min="16" max="16384" width="9.33203125" style="107"/>
  </cols>
  <sheetData>
    <row r="1" spans="1:17">
      <c r="M1" s="646"/>
      <c r="N1" s="584"/>
      <c r="O1" s="654" t="str">
        <f ca="1">CONCATENATE("4. tájékoztató tábla ",ALAPADATOK!A7," ",ALAPADATOK!B7," ",ALAPADATOK!C7," ",ALAPADATOK!D7," ",ALAPADATOK!E7," ",ALAPADATOK!F7," ",ALAPADATOK!G7," ",ALAPADATOK!H7)</f>
        <v>4. tájékoztató tábla a … / 2019 ( … ) önkormányzati rendelethez</v>
      </c>
    </row>
    <row r="2" spans="1:17" ht="31.5" customHeight="1">
      <c r="A2" s="895" t="str">
        <f ca="1">+CONCATENATE("Előirányzat-felhasználási terv",CHAR(10),LEFT(KV_ÖSSZEFÜGGÉSEK!A5,4),". évre")</f>
        <v>Előirányzat-felhasználási terv
2019. évre</v>
      </c>
      <c r="B2" s="896"/>
      <c r="C2" s="896"/>
      <c r="D2" s="896"/>
      <c r="E2" s="896"/>
      <c r="F2" s="896"/>
      <c r="G2" s="896"/>
      <c r="H2" s="896"/>
      <c r="I2" s="896"/>
      <c r="J2" s="896"/>
      <c r="K2" s="896"/>
      <c r="L2" s="896"/>
      <c r="M2" s="896"/>
      <c r="N2" s="896"/>
      <c r="O2" s="896"/>
    </row>
    <row r="3" spans="1:17" ht="16.5" thickBot="1">
      <c r="O3" s="4" t="str">
        <f ca="1">KV_3.sz.tájékoztató_t.!D4</f>
        <v/>
      </c>
    </row>
    <row r="4" spans="1:17" s="94" customFormat="1" ht="26.1" customHeight="1" thickBot="1">
      <c r="A4" s="91" t="s">
        <v>16</v>
      </c>
      <c r="B4" s="92" t="s">
        <v>61</v>
      </c>
      <c r="C4" s="92" t="s">
        <v>73</v>
      </c>
      <c r="D4" s="92" t="s">
        <v>74</v>
      </c>
      <c r="E4" s="92" t="s">
        <v>75</v>
      </c>
      <c r="F4" s="92" t="s">
        <v>76</v>
      </c>
      <c r="G4" s="92" t="s">
        <v>77</v>
      </c>
      <c r="H4" s="92" t="s">
        <v>78</v>
      </c>
      <c r="I4" s="92" t="s">
        <v>79</v>
      </c>
      <c r="J4" s="92" t="s">
        <v>80</v>
      </c>
      <c r="K4" s="92" t="s">
        <v>81</v>
      </c>
      <c r="L4" s="92" t="s">
        <v>82</v>
      </c>
      <c r="M4" s="92" t="s">
        <v>83</v>
      </c>
      <c r="N4" s="92" t="s">
        <v>84</v>
      </c>
      <c r="O4" s="93" t="s">
        <v>53</v>
      </c>
    </row>
    <row r="5" spans="1:17" s="96" customFormat="1" ht="15.2" customHeight="1" thickBot="1">
      <c r="A5" s="95" t="s">
        <v>18</v>
      </c>
      <c r="B5" s="892" t="s">
        <v>56</v>
      </c>
      <c r="C5" s="893"/>
      <c r="D5" s="893"/>
      <c r="E5" s="893"/>
      <c r="F5" s="893"/>
      <c r="G5" s="893"/>
      <c r="H5" s="893"/>
      <c r="I5" s="893"/>
      <c r="J5" s="893"/>
      <c r="K5" s="893"/>
      <c r="L5" s="893"/>
      <c r="M5" s="893"/>
      <c r="N5" s="893"/>
      <c r="O5" s="894"/>
    </row>
    <row r="6" spans="1:17" s="96" customFormat="1" ht="22.5">
      <c r="A6" s="97" t="s">
        <v>19</v>
      </c>
      <c r="B6" s="469" t="s">
        <v>374</v>
      </c>
      <c r="C6" s="538"/>
      <c r="D6" s="538"/>
      <c r="E6" s="538"/>
      <c r="F6" s="538"/>
      <c r="G6" s="538"/>
      <c r="H6" s="538"/>
      <c r="I6" s="538"/>
      <c r="J6" s="538"/>
      <c r="K6" s="538"/>
      <c r="L6" s="538"/>
      <c r="M6" s="538"/>
      <c r="N6" s="538"/>
      <c r="O6" s="98">
        <f t="shared" ref="O6:O26" si="0">SUM(C6:N6)</f>
        <v>0</v>
      </c>
      <c r="Q6" s="650"/>
    </row>
    <row r="7" spans="1:17" s="101" customFormat="1" ht="22.5">
      <c r="A7" s="99" t="s">
        <v>20</v>
      </c>
      <c r="B7" s="280" t="s">
        <v>419</v>
      </c>
      <c r="C7" s="539"/>
      <c r="D7" s="539"/>
      <c r="E7" s="539"/>
      <c r="F7" s="539"/>
      <c r="G7" s="539"/>
      <c r="H7" s="539"/>
      <c r="I7" s="539"/>
      <c r="J7" s="539"/>
      <c r="K7" s="539"/>
      <c r="L7" s="539"/>
      <c r="M7" s="539"/>
      <c r="N7" s="539"/>
      <c r="O7" s="100">
        <f t="shared" si="0"/>
        <v>0</v>
      </c>
    </row>
    <row r="8" spans="1:17" s="101" customFormat="1" ht="22.5">
      <c r="A8" s="99" t="s">
        <v>21</v>
      </c>
      <c r="B8" s="279" t="s">
        <v>420</v>
      </c>
      <c r="C8" s="540"/>
      <c r="D8" s="540"/>
      <c r="E8" s="540"/>
      <c r="F8" s="540"/>
      <c r="G8" s="540"/>
      <c r="H8" s="540"/>
      <c r="I8" s="540"/>
      <c r="J8" s="540"/>
      <c r="K8" s="540"/>
      <c r="L8" s="540"/>
      <c r="M8" s="540"/>
      <c r="N8" s="540"/>
      <c r="O8" s="102">
        <f t="shared" si="0"/>
        <v>0</v>
      </c>
    </row>
    <row r="9" spans="1:17" s="101" customFormat="1" ht="14.1" customHeight="1">
      <c r="A9" s="99" t="s">
        <v>22</v>
      </c>
      <c r="B9" s="278" t="s">
        <v>174</v>
      </c>
      <c r="C9" s="539"/>
      <c r="D9" s="539"/>
      <c r="E9" s="539"/>
      <c r="F9" s="539"/>
      <c r="G9" s="539"/>
      <c r="H9" s="539"/>
      <c r="I9" s="539"/>
      <c r="J9" s="539"/>
      <c r="K9" s="539"/>
      <c r="L9" s="539"/>
      <c r="M9" s="539"/>
      <c r="N9" s="539"/>
      <c r="O9" s="100">
        <f t="shared" si="0"/>
        <v>0</v>
      </c>
    </row>
    <row r="10" spans="1:17" s="101" customFormat="1" ht="14.1" customHeight="1">
      <c r="A10" s="99" t="s">
        <v>23</v>
      </c>
      <c r="B10" s="278" t="s">
        <v>421</v>
      </c>
      <c r="C10" s="539"/>
      <c r="D10" s="539"/>
      <c r="E10" s="539"/>
      <c r="F10" s="539"/>
      <c r="G10" s="539"/>
      <c r="H10" s="539"/>
      <c r="I10" s="539"/>
      <c r="J10" s="539"/>
      <c r="K10" s="539"/>
      <c r="L10" s="539"/>
      <c r="M10" s="539"/>
      <c r="N10" s="539"/>
      <c r="O10" s="100">
        <f t="shared" si="0"/>
        <v>0</v>
      </c>
    </row>
    <row r="11" spans="1:17" s="101" customFormat="1" ht="14.1" customHeight="1">
      <c r="A11" s="99" t="s">
        <v>24</v>
      </c>
      <c r="B11" s="278" t="s">
        <v>10</v>
      </c>
      <c r="C11" s="539"/>
      <c r="D11" s="539"/>
      <c r="E11" s="539"/>
      <c r="F11" s="539"/>
      <c r="G11" s="539"/>
      <c r="H11" s="539"/>
      <c r="I11" s="539"/>
      <c r="J11" s="539"/>
      <c r="K11" s="539"/>
      <c r="L11" s="539"/>
      <c r="M11" s="539"/>
      <c r="N11" s="539"/>
      <c r="O11" s="100">
        <f t="shared" si="0"/>
        <v>0</v>
      </c>
    </row>
    <row r="12" spans="1:17" s="101" customFormat="1" ht="14.1" customHeight="1">
      <c r="A12" s="99" t="s">
        <v>25</v>
      </c>
      <c r="B12" s="278" t="s">
        <v>376</v>
      </c>
      <c r="C12" s="539"/>
      <c r="D12" s="539"/>
      <c r="E12" s="539"/>
      <c r="F12" s="539"/>
      <c r="G12" s="539"/>
      <c r="H12" s="539"/>
      <c r="I12" s="539"/>
      <c r="J12" s="539"/>
      <c r="K12" s="539"/>
      <c r="L12" s="539"/>
      <c r="M12" s="539"/>
      <c r="N12" s="539"/>
      <c r="O12" s="100">
        <f t="shared" si="0"/>
        <v>0</v>
      </c>
    </row>
    <row r="13" spans="1:17" s="101" customFormat="1" ht="22.5">
      <c r="A13" s="99" t="s">
        <v>26</v>
      </c>
      <c r="B13" s="280" t="s">
        <v>407</v>
      </c>
      <c r="C13" s="539"/>
      <c r="D13" s="539"/>
      <c r="E13" s="539"/>
      <c r="F13" s="539"/>
      <c r="G13" s="539"/>
      <c r="H13" s="539"/>
      <c r="I13" s="539"/>
      <c r="J13" s="539"/>
      <c r="K13" s="539"/>
      <c r="L13" s="539"/>
      <c r="M13" s="539"/>
      <c r="N13" s="539"/>
      <c r="O13" s="100">
        <f t="shared" si="0"/>
        <v>0</v>
      </c>
    </row>
    <row r="14" spans="1:17" s="101" customFormat="1" ht="14.1" customHeight="1" thickBot="1">
      <c r="A14" s="99" t="s">
        <v>27</v>
      </c>
      <c r="B14" s="278" t="s">
        <v>11</v>
      </c>
      <c r="C14" s="539"/>
      <c r="D14" s="539"/>
      <c r="E14" s="539"/>
      <c r="F14" s="539"/>
      <c r="G14" s="539"/>
      <c r="H14" s="539"/>
      <c r="I14" s="539"/>
      <c r="J14" s="539"/>
      <c r="K14" s="539"/>
      <c r="L14" s="539"/>
      <c r="M14" s="539"/>
      <c r="N14" s="539"/>
      <c r="O14" s="100">
        <f t="shared" si="0"/>
        <v>0</v>
      </c>
    </row>
    <row r="15" spans="1:17" s="96" customFormat="1" ht="15.95" customHeight="1" thickBot="1">
      <c r="A15" s="95" t="s">
        <v>28</v>
      </c>
      <c r="B15" s="37" t="s">
        <v>109</v>
      </c>
      <c r="C15" s="541">
        <f t="shared" ref="C15:N15" si="1">SUM(C6:C14)</f>
        <v>0</v>
      </c>
      <c r="D15" s="541">
        <f t="shared" si="1"/>
        <v>0</v>
      </c>
      <c r="E15" s="541">
        <f t="shared" si="1"/>
        <v>0</v>
      </c>
      <c r="F15" s="541">
        <f t="shared" si="1"/>
        <v>0</v>
      </c>
      <c r="G15" s="541">
        <f t="shared" si="1"/>
        <v>0</v>
      </c>
      <c r="H15" s="541">
        <f t="shared" si="1"/>
        <v>0</v>
      </c>
      <c r="I15" s="541">
        <f t="shared" si="1"/>
        <v>0</v>
      </c>
      <c r="J15" s="541">
        <f t="shared" si="1"/>
        <v>0</v>
      </c>
      <c r="K15" s="541">
        <f t="shared" si="1"/>
        <v>0</v>
      </c>
      <c r="L15" s="541">
        <f t="shared" si="1"/>
        <v>0</v>
      </c>
      <c r="M15" s="541">
        <f t="shared" si="1"/>
        <v>0</v>
      </c>
      <c r="N15" s="541">
        <f t="shared" si="1"/>
        <v>0</v>
      </c>
      <c r="O15" s="103">
        <f>SUM(C15:N15)</f>
        <v>0</v>
      </c>
    </row>
    <row r="16" spans="1:17" s="96" customFormat="1" ht="15.2" customHeight="1" thickBot="1">
      <c r="A16" s="95" t="s">
        <v>29</v>
      </c>
      <c r="B16" s="892" t="s">
        <v>57</v>
      </c>
      <c r="C16" s="893"/>
      <c r="D16" s="893"/>
      <c r="E16" s="893"/>
      <c r="F16" s="893"/>
      <c r="G16" s="893"/>
      <c r="H16" s="893"/>
      <c r="I16" s="893"/>
      <c r="J16" s="893"/>
      <c r="K16" s="893"/>
      <c r="L16" s="893"/>
      <c r="M16" s="893"/>
      <c r="N16" s="893"/>
      <c r="O16" s="894"/>
    </row>
    <row r="17" spans="1:15" s="101" customFormat="1" ht="14.1" customHeight="1">
      <c r="A17" s="104" t="s">
        <v>30</v>
      </c>
      <c r="B17" s="281" t="s">
        <v>62</v>
      </c>
      <c r="C17" s="540"/>
      <c r="D17" s="540"/>
      <c r="E17" s="540"/>
      <c r="F17" s="540"/>
      <c r="G17" s="540"/>
      <c r="H17" s="540"/>
      <c r="I17" s="540"/>
      <c r="J17" s="540"/>
      <c r="K17" s="540"/>
      <c r="L17" s="540"/>
      <c r="M17" s="540"/>
      <c r="N17" s="540"/>
      <c r="O17" s="102">
        <f t="shared" si="0"/>
        <v>0</v>
      </c>
    </row>
    <row r="18" spans="1:15" s="101" customFormat="1" ht="27.2" customHeight="1">
      <c r="A18" s="99" t="s">
        <v>31</v>
      </c>
      <c r="B18" s="280" t="s">
        <v>183</v>
      </c>
      <c r="C18" s="539"/>
      <c r="D18" s="539"/>
      <c r="E18" s="539"/>
      <c r="F18" s="539"/>
      <c r="G18" s="539"/>
      <c r="H18" s="539"/>
      <c r="I18" s="539"/>
      <c r="J18" s="539"/>
      <c r="K18" s="539"/>
      <c r="L18" s="539"/>
      <c r="M18" s="539"/>
      <c r="N18" s="539"/>
      <c r="O18" s="100">
        <f t="shared" si="0"/>
        <v>0</v>
      </c>
    </row>
    <row r="19" spans="1:15" s="101" customFormat="1" ht="14.1" customHeight="1">
      <c r="A19" s="99" t="s">
        <v>32</v>
      </c>
      <c r="B19" s="278" t="s">
        <v>140</v>
      </c>
      <c r="C19" s="539"/>
      <c r="D19" s="539"/>
      <c r="E19" s="539"/>
      <c r="F19" s="539"/>
      <c r="G19" s="539"/>
      <c r="H19" s="539"/>
      <c r="I19" s="539"/>
      <c r="J19" s="539"/>
      <c r="K19" s="539"/>
      <c r="L19" s="539"/>
      <c r="M19" s="539"/>
      <c r="N19" s="539"/>
      <c r="O19" s="100">
        <f t="shared" si="0"/>
        <v>0</v>
      </c>
    </row>
    <row r="20" spans="1:15" s="101" customFormat="1" ht="14.1" customHeight="1">
      <c r="A20" s="99" t="s">
        <v>33</v>
      </c>
      <c r="B20" s="278" t="s">
        <v>184</v>
      </c>
      <c r="C20" s="539"/>
      <c r="D20" s="539"/>
      <c r="E20" s="539"/>
      <c r="F20" s="539"/>
      <c r="G20" s="539"/>
      <c r="H20" s="539"/>
      <c r="I20" s="539"/>
      <c r="J20" s="539"/>
      <c r="K20" s="539"/>
      <c r="L20" s="539"/>
      <c r="M20" s="539"/>
      <c r="N20" s="539"/>
      <c r="O20" s="100">
        <f t="shared" si="0"/>
        <v>0</v>
      </c>
    </row>
    <row r="21" spans="1:15" s="101" customFormat="1" ht="14.1" customHeight="1">
      <c r="A21" s="99" t="s">
        <v>34</v>
      </c>
      <c r="B21" s="278" t="s">
        <v>12</v>
      </c>
      <c r="C21" s="539"/>
      <c r="D21" s="539"/>
      <c r="E21" s="539"/>
      <c r="F21" s="539"/>
      <c r="G21" s="539"/>
      <c r="H21" s="539"/>
      <c r="I21" s="539"/>
      <c r="J21" s="539"/>
      <c r="K21" s="539"/>
      <c r="L21" s="539"/>
      <c r="M21" s="539"/>
      <c r="N21" s="539"/>
      <c r="O21" s="100">
        <f t="shared" si="0"/>
        <v>0</v>
      </c>
    </row>
    <row r="22" spans="1:15" s="101" customFormat="1" ht="14.1" customHeight="1">
      <c r="A22" s="99" t="s">
        <v>35</v>
      </c>
      <c r="B22" s="278" t="s">
        <v>230</v>
      </c>
      <c r="C22" s="539"/>
      <c r="D22" s="539"/>
      <c r="E22" s="539"/>
      <c r="F22" s="539"/>
      <c r="G22" s="539"/>
      <c r="H22" s="539"/>
      <c r="I22" s="539"/>
      <c r="J22" s="539"/>
      <c r="K22" s="539"/>
      <c r="L22" s="539"/>
      <c r="M22" s="539"/>
      <c r="N22" s="539"/>
      <c r="O22" s="100">
        <f t="shared" si="0"/>
        <v>0</v>
      </c>
    </row>
    <row r="23" spans="1:15" s="101" customFormat="1">
      <c r="A23" s="99" t="s">
        <v>36</v>
      </c>
      <c r="B23" s="280" t="s">
        <v>187</v>
      </c>
      <c r="C23" s="539"/>
      <c r="D23" s="539"/>
      <c r="E23" s="539"/>
      <c r="F23" s="539"/>
      <c r="G23" s="539"/>
      <c r="H23" s="539"/>
      <c r="I23" s="539"/>
      <c r="J23" s="539"/>
      <c r="K23" s="539"/>
      <c r="L23" s="539"/>
      <c r="M23" s="539"/>
      <c r="N23" s="539"/>
      <c r="O23" s="100">
        <f t="shared" si="0"/>
        <v>0</v>
      </c>
    </row>
    <row r="24" spans="1:15" s="101" customFormat="1" ht="14.1" customHeight="1">
      <c r="A24" s="99" t="s">
        <v>37</v>
      </c>
      <c r="B24" s="278" t="s">
        <v>232</v>
      </c>
      <c r="C24" s="539"/>
      <c r="D24" s="539"/>
      <c r="E24" s="539"/>
      <c r="F24" s="539"/>
      <c r="G24" s="539"/>
      <c r="H24" s="539"/>
      <c r="I24" s="539"/>
      <c r="J24" s="539"/>
      <c r="K24" s="539"/>
      <c r="L24" s="539"/>
      <c r="M24" s="539"/>
      <c r="N24" s="539"/>
      <c r="O24" s="100">
        <f t="shared" si="0"/>
        <v>0</v>
      </c>
    </row>
    <row r="25" spans="1:15" s="101" customFormat="1" ht="14.1" customHeight="1" thickBot="1">
      <c r="A25" s="99" t="s">
        <v>38</v>
      </c>
      <c r="B25" s="278" t="s">
        <v>13</v>
      </c>
      <c r="C25" s="539"/>
      <c r="D25" s="539"/>
      <c r="E25" s="539"/>
      <c r="F25" s="539"/>
      <c r="G25" s="539"/>
      <c r="H25" s="539"/>
      <c r="I25" s="539"/>
      <c r="J25" s="539"/>
      <c r="K25" s="539"/>
      <c r="L25" s="539"/>
      <c r="M25" s="539"/>
      <c r="N25" s="539"/>
      <c r="O25" s="100">
        <f t="shared" si="0"/>
        <v>0</v>
      </c>
    </row>
    <row r="26" spans="1:15" s="96" customFormat="1" ht="15.95" customHeight="1" thickBot="1">
      <c r="A26" s="105" t="s">
        <v>39</v>
      </c>
      <c r="B26" s="37" t="s">
        <v>110</v>
      </c>
      <c r="C26" s="541">
        <f t="shared" ref="C26:N26" si="2">SUM(C17:C25)</f>
        <v>0</v>
      </c>
      <c r="D26" s="541">
        <f t="shared" si="2"/>
        <v>0</v>
      </c>
      <c r="E26" s="541">
        <f t="shared" si="2"/>
        <v>0</v>
      </c>
      <c r="F26" s="541">
        <f t="shared" si="2"/>
        <v>0</v>
      </c>
      <c r="G26" s="541">
        <f t="shared" si="2"/>
        <v>0</v>
      </c>
      <c r="H26" s="541">
        <f t="shared" si="2"/>
        <v>0</v>
      </c>
      <c r="I26" s="541">
        <f t="shared" si="2"/>
        <v>0</v>
      </c>
      <c r="J26" s="541">
        <f t="shared" si="2"/>
        <v>0</v>
      </c>
      <c r="K26" s="541">
        <f t="shared" si="2"/>
        <v>0</v>
      </c>
      <c r="L26" s="541">
        <f t="shared" si="2"/>
        <v>0</v>
      </c>
      <c r="M26" s="541">
        <f t="shared" si="2"/>
        <v>0</v>
      </c>
      <c r="N26" s="541">
        <f t="shared" si="2"/>
        <v>0</v>
      </c>
      <c r="O26" s="103">
        <f t="shared" si="0"/>
        <v>0</v>
      </c>
    </row>
    <row r="27" spans="1:15" ht="16.5" thickBot="1">
      <c r="A27" s="105" t="s">
        <v>40</v>
      </c>
      <c r="B27" s="282" t="s">
        <v>111</v>
      </c>
      <c r="C27" s="542">
        <f t="shared" ref="C27:O27" si="3">C15-C26</f>
        <v>0</v>
      </c>
      <c r="D27" s="542">
        <f t="shared" si="3"/>
        <v>0</v>
      </c>
      <c r="E27" s="542">
        <f t="shared" si="3"/>
        <v>0</v>
      </c>
      <c r="F27" s="542">
        <f t="shared" si="3"/>
        <v>0</v>
      </c>
      <c r="G27" s="542">
        <f t="shared" si="3"/>
        <v>0</v>
      </c>
      <c r="H27" s="542">
        <f t="shared" si="3"/>
        <v>0</v>
      </c>
      <c r="I27" s="542">
        <f t="shared" si="3"/>
        <v>0</v>
      </c>
      <c r="J27" s="542">
        <f t="shared" si="3"/>
        <v>0</v>
      </c>
      <c r="K27" s="542">
        <f t="shared" si="3"/>
        <v>0</v>
      </c>
      <c r="L27" s="542">
        <f t="shared" si="3"/>
        <v>0</v>
      </c>
      <c r="M27" s="542">
        <f t="shared" si="3"/>
        <v>0</v>
      </c>
      <c r="N27" s="542">
        <f t="shared" si="3"/>
        <v>0</v>
      </c>
      <c r="O27" s="106">
        <f t="shared" si="3"/>
        <v>0</v>
      </c>
    </row>
    <row r="28" spans="1:15">
      <c r="A28" s="108"/>
    </row>
    <row r="29" spans="1:15">
      <c r="B29" s="109"/>
      <c r="C29" s="110"/>
      <c r="D29" s="110"/>
      <c r="O29" s="107"/>
    </row>
    <row r="30" spans="1:15">
      <c r="O30" s="107"/>
    </row>
    <row r="31" spans="1:15">
      <c r="O31" s="107"/>
    </row>
    <row r="32" spans="1:15">
      <c r="O32" s="107"/>
    </row>
    <row r="33" spans="15:15">
      <c r="O33" s="107"/>
    </row>
    <row r="34" spans="15:15">
      <c r="O34" s="107"/>
    </row>
    <row r="35" spans="15:15">
      <c r="O35" s="107"/>
    </row>
    <row r="36" spans="15:15">
      <c r="O36" s="107"/>
    </row>
    <row r="37" spans="15:15">
      <c r="O37" s="107"/>
    </row>
    <row r="38" spans="15:15">
      <c r="O38" s="107"/>
    </row>
    <row r="39" spans="15:15">
      <c r="O39" s="107"/>
    </row>
    <row r="40" spans="15:15">
      <c r="O40" s="107"/>
    </row>
    <row r="41" spans="15:15">
      <c r="O41" s="107"/>
    </row>
    <row r="42" spans="15:15">
      <c r="O42" s="107"/>
    </row>
    <row r="43" spans="15:15">
      <c r="O43" s="107"/>
    </row>
    <row r="44" spans="15:15">
      <c r="O44" s="107"/>
    </row>
    <row r="45" spans="15:15">
      <c r="O45" s="107"/>
    </row>
    <row r="46" spans="15:15">
      <c r="O46" s="107"/>
    </row>
    <row r="47" spans="15:15">
      <c r="O47" s="107"/>
    </row>
    <row r="48" spans="15:15">
      <c r="O48" s="107"/>
    </row>
    <row r="49" spans="15:15">
      <c r="O49" s="107"/>
    </row>
    <row r="50" spans="15:15">
      <c r="O50" s="107"/>
    </row>
    <row r="51" spans="15:15">
      <c r="O51" s="107"/>
    </row>
    <row r="52" spans="15:15">
      <c r="O52" s="107"/>
    </row>
    <row r="53" spans="15:15">
      <c r="O53" s="107"/>
    </row>
    <row r="54" spans="15:15">
      <c r="O54" s="107"/>
    </row>
    <row r="55" spans="15:15">
      <c r="O55" s="107"/>
    </row>
    <row r="56" spans="15:15">
      <c r="O56" s="107"/>
    </row>
    <row r="57" spans="15:15">
      <c r="O57" s="107"/>
    </row>
    <row r="58" spans="15:15">
      <c r="O58" s="107"/>
    </row>
    <row r="59" spans="15:15">
      <c r="O59" s="107"/>
    </row>
    <row r="60" spans="15:15">
      <c r="O60" s="107"/>
    </row>
    <row r="61" spans="15:15">
      <c r="O61" s="107"/>
    </row>
    <row r="62" spans="15:15">
      <c r="O62" s="107"/>
    </row>
    <row r="63" spans="15:15">
      <c r="O63" s="107"/>
    </row>
    <row r="64" spans="15:15">
      <c r="O64" s="107"/>
    </row>
    <row r="65" spans="15:15">
      <c r="O65" s="107"/>
    </row>
    <row r="66" spans="15:15">
      <c r="O66" s="107"/>
    </row>
    <row r="67" spans="15:15">
      <c r="O67" s="107"/>
    </row>
    <row r="68" spans="15:15">
      <c r="O68" s="107"/>
    </row>
    <row r="69" spans="15:15">
      <c r="O69" s="107"/>
    </row>
    <row r="70" spans="15:15">
      <c r="O70" s="107"/>
    </row>
    <row r="71" spans="15:15">
      <c r="O71" s="107"/>
    </row>
    <row r="72" spans="15:15">
      <c r="O72" s="107"/>
    </row>
    <row r="73" spans="15:15">
      <c r="O73" s="107"/>
    </row>
    <row r="74" spans="15:15">
      <c r="O74" s="107"/>
    </row>
    <row r="75" spans="15:15">
      <c r="O75" s="107"/>
    </row>
    <row r="76" spans="15:15">
      <c r="O76" s="107"/>
    </row>
    <row r="77" spans="15:15">
      <c r="O77" s="107"/>
    </row>
    <row r="78" spans="15:15">
      <c r="O78" s="107"/>
    </row>
    <row r="79" spans="15:15">
      <c r="O79" s="107"/>
    </row>
    <row r="80" spans="15:15">
      <c r="O80" s="107"/>
    </row>
    <row r="81" spans="15:15">
      <c r="O81" s="107"/>
    </row>
    <row r="82" spans="15:15">
      <c r="O82" s="107"/>
    </row>
  </sheetData>
  <sheetProtection sheet="1"/>
  <mergeCells count="3">
    <mergeCell ref="B5:O5"/>
    <mergeCell ref="B16:O16"/>
    <mergeCell ref="A2:O2"/>
  </mergeCells>
  <phoneticPr fontId="0" type="noConversion"/>
  <printOptions horizontalCentered="1"/>
  <pageMargins left="0.78740157480314965" right="0.78740157480314965" top="1.0687500000000001" bottom="0.98425196850393704" header="0.78740157480314965" footer="0.78740157480314965"/>
  <pageSetup paperSize="9" scale="90" orientation="landscape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H26"/>
  <sheetViews>
    <sheetView zoomScale="120" zoomScaleNormal="120" zoomScalePageLayoutView="120" workbookViewId="0">
      <selection activeCell="B13" sqref="B13"/>
    </sheetView>
  </sheetViews>
  <sheetFormatPr defaultRowHeight="12.75"/>
  <cols>
    <col min="1" max="1" width="13.83203125" style="46" customWidth="1"/>
    <col min="2" max="2" width="88.6640625" style="46" customWidth="1"/>
    <col min="3" max="3" width="16.83203125" style="46" customWidth="1"/>
    <col min="4" max="4" width="4.83203125" style="682" customWidth="1"/>
    <col min="5" max="16384" width="9.33203125" style="46"/>
  </cols>
  <sheetData>
    <row r="1" spans="1:8" ht="47.25" customHeight="1">
      <c r="B1" s="897" t="str">
        <f ca="1">+CONCATENATE("A ",LEFT(KV_ÖSSZEFÜGGÉSEK!A5,4),". évi általános működés és ágazati feladatok támogatásának alakulása jogcímenként")</f>
        <v>A 2019. évi általános működés és ágazati feladatok támogatásának alakulása jogcímenként</v>
      </c>
      <c r="C1" s="897"/>
      <c r="D1" s="898" t="str">
        <f ca="1">CONCATENATE("5. tájékoztató tábla ",ALAPADATOK!A7," ",ALAPADATOK!B7," ",ALAPADATOK!C7," ",ALAPADATOK!D7," ",ALAPADATOK!E7," ",ALAPADATOK!F7," ",ALAPADATOK!G7," ",ALAPADATOK!H7)</f>
        <v>5. tájékoztató tábla a … / 2019 ( … ) önkormányzati rendelethez</v>
      </c>
    </row>
    <row r="2" spans="1:8" ht="22.5" customHeight="1" thickBot="1">
      <c r="B2" s="369"/>
      <c r="C2" s="675" t="s">
        <v>684</v>
      </c>
      <c r="D2" s="898"/>
    </row>
    <row r="3" spans="1:8" s="47" customFormat="1" ht="54" customHeight="1" thickBot="1">
      <c r="A3" s="676" t="s">
        <v>686</v>
      </c>
      <c r="B3" s="284" t="s">
        <v>52</v>
      </c>
      <c r="C3" s="658" t="str">
        <f ca="1">+CONCATENATE(LEFT(KV_ÖSSZEFÜGGÉSEK!A5,4),". évi tervezett támogatás összesen")</f>
        <v>2019. évi tervezett támogatás összesen</v>
      </c>
      <c r="D3" s="898"/>
      <c r="H3" s="654"/>
    </row>
    <row r="4" spans="1:8" s="48" customFormat="1" ht="13.5" thickBot="1">
      <c r="A4" s="677" t="s">
        <v>493</v>
      </c>
      <c r="B4" s="176" t="s">
        <v>494</v>
      </c>
      <c r="C4" s="177" t="s">
        <v>495</v>
      </c>
      <c r="D4" s="898"/>
    </row>
    <row r="5" spans="1:8">
      <c r="A5" s="678"/>
      <c r="B5" s="111"/>
      <c r="C5" s="399"/>
      <c r="D5" s="898"/>
    </row>
    <row r="6" spans="1:8" ht="12.75" customHeight="1">
      <c r="A6" s="679"/>
      <c r="B6" s="112"/>
      <c r="C6" s="399"/>
      <c r="D6" s="898"/>
    </row>
    <row r="7" spans="1:8">
      <c r="A7" s="679"/>
      <c r="B7" s="112"/>
      <c r="C7" s="399"/>
      <c r="D7" s="898"/>
    </row>
    <row r="8" spans="1:8">
      <c r="A8" s="679"/>
      <c r="B8" s="112"/>
      <c r="C8" s="399"/>
      <c r="D8" s="898"/>
    </row>
    <row r="9" spans="1:8">
      <c r="A9" s="679"/>
      <c r="B9" s="112"/>
      <c r="C9" s="399"/>
      <c r="D9" s="898"/>
    </row>
    <row r="10" spans="1:8">
      <c r="A10" s="679"/>
      <c r="B10" s="112"/>
      <c r="C10" s="399"/>
      <c r="D10" s="898"/>
    </row>
    <row r="11" spans="1:8">
      <c r="A11" s="679"/>
      <c r="B11" s="112"/>
      <c r="C11" s="399"/>
      <c r="D11" s="898"/>
    </row>
    <row r="12" spans="1:8">
      <c r="A12" s="679"/>
      <c r="B12" s="112"/>
      <c r="C12" s="399"/>
      <c r="D12" s="898"/>
    </row>
    <row r="13" spans="1:8" ht="12.95" customHeight="1">
      <c r="A13" s="679"/>
      <c r="B13" s="112"/>
      <c r="C13" s="399"/>
      <c r="D13" s="898"/>
    </row>
    <row r="14" spans="1:8">
      <c r="A14" s="679"/>
      <c r="B14" s="112"/>
      <c r="C14" s="399"/>
      <c r="D14" s="898"/>
    </row>
    <row r="15" spans="1:8">
      <c r="A15" s="679"/>
      <c r="B15" s="112"/>
      <c r="C15" s="399"/>
      <c r="D15" s="898"/>
    </row>
    <row r="16" spans="1:8">
      <c r="A16" s="679"/>
      <c r="B16" s="112"/>
      <c r="C16" s="399"/>
      <c r="D16" s="898"/>
    </row>
    <row r="17" spans="1:4">
      <c r="A17" s="679"/>
      <c r="B17" s="112"/>
      <c r="C17" s="399"/>
      <c r="D17" s="898"/>
    </row>
    <row r="18" spans="1:4">
      <c r="A18" s="679"/>
      <c r="B18" s="112"/>
      <c r="C18" s="399"/>
      <c r="D18" s="898"/>
    </row>
    <row r="19" spans="1:4">
      <c r="A19" s="679"/>
      <c r="B19" s="112"/>
      <c r="C19" s="399"/>
      <c r="D19" s="898"/>
    </row>
    <row r="20" spans="1:4">
      <c r="A20" s="679"/>
      <c r="B20" s="112"/>
      <c r="C20" s="399"/>
      <c r="D20" s="898"/>
    </row>
    <row r="21" spans="1:4">
      <c r="A21" s="679"/>
      <c r="B21" s="112"/>
      <c r="C21" s="399"/>
      <c r="D21" s="898"/>
    </row>
    <row r="22" spans="1:4">
      <c r="A22" s="679"/>
      <c r="B22" s="112"/>
      <c r="C22" s="399"/>
      <c r="D22" s="898"/>
    </row>
    <row r="23" spans="1:4">
      <c r="A23" s="679"/>
      <c r="B23" s="112"/>
      <c r="C23" s="399"/>
      <c r="D23" s="898"/>
    </row>
    <row r="24" spans="1:4" ht="13.5" thickBot="1">
      <c r="A24" s="680"/>
      <c r="B24" s="113"/>
      <c r="C24" s="399"/>
      <c r="D24" s="898"/>
    </row>
    <row r="25" spans="1:4" s="50" customFormat="1" ht="19.5" customHeight="1" thickBot="1">
      <c r="A25" s="681"/>
      <c r="B25" s="34" t="s">
        <v>53</v>
      </c>
      <c r="C25" s="49">
        <f>SUM(C5:C24)</f>
        <v>0</v>
      </c>
      <c r="D25" s="898"/>
    </row>
    <row r="26" spans="1:4">
      <c r="A26" s="899" t="s">
        <v>685</v>
      </c>
      <c r="B26" s="899"/>
    </row>
  </sheetData>
  <sheetProtection sheet="1"/>
  <mergeCells count="3">
    <mergeCell ref="B1:C1"/>
    <mergeCell ref="D1:D25"/>
    <mergeCell ref="A26:B26"/>
  </mergeCells>
  <printOptions horizontalCentered="1"/>
  <pageMargins left="0.78740157480314965" right="0.78740157480314965" top="0.98425196850393704" bottom="0.98425196850393704" header="0.78740157480314965" footer="0.78740157480314965"/>
  <pageSetup paperSize="9" orientation="landscape" verticalDpi="300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>
  <sheetPr>
    <tabColor rgb="FF92D050"/>
  </sheetPr>
  <dimension ref="A1:D40"/>
  <sheetViews>
    <sheetView zoomScale="120" zoomScaleNormal="120" workbookViewId="0">
      <selection activeCell="D23" sqref="D23"/>
    </sheetView>
  </sheetViews>
  <sheetFormatPr defaultRowHeight="12.75"/>
  <cols>
    <col min="1" max="1" width="6.6640625" customWidth="1"/>
    <col min="2" max="2" width="43.33203125" customWidth="1"/>
    <col min="3" max="3" width="31.1640625" customWidth="1"/>
    <col min="4" max="4" width="14.83203125" customWidth="1"/>
  </cols>
  <sheetData>
    <row r="1" spans="1:4" ht="15">
      <c r="C1" s="644"/>
      <c r="D1" s="653" t="str">
        <f ca="1">CONCATENATE("6. tájékoztató tábla ",ALAPADATOK!A7," ",ALAPADATOK!B7," ",ALAPADATOK!C7," ",ALAPADATOK!D7," ",ALAPADATOK!E7," ",ALAPADATOK!F7," ",ALAPADATOK!G7," ",ALAPADATOK!H7)</f>
        <v>6. tájékoztató tábla a … / 2019 ( … ) önkormányzati rendelethez</v>
      </c>
    </row>
    <row r="2" spans="1:4" ht="45.2" customHeight="1">
      <c r="A2" s="903" t="str">
        <f ca="1">+CONCATENATE("K I M U T A T Á S",CHAR(10),"a ",LEFT(KV_ÖSSZEFÜGGÉSEK!A5,4),". évben céljelleggel juttatott támogatásokról")</f>
        <v>K I M U T A T Á S
a 2019. évben céljelleggel juttatott támogatásokról</v>
      </c>
      <c r="B2" s="903"/>
      <c r="C2" s="903"/>
      <c r="D2" s="903"/>
    </row>
    <row r="3" spans="1:4" ht="17.25" customHeight="1">
      <c r="A3" s="368"/>
      <c r="B3" s="368"/>
      <c r="C3" s="368"/>
      <c r="D3" s="368"/>
    </row>
    <row r="4" spans="1:4" ht="13.5" thickBot="1">
      <c r="A4" s="197"/>
      <c r="B4" s="197"/>
      <c r="C4" s="900" t="str">
        <f ca="1">KV_4.sz.tájékoztató_t.!O3</f>
        <v/>
      </c>
      <c r="D4" s="900"/>
    </row>
    <row r="5" spans="1:4" ht="42.75" customHeight="1" thickBot="1">
      <c r="A5" s="370" t="s">
        <v>69</v>
      </c>
      <c r="B5" s="371" t="s">
        <v>125</v>
      </c>
      <c r="C5" s="371" t="s">
        <v>126</v>
      </c>
      <c r="D5" s="372" t="s">
        <v>14</v>
      </c>
    </row>
    <row r="6" spans="1:4" ht="15.95" customHeight="1">
      <c r="A6" s="198" t="s">
        <v>18</v>
      </c>
      <c r="B6" s="692" t="s">
        <v>724</v>
      </c>
      <c r="C6" s="29"/>
      <c r="D6" s="695">
        <v>330000</v>
      </c>
    </row>
    <row r="7" spans="1:4" ht="15.95" customHeight="1">
      <c r="A7" s="199" t="s">
        <v>19</v>
      </c>
      <c r="B7" s="692" t="s">
        <v>725</v>
      </c>
      <c r="C7" s="30"/>
      <c r="D7" s="695">
        <v>370000</v>
      </c>
    </row>
    <row r="8" spans="1:4" ht="15.95" customHeight="1">
      <c r="A8" s="199" t="s">
        <v>20</v>
      </c>
      <c r="B8" s="692" t="s">
        <v>726</v>
      </c>
      <c r="C8" s="30"/>
      <c r="D8" s="695">
        <v>6800000</v>
      </c>
    </row>
    <row r="9" spans="1:4" ht="15.95" customHeight="1">
      <c r="A9" s="199" t="s">
        <v>21</v>
      </c>
      <c r="B9" s="692" t="s">
        <v>727</v>
      </c>
      <c r="C9" s="30"/>
      <c r="D9" s="695">
        <v>22000000</v>
      </c>
    </row>
    <row r="10" spans="1:4" ht="15.95" customHeight="1">
      <c r="A10" s="199" t="s">
        <v>22</v>
      </c>
      <c r="B10" s="692" t="s">
        <v>728</v>
      </c>
      <c r="C10" s="30"/>
      <c r="D10" s="695">
        <v>35000000</v>
      </c>
    </row>
    <row r="11" spans="1:4" ht="15.95" customHeight="1">
      <c r="A11" s="199" t="s">
        <v>23</v>
      </c>
      <c r="B11" s="692" t="s">
        <v>729</v>
      </c>
      <c r="C11" s="30"/>
      <c r="D11" s="695">
        <v>3000000</v>
      </c>
    </row>
    <row r="12" spans="1:4" ht="15.95" customHeight="1">
      <c r="A12" s="199" t="s">
        <v>24</v>
      </c>
      <c r="B12" s="692" t="s">
        <v>730</v>
      </c>
      <c r="C12" s="30"/>
      <c r="D12" s="695">
        <v>341540</v>
      </c>
    </row>
    <row r="13" spans="1:4" ht="15.95" customHeight="1">
      <c r="A13" s="199" t="s">
        <v>25</v>
      </c>
      <c r="B13" s="692" t="s">
        <v>731</v>
      </c>
      <c r="C13" s="30"/>
      <c r="D13" s="695">
        <v>48227000</v>
      </c>
    </row>
    <row r="14" spans="1:4" ht="15.95" customHeight="1">
      <c r="A14" s="199" t="s">
        <v>26</v>
      </c>
      <c r="B14" s="693" t="s">
        <v>732</v>
      </c>
      <c r="C14" s="30"/>
      <c r="D14" s="695">
        <v>117919339</v>
      </c>
    </row>
    <row r="15" spans="1:4" ht="15.95" customHeight="1">
      <c r="A15" s="199" t="s">
        <v>27</v>
      </c>
      <c r="B15" s="693" t="s">
        <v>740</v>
      </c>
      <c r="C15" s="30"/>
      <c r="D15" s="695">
        <v>17038566</v>
      </c>
    </row>
    <row r="16" spans="1:4" ht="15.95" customHeight="1">
      <c r="A16" s="199" t="s">
        <v>28</v>
      </c>
      <c r="B16" s="693" t="s">
        <v>739</v>
      </c>
      <c r="C16" s="30"/>
      <c r="D16" s="695">
        <v>2666675</v>
      </c>
    </row>
    <row r="17" spans="1:4" ht="15.95" customHeight="1">
      <c r="A17" s="199" t="s">
        <v>29</v>
      </c>
      <c r="B17" s="693" t="s">
        <v>733</v>
      </c>
      <c r="C17" s="30"/>
      <c r="D17" s="695">
        <v>8800000</v>
      </c>
    </row>
    <row r="18" spans="1:4" ht="15.95" customHeight="1">
      <c r="A18" s="199" t="s">
        <v>30</v>
      </c>
      <c r="B18" s="693" t="s">
        <v>734</v>
      </c>
      <c r="C18" s="30"/>
      <c r="D18" s="695">
        <v>12008646</v>
      </c>
    </row>
    <row r="19" spans="1:4" ht="15.95" customHeight="1">
      <c r="A19" s="199" t="s">
        <v>31</v>
      </c>
      <c r="B19" s="693" t="s">
        <v>735</v>
      </c>
      <c r="C19" s="30"/>
      <c r="D19" s="695">
        <v>3232660</v>
      </c>
    </row>
    <row r="20" spans="1:4" ht="15.95" customHeight="1">
      <c r="A20" s="199" t="s">
        <v>32</v>
      </c>
      <c r="B20" s="694" t="s">
        <v>736</v>
      </c>
      <c r="C20" s="30"/>
      <c r="D20" s="695">
        <v>1856580</v>
      </c>
    </row>
    <row r="21" spans="1:4" ht="15.95" customHeight="1">
      <c r="A21" s="199" t="s">
        <v>33</v>
      </c>
      <c r="B21" s="693" t="s">
        <v>737</v>
      </c>
      <c r="C21" s="30"/>
      <c r="D21" s="695">
        <v>500000</v>
      </c>
    </row>
    <row r="22" spans="1:4" ht="15.95" customHeight="1">
      <c r="A22" s="199" t="s">
        <v>34</v>
      </c>
      <c r="B22" s="693" t="s">
        <v>738</v>
      </c>
      <c r="C22" s="30"/>
      <c r="D22" s="695">
        <v>350000</v>
      </c>
    </row>
    <row r="23" spans="1:4" ht="15.95" customHeight="1">
      <c r="A23" s="199" t="s">
        <v>35</v>
      </c>
      <c r="B23" s="656"/>
      <c r="C23" s="656"/>
      <c r="D23" s="656"/>
    </row>
    <row r="24" spans="1:4" ht="15.95" customHeight="1">
      <c r="A24" s="199" t="s">
        <v>36</v>
      </c>
      <c r="B24" s="30"/>
      <c r="C24" s="30"/>
      <c r="D24" s="543"/>
    </row>
    <row r="25" spans="1:4" ht="15.95" customHeight="1">
      <c r="A25" s="199" t="s">
        <v>37</v>
      </c>
      <c r="B25" s="30"/>
      <c r="C25" s="30"/>
      <c r="D25" s="543"/>
    </row>
    <row r="26" spans="1:4" ht="15.95" customHeight="1">
      <c r="A26" s="199" t="s">
        <v>38</v>
      </c>
      <c r="B26" s="30"/>
      <c r="C26" s="30"/>
      <c r="D26" s="543"/>
    </row>
    <row r="27" spans="1:4" ht="15.95" customHeight="1">
      <c r="A27" s="199" t="s">
        <v>39</v>
      </c>
      <c r="B27" s="30"/>
      <c r="C27" s="30"/>
      <c r="D27" s="543"/>
    </row>
    <row r="28" spans="1:4" ht="15.95" customHeight="1">
      <c r="A28" s="199" t="s">
        <v>40</v>
      </c>
      <c r="B28" s="30"/>
      <c r="C28" s="30"/>
      <c r="D28" s="543"/>
    </row>
    <row r="29" spans="1:4" ht="15.95" customHeight="1">
      <c r="A29" s="199" t="s">
        <v>41</v>
      </c>
      <c r="B29" s="30"/>
      <c r="C29" s="30"/>
      <c r="D29" s="543"/>
    </row>
    <row r="30" spans="1:4" ht="15.95" customHeight="1">
      <c r="A30" s="199" t="s">
        <v>42</v>
      </c>
      <c r="B30" s="30"/>
      <c r="C30" s="30"/>
      <c r="D30" s="543"/>
    </row>
    <row r="31" spans="1:4" ht="15.95" customHeight="1">
      <c r="A31" s="199" t="s">
        <v>43</v>
      </c>
      <c r="B31" s="30"/>
      <c r="C31" s="30"/>
      <c r="D31" s="543"/>
    </row>
    <row r="32" spans="1:4" ht="15.95" customHeight="1">
      <c r="A32" s="199" t="s">
        <v>44</v>
      </c>
      <c r="B32" s="30"/>
      <c r="C32" s="30"/>
      <c r="D32" s="543"/>
    </row>
    <row r="33" spans="1:4" ht="15.95" customHeight="1">
      <c r="A33" s="199" t="s">
        <v>45</v>
      </c>
      <c r="B33" s="30"/>
      <c r="C33" s="30"/>
      <c r="D33" s="543"/>
    </row>
    <row r="34" spans="1:4" ht="15.95" customHeight="1">
      <c r="A34" s="199" t="s">
        <v>46</v>
      </c>
      <c r="B34" s="30"/>
      <c r="C34" s="30"/>
      <c r="D34" s="543"/>
    </row>
    <row r="35" spans="1:4" ht="15.95" customHeight="1">
      <c r="A35" s="199" t="s">
        <v>127</v>
      </c>
      <c r="B35" s="30"/>
      <c r="C35" s="30"/>
      <c r="D35" s="544"/>
    </row>
    <row r="36" spans="1:4" ht="15.95" customHeight="1">
      <c r="A36" s="199" t="s">
        <v>128</v>
      </c>
      <c r="B36" s="30"/>
      <c r="C36" s="30"/>
      <c r="D36" s="544"/>
    </row>
    <row r="37" spans="1:4" ht="15.95" customHeight="1">
      <c r="A37" s="199" t="s">
        <v>129</v>
      </c>
      <c r="B37" s="30"/>
      <c r="C37" s="30"/>
      <c r="D37" s="544"/>
    </row>
    <row r="38" spans="1:4" ht="15.95" customHeight="1" thickBot="1">
      <c r="A38" s="200" t="s">
        <v>130</v>
      </c>
      <c r="B38" s="31"/>
      <c r="C38" s="31"/>
      <c r="D38" s="545"/>
    </row>
    <row r="39" spans="1:4" ht="15.95" customHeight="1" thickBot="1">
      <c r="A39" s="901" t="s">
        <v>53</v>
      </c>
      <c r="B39" s="902"/>
      <c r="C39" s="201"/>
      <c r="D39" s="546">
        <f>SUM(D6:D38)</f>
        <v>280441006</v>
      </c>
    </row>
    <row r="40" spans="1:4">
      <c r="A40" t="s">
        <v>202</v>
      </c>
    </row>
  </sheetData>
  <sheetProtection sheet="1"/>
  <mergeCells count="3">
    <mergeCell ref="C4:D4"/>
    <mergeCell ref="A39:B39"/>
    <mergeCell ref="A2:D2"/>
  </mergeCells>
  <phoneticPr fontId="29" type="noConversion"/>
  <conditionalFormatting sqref="D39">
    <cfRule type="cellIs" dxfId="0" priority="1" stopIfTrue="1" operator="equal">
      <formula>0</formula>
    </cfRule>
  </conditionalFormatting>
  <printOptions horizontalCentered="1"/>
  <pageMargins left="0.78740157480314965" right="0.78740157480314965" top="1.06" bottom="0.98425196850393704" header="0.78740157480314965" footer="0.78740157480314965"/>
  <pageSetup paperSize="9" scale="95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>
  <sheetPr>
    <tabColor rgb="FF92D050"/>
  </sheetPr>
  <dimension ref="A1:G51"/>
  <sheetViews>
    <sheetView zoomScale="120" zoomScaleNormal="120" zoomScaleSheetLayoutView="100" workbookViewId="0">
      <selection activeCell="G6" sqref="G6"/>
    </sheetView>
  </sheetViews>
  <sheetFormatPr defaultRowHeight="15.75"/>
  <cols>
    <col min="1" max="1" width="9" style="374" customWidth="1"/>
    <col min="2" max="2" width="66.33203125" style="374" bestFit="1" customWidth="1"/>
    <col min="3" max="3" width="15.5" style="375" customWidth="1"/>
    <col min="4" max="5" width="15.5" style="374" customWidth="1"/>
    <col min="6" max="6" width="9" style="406" customWidth="1"/>
    <col min="7" max="16384" width="9.33203125" style="406"/>
  </cols>
  <sheetData>
    <row r="1" spans="1:5">
      <c r="C1" s="647"/>
      <c r="D1" s="644"/>
      <c r="E1" s="653" t="str">
        <f ca="1">CONCATENATE("7. tájékoztató tábla ",ALAPADATOK!A7," ",ALAPADATOK!B7," ",ALAPADATOK!C7," ",ALAPADATOK!D7," ",ALAPADATOK!E7," ",ALAPADATOK!F7," ",ALAPADATOK!G7," ",ALAPADATOK!H7)</f>
        <v>7. tájékoztató tábla a … / 2019 ( … ) önkormányzati rendelethez</v>
      </c>
    </row>
    <row r="2" spans="1:5">
      <c r="A2" s="904" t="str">
        <f ca="1">CONCATENATE(ALAPADATOK!A3)</f>
        <v>DABAS ÖNKORMÁNYZATA</v>
      </c>
      <c r="B2" s="905"/>
      <c r="C2" s="905"/>
      <c r="D2" s="905"/>
      <c r="E2" s="905"/>
    </row>
    <row r="3" spans="1:5">
      <c r="A3" s="878" t="s">
        <v>605</v>
      </c>
      <c r="B3" s="906"/>
      <c r="C3" s="906"/>
      <c r="D3" s="906"/>
      <c r="E3" s="906"/>
    </row>
    <row r="4" spans="1:5" ht="15.95" customHeight="1">
      <c r="A4" s="824" t="s">
        <v>604</v>
      </c>
      <c r="B4" s="824"/>
      <c r="C4" s="824"/>
      <c r="D4" s="824"/>
      <c r="E4" s="824"/>
    </row>
    <row r="5" spans="1:5" ht="15.95" customHeight="1" thickBot="1">
      <c r="A5" s="823" t="s">
        <v>152</v>
      </c>
      <c r="B5" s="823"/>
      <c r="D5" s="134"/>
      <c r="E5" s="300" t="str">
        <f ca="1">KV_4.sz.tájékoztató_t.!O3</f>
        <v/>
      </c>
    </row>
    <row r="6" spans="1:5" ht="38.1" customHeight="1" thickBot="1">
      <c r="A6" s="23" t="s">
        <v>69</v>
      </c>
      <c r="B6" s="24" t="s">
        <v>17</v>
      </c>
      <c r="C6" s="24" t="str">
        <f ca="1">+CONCATENATE(LEFT(KV_ÖSSZEFÜGGÉSEK!A5,4)+1,". évi")</f>
        <v>2020. évi</v>
      </c>
      <c r="D6" s="398" t="str">
        <f ca="1">+CONCATENATE(LEFT(KV_ÖSSZEFÜGGÉSEK!A5,4)+2,". évi")</f>
        <v>2021. évi</v>
      </c>
      <c r="E6" s="152" t="str">
        <f ca="1">+CONCATENATE(LEFT(KV_ÖSSZEFÜGGÉSEK!A5,4)+3,". évi")</f>
        <v>2022. évi</v>
      </c>
    </row>
    <row r="7" spans="1:5" s="407" customFormat="1" ht="12" customHeight="1" thickBot="1">
      <c r="A7" s="32" t="s">
        <v>493</v>
      </c>
      <c r="B7" s="33" t="s">
        <v>494</v>
      </c>
      <c r="C7" s="33" t="s">
        <v>495</v>
      </c>
      <c r="D7" s="33" t="s">
        <v>497</v>
      </c>
      <c r="E7" s="441" t="s">
        <v>496</v>
      </c>
    </row>
    <row r="8" spans="1:5" s="408" customFormat="1" ht="12" customHeight="1" thickBot="1">
      <c r="A8" s="20" t="s">
        <v>18</v>
      </c>
      <c r="B8" s="21" t="s">
        <v>531</v>
      </c>
      <c r="C8" s="458"/>
      <c r="D8" s="458"/>
      <c r="E8" s="459"/>
    </row>
    <row r="9" spans="1:5" s="408" customFormat="1" ht="12" customHeight="1" thickBot="1">
      <c r="A9" s="20" t="s">
        <v>19</v>
      </c>
      <c r="B9" s="285" t="s">
        <v>375</v>
      </c>
      <c r="C9" s="458"/>
      <c r="D9" s="458"/>
      <c r="E9" s="459"/>
    </row>
    <row r="10" spans="1:5" s="408" customFormat="1" ht="12" customHeight="1" thickBot="1">
      <c r="A10" s="20" t="s">
        <v>20</v>
      </c>
      <c r="B10" s="21" t="s">
        <v>382</v>
      </c>
      <c r="C10" s="458"/>
      <c r="D10" s="458"/>
      <c r="E10" s="459"/>
    </row>
    <row r="11" spans="1:5" s="408" customFormat="1" ht="12" customHeight="1" thickBot="1">
      <c r="A11" s="20" t="s">
        <v>173</v>
      </c>
      <c r="B11" s="21" t="s">
        <v>267</v>
      </c>
      <c r="C11" s="397">
        <f>SUM(C12:C18)</f>
        <v>0</v>
      </c>
      <c r="D11" s="397">
        <f>SUM(D12:D18)</f>
        <v>0</v>
      </c>
      <c r="E11" s="440">
        <f>SUM(E12:E18)</f>
        <v>0</v>
      </c>
    </row>
    <row r="12" spans="1:5" s="408" customFormat="1" ht="12" customHeight="1">
      <c r="A12" s="15" t="s">
        <v>268</v>
      </c>
      <c r="B12" s="409" t="s">
        <v>555</v>
      </c>
      <c r="C12" s="392"/>
      <c r="D12" s="392">
        <f>+D13+D14+D15</f>
        <v>0</v>
      </c>
      <c r="E12" s="258">
        <f>+E13+E14+E15</f>
        <v>0</v>
      </c>
    </row>
    <row r="13" spans="1:5" s="408" customFormat="1" ht="12" customHeight="1">
      <c r="A13" s="14" t="s">
        <v>269</v>
      </c>
      <c r="B13" s="410" t="s">
        <v>556</v>
      </c>
      <c r="C13" s="391"/>
      <c r="D13" s="391"/>
      <c r="E13" s="257"/>
    </row>
    <row r="14" spans="1:5" s="408" customFormat="1" ht="12" customHeight="1">
      <c r="A14" s="14" t="s">
        <v>270</v>
      </c>
      <c r="B14" s="410" t="s">
        <v>557</v>
      </c>
      <c r="C14" s="391"/>
      <c r="D14" s="391"/>
      <c r="E14" s="257"/>
    </row>
    <row r="15" spans="1:5" s="408" customFormat="1" ht="12" customHeight="1">
      <c r="A15" s="14" t="s">
        <v>271</v>
      </c>
      <c r="B15" s="410" t="s">
        <v>558</v>
      </c>
      <c r="C15" s="391"/>
      <c r="D15" s="391"/>
      <c r="E15" s="257"/>
    </row>
    <row r="16" spans="1:5" s="408" customFormat="1" ht="12" customHeight="1">
      <c r="A16" s="14" t="s">
        <v>552</v>
      </c>
      <c r="B16" s="410" t="s">
        <v>272</v>
      </c>
      <c r="C16" s="391"/>
      <c r="D16" s="391"/>
      <c r="E16" s="257"/>
    </row>
    <row r="17" spans="1:6" s="408" customFormat="1" ht="12" customHeight="1">
      <c r="A17" s="14" t="s">
        <v>553</v>
      </c>
      <c r="B17" s="410" t="s">
        <v>273</v>
      </c>
      <c r="C17" s="391"/>
      <c r="D17" s="391"/>
      <c r="E17" s="257"/>
    </row>
    <row r="18" spans="1:6" s="408" customFormat="1" ht="12" customHeight="1" thickBot="1">
      <c r="A18" s="16" t="s">
        <v>554</v>
      </c>
      <c r="B18" s="411" t="s">
        <v>274</v>
      </c>
      <c r="C18" s="393"/>
      <c r="D18" s="393"/>
      <c r="E18" s="259"/>
    </row>
    <row r="19" spans="1:6" s="408" customFormat="1" ht="12" customHeight="1" thickBot="1">
      <c r="A19" s="20" t="s">
        <v>22</v>
      </c>
      <c r="B19" s="21" t="s">
        <v>534</v>
      </c>
      <c r="C19" s="458"/>
      <c r="D19" s="458"/>
      <c r="E19" s="459"/>
    </row>
    <row r="20" spans="1:6" s="408" customFormat="1" ht="12" customHeight="1" thickBot="1">
      <c r="A20" s="20" t="s">
        <v>23</v>
      </c>
      <c r="B20" s="21" t="s">
        <v>10</v>
      </c>
      <c r="C20" s="458"/>
      <c r="D20" s="458"/>
      <c r="E20" s="459"/>
    </row>
    <row r="21" spans="1:6" s="408" customFormat="1" ht="12" customHeight="1" thickBot="1">
      <c r="A21" s="20" t="s">
        <v>180</v>
      </c>
      <c r="B21" s="21" t="s">
        <v>533</v>
      </c>
      <c r="C21" s="458"/>
      <c r="D21" s="458"/>
      <c r="E21" s="459"/>
    </row>
    <row r="22" spans="1:6" s="408" customFormat="1" ht="12" customHeight="1" thickBot="1">
      <c r="A22" s="20" t="s">
        <v>25</v>
      </c>
      <c r="B22" s="285" t="s">
        <v>532</v>
      </c>
      <c r="C22" s="458"/>
      <c r="D22" s="458"/>
      <c r="E22" s="459"/>
    </row>
    <row r="23" spans="1:6" s="408" customFormat="1" ht="12" customHeight="1" thickBot="1">
      <c r="A23" s="20" t="s">
        <v>26</v>
      </c>
      <c r="B23" s="21" t="s">
        <v>307</v>
      </c>
      <c r="C23" s="397">
        <f>+C8+C9+C10+C11+C19+C20+C21+C22</f>
        <v>0</v>
      </c>
      <c r="D23" s="397">
        <f>+D8+D9+D10+D11+D19+D20+D21+D22</f>
        <v>0</v>
      </c>
      <c r="E23" s="296">
        <f>+E8+E9+E10+E11+E19+E20+E21+E22</f>
        <v>0</v>
      </c>
    </row>
    <row r="24" spans="1:6" s="408" customFormat="1" ht="12" customHeight="1" thickBot="1">
      <c r="A24" s="20" t="s">
        <v>27</v>
      </c>
      <c r="B24" s="21" t="s">
        <v>535</v>
      </c>
      <c r="C24" s="500"/>
      <c r="D24" s="500"/>
      <c r="E24" s="501"/>
    </row>
    <row r="25" spans="1:6" s="408" customFormat="1" ht="12" customHeight="1" thickBot="1">
      <c r="A25" s="20" t="s">
        <v>28</v>
      </c>
      <c r="B25" s="21" t="s">
        <v>536</v>
      </c>
      <c r="C25" s="397">
        <f>+C23+C24</f>
        <v>0</v>
      </c>
      <c r="D25" s="397">
        <f>+D23+D24</f>
        <v>0</v>
      </c>
      <c r="E25" s="440">
        <f>+E23+E24</f>
        <v>0</v>
      </c>
    </row>
    <row r="26" spans="1:6" s="408" customFormat="1" ht="12" customHeight="1">
      <c r="A26" s="362"/>
      <c r="B26" s="363"/>
      <c r="C26" s="364"/>
      <c r="D26" s="497"/>
      <c r="E26" s="498"/>
    </row>
    <row r="27" spans="1:6" s="408" customFormat="1" ht="12" customHeight="1">
      <c r="A27" s="824" t="s">
        <v>47</v>
      </c>
      <c r="B27" s="824"/>
      <c r="C27" s="824"/>
      <c r="D27" s="824"/>
      <c r="E27" s="824"/>
    </row>
    <row r="28" spans="1:6" s="408" customFormat="1" ht="12" customHeight="1" thickBot="1">
      <c r="A28" s="821" t="s">
        <v>153</v>
      </c>
      <c r="B28" s="821"/>
      <c r="C28" s="375"/>
      <c r="D28" s="134"/>
      <c r="E28" s="300" t="str">
        <f ca="1">E5</f>
        <v/>
      </c>
    </row>
    <row r="29" spans="1:6" s="408" customFormat="1" ht="24" customHeight="1" thickBot="1">
      <c r="A29" s="23" t="s">
        <v>16</v>
      </c>
      <c r="B29" s="24" t="s">
        <v>48</v>
      </c>
      <c r="C29" s="24" t="str">
        <f ca="1">+C6</f>
        <v>2020. évi</v>
      </c>
      <c r="D29" s="24" t="str">
        <f ca="1">+D6</f>
        <v>2021. évi</v>
      </c>
      <c r="E29" s="152" t="str">
        <f ca="1">+E6</f>
        <v>2022. évi</v>
      </c>
      <c r="F29" s="499"/>
    </row>
    <row r="30" spans="1:6" s="408" customFormat="1" ht="12" customHeight="1" thickBot="1">
      <c r="A30" s="402" t="s">
        <v>493</v>
      </c>
      <c r="B30" s="403" t="s">
        <v>494</v>
      </c>
      <c r="C30" s="403" t="s">
        <v>495</v>
      </c>
      <c r="D30" s="403" t="s">
        <v>497</v>
      </c>
      <c r="E30" s="493" t="s">
        <v>496</v>
      </c>
      <c r="F30" s="499"/>
    </row>
    <row r="31" spans="1:6" s="408" customFormat="1" ht="15.2" customHeight="1" thickBot="1">
      <c r="A31" s="20" t="s">
        <v>18</v>
      </c>
      <c r="B31" s="27" t="s">
        <v>537</v>
      </c>
      <c r="C31" s="458"/>
      <c r="D31" s="458"/>
      <c r="E31" s="454"/>
      <c r="F31" s="499"/>
    </row>
    <row r="32" spans="1:6" ht="12" customHeight="1" thickBot="1">
      <c r="A32" s="472" t="s">
        <v>19</v>
      </c>
      <c r="B32" s="494" t="s">
        <v>542</v>
      </c>
      <c r="C32" s="495">
        <f>+C33+C34+C35</f>
        <v>0</v>
      </c>
      <c r="D32" s="495">
        <f>+D33+D34+D35</f>
        <v>0</v>
      </c>
      <c r="E32" s="496">
        <f>+E33+E34+E35</f>
        <v>0</v>
      </c>
    </row>
    <row r="33" spans="1:7" ht="12" customHeight="1">
      <c r="A33" s="15" t="s">
        <v>104</v>
      </c>
      <c r="B33" s="8" t="s">
        <v>230</v>
      </c>
      <c r="C33" s="392"/>
      <c r="D33" s="392"/>
      <c r="E33" s="258"/>
    </row>
    <row r="34" spans="1:7" ht="12" customHeight="1">
      <c r="A34" s="15" t="s">
        <v>105</v>
      </c>
      <c r="B34" s="12" t="s">
        <v>187</v>
      </c>
      <c r="C34" s="391"/>
      <c r="D34" s="391"/>
      <c r="E34" s="257"/>
    </row>
    <row r="35" spans="1:7" ht="12" customHeight="1" thickBot="1">
      <c r="A35" s="15" t="s">
        <v>106</v>
      </c>
      <c r="B35" s="287" t="s">
        <v>232</v>
      </c>
      <c r="C35" s="391"/>
      <c r="D35" s="391"/>
      <c r="E35" s="257"/>
    </row>
    <row r="36" spans="1:7" ht="12" customHeight="1" thickBot="1">
      <c r="A36" s="20" t="s">
        <v>20</v>
      </c>
      <c r="B36" s="118" t="s">
        <v>448</v>
      </c>
      <c r="C36" s="390">
        <f>+C31+C32</f>
        <v>0</v>
      </c>
      <c r="D36" s="390">
        <f>+D31+D32</f>
        <v>0</v>
      </c>
      <c r="E36" s="256">
        <f>+E31+E32</f>
        <v>0</v>
      </c>
    </row>
    <row r="37" spans="1:7" ht="15.2" customHeight="1" thickBot="1">
      <c r="A37" s="20" t="s">
        <v>21</v>
      </c>
      <c r="B37" s="118" t="s">
        <v>538</v>
      </c>
      <c r="C37" s="502"/>
      <c r="D37" s="502"/>
      <c r="E37" s="503"/>
      <c r="F37" s="421"/>
    </row>
    <row r="38" spans="1:7" s="408" customFormat="1" ht="12.95" customHeight="1" thickBot="1">
      <c r="A38" s="288" t="s">
        <v>22</v>
      </c>
      <c r="B38" s="373" t="s">
        <v>539</v>
      </c>
      <c r="C38" s="492">
        <f>+C36+C37</f>
        <v>0</v>
      </c>
      <c r="D38" s="492">
        <f>+D36+D37</f>
        <v>0</v>
      </c>
      <c r="E38" s="486">
        <f>+E36+E37</f>
        <v>0</v>
      </c>
    </row>
    <row r="39" spans="1:7">
      <c r="C39" s="659">
        <f>C25-C38</f>
        <v>0</v>
      </c>
      <c r="D39" s="659">
        <f>D25-D38</f>
        <v>0</v>
      </c>
      <c r="E39" s="659">
        <f>E25-E38</f>
        <v>0</v>
      </c>
    </row>
    <row r="40" spans="1:7">
      <c r="C40" s="374"/>
    </row>
    <row r="41" spans="1:7">
      <c r="C41" s="374"/>
    </row>
    <row r="42" spans="1:7" ht="16.5" customHeight="1">
      <c r="C42" s="374"/>
    </row>
    <row r="43" spans="1:7">
      <c r="C43" s="374"/>
    </row>
    <row r="44" spans="1:7">
      <c r="C44" s="374"/>
    </row>
    <row r="45" spans="1:7" s="374" customFormat="1">
      <c r="F45" s="406"/>
      <c r="G45" s="406"/>
    </row>
    <row r="46" spans="1:7" s="374" customFormat="1">
      <c r="F46" s="406"/>
      <c r="G46" s="406"/>
    </row>
    <row r="47" spans="1:7" s="374" customFormat="1">
      <c r="F47" s="406"/>
      <c r="G47" s="406"/>
    </row>
    <row r="48" spans="1:7" s="374" customFormat="1">
      <c r="F48" s="406"/>
      <c r="G48" s="406"/>
    </row>
    <row r="49" spans="6:7" s="374" customFormat="1">
      <c r="F49" s="406"/>
      <c r="G49" s="406"/>
    </row>
    <row r="50" spans="6:7" s="374" customFormat="1">
      <c r="F50" s="406"/>
      <c r="G50" s="406"/>
    </row>
    <row r="51" spans="6:7" s="374" customFormat="1">
      <c r="F51" s="406"/>
      <c r="G51" s="406"/>
    </row>
  </sheetData>
  <sheetProtection sheet="1"/>
  <mergeCells count="6">
    <mergeCell ref="A4:E4"/>
    <mergeCell ref="A5:B5"/>
    <mergeCell ref="A27:E27"/>
    <mergeCell ref="A28:B28"/>
    <mergeCell ref="A2:E2"/>
    <mergeCell ref="A3:E3"/>
  </mergeCells>
  <printOptions horizontalCentered="1"/>
  <pageMargins left="0.78740157480314965" right="0.78740157480314965" top="1.4566929133858268" bottom="0.86614173228346458" header="0.78740157480314965" footer="0.59055118110236227"/>
  <pageSetup paperSize="9" scale="75" fitToWidth="3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52</vt:i4>
      </vt:variant>
      <vt:variant>
        <vt:lpstr>Névvel ellátott tartományok</vt:lpstr>
      </vt:variant>
      <vt:variant>
        <vt:i4>34</vt:i4>
      </vt:variant>
    </vt:vector>
  </HeadingPairs>
  <TitlesOfParts>
    <vt:vector size="86" baseType="lpstr">
      <vt:lpstr>TARTALOMJEGYZÉK</vt:lpstr>
      <vt:lpstr>ALAPADATOK</vt:lpstr>
      <vt:lpstr>KV_ÖSSZEFÜGGÉSEK</vt:lpstr>
      <vt:lpstr>KV_1.1.sz.mell.</vt:lpstr>
      <vt:lpstr>KV_1.2.sz.mell.</vt:lpstr>
      <vt:lpstr>KV_1.3.sz.mell.</vt:lpstr>
      <vt:lpstr>KV_1.4.sz.mell.</vt:lpstr>
      <vt:lpstr>KV_2.1.sz.mell.</vt:lpstr>
      <vt:lpstr>KV_2.2.sz.mell.</vt:lpstr>
      <vt:lpstr>KV_ELLENŐRZÉS</vt:lpstr>
      <vt:lpstr>KV_3.sz.mell.</vt:lpstr>
      <vt:lpstr>KV_4.sz.mell.</vt:lpstr>
      <vt:lpstr>KV_5.sz.mell.</vt:lpstr>
      <vt:lpstr>KV_6.sz.mell.</vt:lpstr>
      <vt:lpstr>KV_7.sz.mell.</vt:lpstr>
      <vt:lpstr>KV_8.sz.mell.</vt:lpstr>
      <vt:lpstr>KV_9.1.sz.mell</vt:lpstr>
      <vt:lpstr>KV_9.1.1.sz.mell</vt:lpstr>
      <vt:lpstr>KV_9.1.2.sz.mell.</vt:lpstr>
      <vt:lpstr>KV_9.1.3.sz.mell</vt:lpstr>
      <vt:lpstr>KV_9.2.sz.mell</vt:lpstr>
      <vt:lpstr>KV_9.2.1.sz.mell</vt:lpstr>
      <vt:lpstr>KV_9.2.2.sz.mell</vt:lpstr>
      <vt:lpstr>KV_9.2.3.sz.mell</vt:lpstr>
      <vt:lpstr>KV_9.3.sz.mell</vt:lpstr>
      <vt:lpstr>KV_9.3.1.sz.mell</vt:lpstr>
      <vt:lpstr>KV_9.3.2.sz.mell</vt:lpstr>
      <vt:lpstr>KV_9.3.3.sz.mell</vt:lpstr>
      <vt:lpstr>KV_9.4.sz.mell</vt:lpstr>
      <vt:lpstr>KV_9.4.1.sz.mell</vt:lpstr>
      <vt:lpstr>KV_9.4.2.sz.mell</vt:lpstr>
      <vt:lpstr>KV_9.4.3.sz.mell</vt:lpstr>
      <vt:lpstr>KV_9.5.sz.mell</vt:lpstr>
      <vt:lpstr>KV_9.5.1.sz.mell</vt:lpstr>
      <vt:lpstr>KV_9.5.2.sz.mell</vt:lpstr>
      <vt:lpstr>KV_9.5.3.sz.mell</vt:lpstr>
      <vt:lpstr>KV_9.6.sz.mell</vt:lpstr>
      <vt:lpstr>KV_9.6.1.sz.mell</vt:lpstr>
      <vt:lpstr>KV_9.6.2.sz.mell</vt:lpstr>
      <vt:lpstr>KV_9.6.3.sz.mell</vt:lpstr>
      <vt:lpstr>KV_9.7.sz.mell</vt:lpstr>
      <vt:lpstr>KV_9.7.1.sz.mell</vt:lpstr>
      <vt:lpstr>KV_9.7.2.sz.mell</vt:lpstr>
      <vt:lpstr>KV_9.7.3.sz.mell</vt:lpstr>
      <vt:lpstr>KV_10.sz.mell</vt:lpstr>
      <vt:lpstr>KV_1.sz.tájékoztató_t.</vt:lpstr>
      <vt:lpstr>KV_2.sz.tájékoztató_t.</vt:lpstr>
      <vt:lpstr>KV_3.sz.tájékoztató_t.</vt:lpstr>
      <vt:lpstr>KV_4.sz.tájékoztató_t.</vt:lpstr>
      <vt:lpstr>KV_5.sz.tájékoztató_t</vt:lpstr>
      <vt:lpstr>KV_6.sz.tájékoztató_t.</vt:lpstr>
      <vt:lpstr>KV_7.sz.tájékoztató_t.</vt:lpstr>
      <vt:lpstr>KV_9.1.1.sz.mell!Nyomtatási_cím</vt:lpstr>
      <vt:lpstr>KV_9.1.2.sz.mell.!Nyomtatási_cím</vt:lpstr>
      <vt:lpstr>KV_9.1.3.sz.mell!Nyomtatási_cím</vt:lpstr>
      <vt:lpstr>KV_9.1.sz.mell!Nyomtatási_cím</vt:lpstr>
      <vt:lpstr>KV_9.2.1.sz.mell!Nyomtatási_cím</vt:lpstr>
      <vt:lpstr>KV_9.2.2.sz.mell!Nyomtatási_cím</vt:lpstr>
      <vt:lpstr>KV_9.2.3.sz.mell!Nyomtatási_cím</vt:lpstr>
      <vt:lpstr>KV_9.2.sz.mell!Nyomtatási_cím</vt:lpstr>
      <vt:lpstr>KV_9.3.1.sz.mell!Nyomtatási_cím</vt:lpstr>
      <vt:lpstr>KV_9.3.2.sz.mell!Nyomtatási_cím</vt:lpstr>
      <vt:lpstr>KV_9.3.3.sz.mell!Nyomtatási_cím</vt:lpstr>
      <vt:lpstr>KV_9.3.sz.mell!Nyomtatási_cím</vt:lpstr>
      <vt:lpstr>KV_9.4.1.sz.mell!Nyomtatási_cím</vt:lpstr>
      <vt:lpstr>KV_9.4.2.sz.mell!Nyomtatási_cím</vt:lpstr>
      <vt:lpstr>KV_9.4.3.sz.mell!Nyomtatási_cím</vt:lpstr>
      <vt:lpstr>KV_9.4.sz.mell!Nyomtatási_cím</vt:lpstr>
      <vt:lpstr>KV_9.5.1.sz.mell!Nyomtatási_cím</vt:lpstr>
      <vt:lpstr>KV_9.5.2.sz.mell!Nyomtatási_cím</vt:lpstr>
      <vt:lpstr>KV_9.5.3.sz.mell!Nyomtatási_cím</vt:lpstr>
      <vt:lpstr>KV_9.5.sz.mell!Nyomtatási_cím</vt:lpstr>
      <vt:lpstr>KV_9.6.1.sz.mell!Nyomtatási_cím</vt:lpstr>
      <vt:lpstr>KV_9.6.2.sz.mell!Nyomtatási_cím</vt:lpstr>
      <vt:lpstr>KV_9.6.3.sz.mell!Nyomtatási_cím</vt:lpstr>
      <vt:lpstr>KV_9.6.sz.mell!Nyomtatási_cím</vt:lpstr>
      <vt:lpstr>KV_9.7.1.sz.mell!Nyomtatási_cím</vt:lpstr>
      <vt:lpstr>KV_9.7.2.sz.mell!Nyomtatási_cím</vt:lpstr>
      <vt:lpstr>KV_9.7.3.sz.mell!Nyomtatási_cím</vt:lpstr>
      <vt:lpstr>KV_9.7.sz.mell!Nyomtatási_cím</vt:lpstr>
      <vt:lpstr>KV_1.1.sz.mell.!Nyomtatási_terület</vt:lpstr>
      <vt:lpstr>KV_1.2.sz.mell.!Nyomtatási_terület</vt:lpstr>
      <vt:lpstr>KV_1.3.sz.mell.!Nyomtatási_terület</vt:lpstr>
      <vt:lpstr>KV_1.4.sz.mell.!Nyomtatási_terület</vt:lpstr>
      <vt:lpstr>KV_1.sz.tájékoztató_t.!Nyomtatási_terület</vt:lpstr>
      <vt:lpstr>KV_7.sz.tájékoztató_t.!Nyomtatási_terület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maczak_istvanne</cp:lastModifiedBy>
  <cp:lastPrinted>2019-12-09T13:41:16Z</cp:lastPrinted>
  <dcterms:created xsi:type="dcterms:W3CDTF">1999-10-30T10:30:45Z</dcterms:created>
  <dcterms:modified xsi:type="dcterms:W3CDTF">2019-12-13T10:24:09Z</dcterms:modified>
</cp:coreProperties>
</file>