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tabRatio="895" activeTab="0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 Óvoda, Kult. kiad. feladat" sheetId="5" r:id="rId5"/>
    <sheet name="6. kiadások megbontása" sheetId="6" r:id="rId6"/>
    <sheet name="7. források sz. bontás" sheetId="7" r:id="rId7"/>
    <sheet name="8. létszámok" sheetId="8" r:id="rId8"/>
    <sheet name="9.felhki" sheetId="9" r:id="rId9"/>
    <sheet name="10.tart" sheetId="10" r:id="rId10"/>
    <sheet name="11.normatívák" sheetId="11" r:id="rId11"/>
    <sheet name="12. EU projektek" sheetId="12" r:id="rId12"/>
    <sheet name="Munka1" sheetId="13" r:id="rId13"/>
  </sheets>
  <definedNames>
    <definedName name="_xlnm.Print_Titles" localSheetId="0">'1. bevételek'!$5:$6</definedName>
    <definedName name="_xlnm.Print_Titles" localSheetId="9">'10.tart'!$7:$7</definedName>
    <definedName name="_xlnm.Print_Titles" localSheetId="11">'12. EU projektek'!$8:$11</definedName>
    <definedName name="_xlnm.Print_Titles" localSheetId="1">'2. kiadások '!$5:$6</definedName>
    <definedName name="_xlnm.Print_Titles" localSheetId="2">'3.műk.-felh.'!$4:$5</definedName>
    <definedName name="_xlnm.Print_Titles" localSheetId="3">'4.önkorm.kiad.feladat'!$4:$7</definedName>
    <definedName name="_xlnm.Print_Titles" localSheetId="5">'6. kiadások megbontása'!$5:$8</definedName>
    <definedName name="_xlnm.Print_Titles" localSheetId="7">'8. létszámok'!$7:$7</definedName>
    <definedName name="_xlnm.Print_Titles" localSheetId="8">'9.felhki'!$6:$7</definedName>
    <definedName name="_xlnm.Print_Area" localSheetId="0">'1. bevételek'!$A$1:$J$200</definedName>
    <definedName name="_xlnm.Print_Area" localSheetId="10">'11.normatívák'!$A$1:$L$51</definedName>
    <definedName name="_xlnm.Print_Area" localSheetId="1">'2. kiadások '!$A$1:$J$76</definedName>
    <definedName name="_xlnm.Print_Area" localSheetId="3">'4.önkorm.kiad.feladat'!$D$1:$V$54</definedName>
    <definedName name="_xlnm.Print_Area" localSheetId="4">'5. Óvoda, Kult. kiad. feladat'!$A$1:$L$34</definedName>
    <definedName name="_xlnm.Print_Area" localSheetId="5">'6. kiadások megbontása'!$A$1:$M$84</definedName>
    <definedName name="_xlnm.Print_Area" localSheetId="6">'7. források sz. bontás'!$A$1:$AC$59</definedName>
    <definedName name="_xlnm.Print_Area" localSheetId="7">'8. létszámok'!$A$1:$M$102</definedName>
    <definedName name="_xlnm.Print_Area" localSheetId="8">'9.felhki'!$A$1:$D$63</definedName>
  </definedNames>
  <calcPr fullCalcOnLoad="1"/>
</workbook>
</file>

<file path=xl/sharedStrings.xml><?xml version="1.0" encoding="utf-8"?>
<sst xmlns="http://schemas.openxmlformats.org/spreadsheetml/2006/main" count="1809" uniqueCount="1076">
  <si>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</si>
  <si>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</si>
  <si>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</si>
  <si>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</si>
  <si>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</si>
  <si>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</si>
  <si>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</si>
  <si>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</si>
  <si>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</si>
  <si>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</si>
  <si>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</si>
  <si>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</si>
  <si>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</si>
  <si>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</si>
  <si>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</si>
  <si>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</si>
  <si>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</si>
  <si>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</si>
  <si>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</si>
  <si>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</si>
  <si>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</si>
  <si>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</si>
  <si>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</si>
  <si>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</si>
  <si>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</si>
  <si>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</si>
  <si>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</si>
  <si>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</si>
  <si>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</si>
  <si>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</si>
  <si>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</si>
  <si>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</si>
  <si>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</si>
  <si>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</si>
  <si>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</si>
  <si>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</si>
  <si>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</si>
  <si>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</si>
  <si>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</si>
  <si>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</si>
  <si>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</si>
  <si>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</si>
  <si>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</si>
  <si>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</si>
  <si>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</si>
  <si>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</si>
  <si>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</si>
  <si>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3.4. Felh. c. v.tér. tám. kölcs. nyújt. állh.-on kívülre</t>
  </si>
  <si>
    <t>3.5. Egyéb felh. c. támogatások állh-on kívülre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</si>
  <si>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</si>
  <si>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</si>
  <si>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</si>
  <si>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</si>
  <si>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</si>
  <si>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</si>
  <si>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</si>
  <si>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</si>
  <si>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</si>
  <si>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</si>
  <si>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</si>
  <si>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</si>
  <si>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</si>
  <si>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</si>
  <si>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</si>
  <si>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</si>
  <si>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</si>
  <si>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</si>
  <si>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</si>
  <si>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</si>
  <si>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</si>
  <si>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</si>
  <si>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</si>
  <si>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</si>
  <si>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</si>
  <si>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</si>
  <si>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</si>
  <si>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</si>
  <si>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</si>
  <si>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</si>
  <si>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</si>
  <si>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</si>
  <si>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</si>
  <si>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</si>
  <si>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</si>
  <si>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</si>
  <si>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</si>
  <si>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össz.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</si>
  <si>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</si>
  <si>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</si>
  <si>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</si>
  <si>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</si>
  <si>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</si>
  <si>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</si>
  <si>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</si>
  <si>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</si>
  <si>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</si>
  <si>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</si>
  <si>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</si>
  <si>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</si>
  <si>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</si>
  <si>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</si>
  <si>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</si>
  <si>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</si>
  <si>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</si>
  <si>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</si>
  <si>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</si>
  <si>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</si>
  <si>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</si>
  <si>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</si>
  <si>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</si>
  <si>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</si>
  <si>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</si>
  <si>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</si>
  <si>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Felhalmozás célú támogatás államháztartáson kívülre</t>
  </si>
  <si>
    <t>2.1. Helyi adók és adójellegű bevételek</t>
  </si>
  <si>
    <t>A települési önkormányzatok egyes köznevelési feladatainak támogatása</t>
  </si>
  <si>
    <t>Óvodapedagógusok, és az óvodapedagógusok nevelő munkáját közvetlenül segítők bértámogatása</t>
  </si>
  <si>
    <t>A települési önkormányzatok szociális, gyermekjóléti és gyermekétkeztetési feladatainak támogatása</t>
  </si>
  <si>
    <t>III.5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</si>
  <si>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</si>
  <si>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</si>
  <si>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</si>
  <si>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</si>
  <si>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</si>
  <si>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</si>
  <si>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</si>
  <si>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</si>
  <si>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</si>
  <si>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</si>
  <si>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</si>
  <si>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</si>
  <si>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</si>
  <si>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</si>
  <si>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</si>
  <si>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</si>
  <si>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</si>
  <si>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</si>
  <si>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</si>
  <si>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</si>
  <si>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</si>
  <si>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</si>
  <si>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</si>
  <si>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</si>
  <si>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</si>
  <si>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</si>
  <si>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</si>
  <si>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</si>
  <si>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</si>
  <si>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</si>
  <si>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</si>
  <si>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</si>
  <si>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</si>
  <si>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</si>
  <si>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</si>
  <si>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</si>
  <si>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</si>
  <si>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</si>
  <si>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</si>
  <si>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</si>
  <si>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</si>
  <si>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</si>
  <si>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</si>
  <si>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</si>
  <si>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</si>
  <si>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</si>
  <si>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</si>
  <si>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</si>
  <si>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</si>
  <si>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</si>
  <si>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</si>
  <si>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</si>
  <si>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</si>
  <si>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</si>
  <si>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</si>
  <si>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</si>
  <si>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</si>
  <si>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</si>
  <si>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</si>
  <si>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</si>
  <si>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</si>
  <si>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</si>
  <si>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</si>
  <si>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</si>
  <si>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</si>
  <si>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</si>
  <si>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</si>
  <si>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</si>
  <si>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</si>
  <si>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</si>
  <si>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</si>
  <si>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</si>
  <si>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</si>
  <si>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</si>
  <si>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</si>
  <si>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</si>
  <si>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</si>
  <si>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</si>
  <si>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</si>
  <si>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</si>
  <si>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</si>
  <si>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</si>
  <si>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</si>
  <si>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</si>
  <si>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</si>
  <si>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</si>
  <si>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</si>
  <si>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</si>
  <si>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</si>
  <si>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</si>
  <si>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</si>
  <si>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</si>
  <si>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</si>
  <si>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</si>
  <si>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</si>
  <si>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</si>
  <si>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</si>
  <si>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</si>
  <si>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</si>
  <si>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</si>
  <si>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</si>
  <si>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</si>
  <si>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</si>
  <si>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</si>
  <si>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</si>
  <si>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</si>
  <si>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</si>
  <si>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</si>
  <si>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</si>
  <si>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</si>
  <si>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</si>
  <si>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</si>
  <si>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</si>
  <si>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</si>
  <si>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</si>
  <si>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</si>
  <si>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</si>
  <si>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</si>
  <si>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</si>
  <si>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</si>
  <si>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</si>
  <si>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</si>
  <si>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</si>
  <si>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</si>
  <si>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</si>
  <si>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</si>
  <si>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</si>
  <si>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</si>
  <si>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</si>
  <si>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</si>
  <si>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</si>
  <si>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</si>
  <si>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</si>
  <si>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</si>
  <si>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</si>
  <si>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</si>
  <si>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</si>
  <si>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</si>
  <si>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</si>
  <si>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</si>
  <si>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</si>
  <si>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</si>
  <si>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</si>
  <si>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</si>
  <si>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</si>
  <si>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</si>
  <si>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</si>
  <si>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</si>
  <si>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</si>
  <si>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</si>
  <si>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</si>
  <si>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</si>
  <si>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</si>
  <si>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</si>
  <si>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</si>
  <si>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</si>
  <si>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</si>
  <si>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</si>
  <si>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</si>
  <si>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</si>
  <si>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</si>
  <si>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</si>
  <si>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</si>
  <si>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</si>
  <si>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</si>
  <si>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</si>
  <si>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</si>
  <si>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</si>
  <si>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</si>
  <si>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</si>
  <si>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</si>
  <si>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</si>
  <si>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</si>
  <si>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</si>
  <si>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</si>
  <si>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</si>
  <si>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</si>
  <si>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</si>
  <si>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</si>
  <si>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</si>
  <si>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</si>
  <si>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</si>
  <si>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</si>
  <si>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</si>
  <si>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</si>
  <si>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</si>
  <si>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</si>
  <si>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</si>
  <si>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</si>
  <si>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</si>
  <si>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</si>
  <si>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</si>
  <si>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</si>
  <si>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</si>
  <si>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</si>
  <si>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</si>
  <si>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</si>
  <si>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</si>
  <si>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</si>
  <si>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</si>
  <si>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</si>
  <si>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</si>
  <si>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</si>
  <si>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</si>
  <si>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</si>
  <si>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</si>
  <si>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</si>
  <si>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</si>
  <si>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</si>
  <si>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</si>
  <si>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</si>
  <si>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</si>
  <si>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</si>
  <si>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</si>
  <si>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</si>
  <si>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</si>
  <si>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</si>
  <si>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</si>
  <si>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</si>
  <si>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</si>
  <si>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</si>
  <si>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</si>
  <si>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</si>
  <si>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</si>
  <si>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</si>
  <si>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</si>
  <si>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</si>
  <si>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</si>
  <si>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</si>
  <si>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</si>
  <si>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</si>
  <si>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</si>
  <si>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</si>
  <si>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</si>
  <si>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</si>
  <si>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</si>
  <si>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</si>
  <si>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</si>
  <si>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</si>
  <si>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</si>
  <si>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</si>
  <si>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</si>
  <si>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</si>
  <si>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</si>
  <si>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</si>
  <si>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Közfoglalkoztatás </t>
  </si>
  <si>
    <t>Ügyeleti Szolgálat</t>
  </si>
  <si>
    <t>- Gépkocsivezető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</si>
  <si>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</si>
  <si>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</si>
  <si>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</si>
  <si>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</si>
  <si>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</si>
  <si>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</si>
  <si>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</si>
  <si>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</si>
  <si>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</si>
  <si>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</si>
  <si>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</si>
  <si>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</si>
  <si>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Céltartalék (felhalmozási)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</si>
  <si>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</si>
  <si>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</si>
  <si>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</si>
  <si>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</si>
  <si>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</si>
  <si>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</si>
  <si>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</si>
  <si>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</si>
  <si>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</si>
  <si>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</si>
  <si>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</si>
  <si>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</si>
  <si>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</si>
  <si>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</si>
  <si>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</si>
  <si>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</si>
  <si>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</si>
  <si>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</si>
  <si>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</si>
  <si>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</si>
  <si>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</si>
  <si>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</si>
  <si>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</si>
  <si>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</si>
  <si>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</si>
  <si>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</si>
  <si>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</si>
  <si>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</si>
  <si>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</si>
  <si>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</si>
  <si>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</si>
  <si>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</si>
  <si>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</si>
  <si>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</si>
  <si>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</si>
  <si>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</si>
  <si>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</si>
  <si>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</si>
  <si>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</si>
  <si>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</si>
  <si>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</si>
  <si>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</si>
  <si>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</si>
  <si>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</si>
  <si>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</si>
  <si>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</si>
  <si>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</si>
  <si>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</si>
  <si>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</si>
  <si>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</si>
  <si>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</si>
  <si>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</si>
  <si>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</si>
  <si>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</si>
  <si>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 xml:space="preserve">- Köztisztviselők                      </t>
  </si>
  <si>
    <t>Polgárm. Hiv. összesen:</t>
  </si>
  <si>
    <t>HELYI ÖNKORMÁNYZAT ÉS INTÉZMÉNYEI ÖSSZESEN: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</si>
  <si>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</si>
  <si>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</si>
  <si>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</si>
  <si>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</si>
  <si>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</si>
  <si>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</si>
  <si>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</si>
  <si>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</si>
  <si>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</si>
  <si>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</si>
  <si>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</si>
  <si>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</si>
  <si>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</si>
  <si>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</si>
  <si>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</si>
  <si>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</si>
  <si>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</si>
  <si>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</si>
  <si>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</si>
  <si>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</si>
  <si>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</si>
  <si>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</si>
  <si>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</si>
  <si>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</si>
  <si>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</si>
  <si>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</si>
  <si>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</si>
  <si>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</si>
  <si>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</si>
  <si>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</si>
  <si>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</si>
  <si>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</si>
  <si>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mutató    (8 hó)</t>
  </si>
  <si>
    <t>mutató   (4 hó)</t>
  </si>
  <si>
    <t>xxx</t>
  </si>
  <si>
    <t>I. Működési bevételek</t>
  </si>
  <si>
    <t>Szociális étkeztetés</t>
  </si>
  <si>
    <t>II. Felhalmozási bevételek</t>
  </si>
  <si>
    <t>I. Működési kiadások</t>
  </si>
  <si>
    <t>1. Személyi juttatások</t>
  </si>
  <si>
    <t>26</t>
  </si>
  <si>
    <t>Általános tartalék</t>
  </si>
  <si>
    <t>A települési önkormányzatok kulturális feladatainak támogatása</t>
  </si>
  <si>
    <t xml:space="preserve">fajlagos Ft </t>
  </si>
  <si>
    <t>Önkormányzati hivatal működésének támogatása</t>
  </si>
  <si>
    <t>II.</t>
  </si>
  <si>
    <t>I.</t>
  </si>
  <si>
    <t>II.1</t>
  </si>
  <si>
    <t>Óvodapedagógusok bértámogatása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</si>
  <si>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</si>
  <si>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</si>
  <si>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</si>
  <si>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</si>
  <si>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</si>
  <si>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</si>
  <si>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</si>
  <si>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</si>
  <si>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</si>
  <si>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</si>
  <si>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</si>
  <si>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</si>
  <si>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</si>
  <si>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</si>
  <si>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</si>
  <si>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</si>
  <si>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</si>
  <si>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</si>
  <si>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</si>
  <si>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</si>
  <si>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</si>
  <si>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</si>
  <si>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</si>
  <si>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</si>
  <si>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</si>
  <si>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</si>
  <si>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</si>
  <si>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</si>
  <si>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</si>
  <si>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</si>
  <si>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</si>
  <si>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</si>
  <si>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</si>
  <si>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</si>
  <si>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</si>
  <si>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</si>
  <si>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</si>
  <si>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</si>
  <si>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</si>
  <si>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</si>
  <si>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</si>
  <si>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</si>
  <si>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Ügyeleti ellátáshoz önkormányzatoktól átvett pénzeszk.</t>
  </si>
  <si>
    <t>Család- és nővédelmi eü. gondozáshoz OEP-finanszírozás</t>
  </si>
  <si>
    <t>Tűzoltóság BM támogatása</t>
  </si>
  <si>
    <t>Továbbszámlázott szolg. bevételei</t>
  </si>
  <si>
    <t>Étkeztetéssel kapcsolatos térítési díj bevétel</t>
  </si>
  <si>
    <t>KÖZFOGLALKOZTATOTTAK LÉTSZÁMA ÖSSZESEN:</t>
  </si>
  <si>
    <t xml:space="preserve">A helyi önkormányzat és költségvetési szervei engedélyezett létszáma és a közfoglalkoztatottak létszáma 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</si>
  <si>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</si>
  <si>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</si>
  <si>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</si>
  <si>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</si>
  <si>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</si>
  <si>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</si>
  <si>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</si>
  <si>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</si>
  <si>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</si>
  <si>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</si>
  <si>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</si>
  <si>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</si>
  <si>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II.4</t>
  </si>
  <si>
    <t>Kiegészítő támogatás az óvodapedagógusok minősítéséből adódó többletkiadásokhoz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</si>
  <si>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</si>
  <si>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</si>
  <si>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</si>
  <si>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</si>
  <si>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</si>
  <si>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</si>
  <si>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3.4. Tulajdonosi bevételek</t>
  </si>
  <si>
    <t>082030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</si>
  <si>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</si>
  <si>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</si>
  <si>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</si>
  <si>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</si>
  <si>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</si>
  <si>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</si>
  <si>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</si>
  <si>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</si>
  <si>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</si>
  <si>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</si>
  <si>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</si>
  <si>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</si>
  <si>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</si>
  <si>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</si>
  <si>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</si>
  <si>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</si>
  <si>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</si>
  <si>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</si>
  <si>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</si>
  <si>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</si>
  <si>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</si>
  <si>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</si>
  <si>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</si>
  <si>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</si>
  <si>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</si>
  <si>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</si>
  <si>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</si>
  <si>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</si>
  <si>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</si>
  <si>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</si>
  <si>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</si>
  <si>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</si>
  <si>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</si>
  <si>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</si>
  <si>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</si>
  <si>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</si>
  <si>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</si>
  <si>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</si>
  <si>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</si>
  <si>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</si>
  <si>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</si>
  <si>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</si>
  <si>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</si>
  <si>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Gyermeklánc Óvoda és Egységes Óvoda-Bölcsőde, Család- és Gyermekjóléti Központ</t>
  </si>
  <si>
    <t>Család- és Gyermekjóléti Központ</t>
  </si>
  <si>
    <t>Pedagógus szakképzettséggel nem rendelkező, óvodapedagógusok nevelő munkáját közvetlenül segítők bértámogatása</t>
  </si>
  <si>
    <t xml:space="preserve">III.3.a </t>
  </si>
  <si>
    <t>Család- és gyermekjóléti szolgálat</t>
  </si>
  <si>
    <t>Család- és gyermekjóléti központ</t>
  </si>
  <si>
    <t>III.3.b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</si>
  <si>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</si>
  <si>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</si>
  <si>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</si>
  <si>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</si>
  <si>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</si>
  <si>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</si>
  <si>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</si>
  <si>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</si>
  <si>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</si>
  <si>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</si>
  <si>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</si>
  <si>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</si>
  <si>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</si>
  <si>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</si>
  <si>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</si>
  <si>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</si>
  <si>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Köztemetés (Szoc. tv. 48.§)</t>
  </si>
  <si>
    <t>települési támogatás (Szoc. tv. 45.§)</t>
  </si>
  <si>
    <t>Önkormányzati bérlakások felújítása</t>
  </si>
  <si>
    <t>098022</t>
  </si>
  <si>
    <t>Pedagógiai szakszolgáltató tevékenység működtetési feladatai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</si>
  <si>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</si>
  <si>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</si>
  <si>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</si>
  <si>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</si>
  <si>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</si>
  <si>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</si>
  <si>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Gyermekvédelmi pénzbeli és természetbeni ell. -(Erzsébet ut., kieg. gyerm.véd. tám. és pótléka)</t>
  </si>
  <si>
    <t>Gyvt. 40/A. §</t>
  </si>
  <si>
    <t xml:space="preserve">Gyvt. tv. 14.§ (3), 18.§ (1a), 20/A.§,20/B.§, 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</si>
  <si>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</si>
  <si>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</si>
  <si>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</si>
  <si>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 xml:space="preserve">- Óvónő </t>
  </si>
  <si>
    <t>- Pedagógiai asszisztens</t>
  </si>
  <si>
    <t xml:space="preserve">- Óvodai dajka </t>
  </si>
  <si>
    <t>- Óvodatitkár</t>
  </si>
  <si>
    <t>- Szakmai vezető</t>
  </si>
  <si>
    <t>- Családsegítő</t>
  </si>
  <si>
    <t xml:space="preserve">Nyitnikék Gyerekház </t>
  </si>
  <si>
    <t>- Polgármester</t>
  </si>
  <si>
    <t>- Főállású alpolgármester</t>
  </si>
  <si>
    <t>összeg  Ft</t>
  </si>
  <si>
    <t>II.3</t>
  </si>
  <si>
    <t>Társulás által fenntartott óvodákba bejáró gyermekek utaztatásának tám.</t>
  </si>
  <si>
    <t xml:space="preserve">II.4 a (1) </t>
  </si>
  <si>
    <t xml:space="preserve">II.4 a (2) </t>
  </si>
  <si>
    <t xml:space="preserve">Általános tartalék </t>
  </si>
  <si>
    <t>Általános tartalék (működési)</t>
  </si>
  <si>
    <t>adatok Ft-ban</t>
  </si>
  <si>
    <t>Telep. önk-ok szoc.,  gyermekjóléti és gyermekétk. feladatainak tám.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</si>
  <si>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</si>
  <si>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</si>
  <si>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</si>
  <si>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</si>
  <si>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Kerékpárút építése</t>
  </si>
  <si>
    <t>045120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</si>
  <si>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</si>
  <si>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</si>
  <si>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</si>
  <si>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</si>
  <si>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</si>
  <si>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</si>
  <si>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</si>
  <si>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</si>
  <si>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</si>
  <si>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</si>
  <si>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</si>
  <si>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</si>
  <si>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</si>
  <si>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</si>
  <si>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</si>
  <si>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</si>
  <si>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</si>
  <si>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</si>
  <si>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</si>
  <si>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</si>
  <si>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</si>
  <si>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</si>
  <si>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</si>
  <si>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</si>
  <si>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</si>
  <si>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</si>
  <si>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</si>
  <si>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</si>
  <si>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</si>
  <si>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</si>
  <si>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</si>
  <si>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</si>
  <si>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</si>
  <si>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</si>
  <si>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</si>
  <si>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</si>
  <si>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</si>
  <si>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</si>
  <si>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</si>
  <si>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</si>
  <si>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</si>
  <si>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</si>
  <si>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</si>
  <si>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</si>
  <si>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</si>
  <si>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</si>
  <si>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</si>
  <si>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</si>
  <si>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</si>
  <si>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</si>
  <si>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</si>
  <si>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</si>
  <si>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</si>
  <si>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Működési célú tartalék - Környezetvédelmi alap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</si>
  <si>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</si>
  <si>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</si>
  <si>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</si>
  <si>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</si>
  <si>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</si>
  <si>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</si>
  <si>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</si>
  <si>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</si>
  <si>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</si>
  <si>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</si>
  <si>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</si>
  <si>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</si>
  <si>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</si>
  <si>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</si>
  <si>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</si>
  <si>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</si>
  <si>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</si>
  <si>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</si>
  <si>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</si>
  <si>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Ttv. 2.§(2) Mötv. 13.§ (1) 12.</t>
  </si>
  <si>
    <t>Mötv. 13.§ (1) 2.</t>
  </si>
  <si>
    <t>Mötv. 13.§ (1) 11.</t>
  </si>
  <si>
    <t>Mötv. 13.§ (1) 19.</t>
  </si>
  <si>
    <t>Mötv. 13.§ (1) 5., 19.</t>
  </si>
  <si>
    <t>Mötv. 13.§ (1) 2., 11., 9., 12., 5.</t>
  </si>
  <si>
    <t xml:space="preserve">Mötv. 13.§ (1) 4.,  Eü tv. 5.§ (1) </t>
  </si>
  <si>
    <t>Mötv. 13.§ (1) 15.</t>
  </si>
  <si>
    <t>Mötv. 13.§ (1) 7., Közműv. tv. 64.§ (1)</t>
  </si>
  <si>
    <t>Mötv. 13.§ (1) 7., Közműv. tv. 73.§ (2)</t>
  </si>
  <si>
    <t>Szoc. tv. 86.§ (1) b,</t>
  </si>
  <si>
    <t>Mötv. 13.§ (1)13.</t>
  </si>
  <si>
    <t>Mötv. 13.§ (1) 13.</t>
  </si>
  <si>
    <t>Mötv. 13.§ (1) 6.</t>
  </si>
  <si>
    <t>Család- és nővédelmi egészségügyi gondozás (Védőnői Szolg.)</t>
  </si>
  <si>
    <t>3.8. Kamatbevételek</t>
  </si>
  <si>
    <t>3.9. Egyéb működési bevételek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</si>
  <si>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</si>
  <si>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</si>
  <si>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</si>
  <si>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</si>
  <si>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</si>
  <si>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</si>
  <si>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 xml:space="preserve">200/2016.(XII.15.) Kt. hat. Kiskunhalas - Jánoshalma - Mélykút kerékpárút Jánoshalma közigazgatási területét érintő szakaszának tervezési munkái - VIA Futura Mérnöki Tanácsadó és Szolgáltató Kft </t>
  </si>
  <si>
    <t>- Szakmai munkatárs</t>
  </si>
  <si>
    <t>RGYVK-hoz kapcs. természetbeni juttatás (Erzsébet utalvány) megtérítése</t>
  </si>
  <si>
    <t>Felhalmozási célú maradvány igénybevétele</t>
  </si>
  <si>
    <t>Készletértékesítés (búza, kukorica stb.)</t>
  </si>
  <si>
    <t>Naperőmű által termelt többlet energia értékesítésének bevétele</t>
  </si>
  <si>
    <t>Közvetített szolgáltatások értéke</t>
  </si>
  <si>
    <t>Kamatbevétel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</si>
  <si>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</si>
  <si>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</si>
  <si>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</si>
  <si>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Eü. Ágazat</t>
  </si>
  <si>
    <t>Családsegítő- és Gyermekjóléti Szolgálat, Családsegítő- és Gyermekjóléti Központ</t>
  </si>
  <si>
    <t>I.5.</t>
  </si>
  <si>
    <t>Polgármesteri illetmény támogatása</t>
  </si>
  <si>
    <t>II.1 (1)1,2</t>
  </si>
  <si>
    <t>II.1 (2)1,2</t>
  </si>
  <si>
    <t>Bölcsőde, minibölcsőde támogatása</t>
  </si>
  <si>
    <t>Felsőfokú végzettségű kisgyermeknevelők, szaktanácsadók bértámogatása</t>
  </si>
  <si>
    <t>Bölcsődei dajkák, középfokú végzettségű kisgyermeknevelők, szaktanácsadók bértámogatása</t>
  </si>
  <si>
    <t>Bölcsőde üzemeltetési támogatás</t>
  </si>
  <si>
    <t>Intézményi gyermekétkeztetés támogatása</t>
  </si>
  <si>
    <t>Étkeztetési feladatot ellátók után járó bértámogatás</t>
  </si>
  <si>
    <t>A rászoruló gyermekek szünidei étkeztetésének támogatása</t>
  </si>
  <si>
    <t xml:space="preserve">Jánoshalmi tagóvodák                          </t>
  </si>
  <si>
    <t>Gyermeklánc Óvoda és Bölcsőde, Család- és Gyermekjóléti Központ</t>
  </si>
  <si>
    <t>Bölcsődei csoport</t>
  </si>
  <si>
    <t>Felsőfokú végzettségű kisgyermeknevelő</t>
  </si>
  <si>
    <t>Középfokú végzettségű kisgyermeknevelő</t>
  </si>
  <si>
    <t>Bölcsődei dajka</t>
  </si>
  <si>
    <t>Gyermekház vezető</t>
  </si>
  <si>
    <t>Szakmai munkatárs</t>
  </si>
  <si>
    <t>- Esetmenedzser és tanácsadó</t>
  </si>
  <si>
    <t>- Esetmenedzser és tanácsadó (részfoglalk. napi 4 órában)</t>
  </si>
  <si>
    <t>- Szakmai vezető (részfoglalk. napi 4 órában)</t>
  </si>
  <si>
    <t>- MT hatálya alá tartozó munkavállaló</t>
  </si>
  <si>
    <t>Önkormányzati tisztségviselők</t>
  </si>
  <si>
    <t>Igazgatási tevékenység</t>
  </si>
  <si>
    <t>- Szociális segítő</t>
  </si>
  <si>
    <t>- Közfoglalkoztatási ügyintéző</t>
  </si>
  <si>
    <t>Gyermekétkeztetés</t>
  </si>
  <si>
    <t xml:space="preserve">- Könyvtáros                      </t>
  </si>
  <si>
    <t>- Művelődésszervező</t>
  </si>
  <si>
    <t>- Technikus</t>
  </si>
  <si>
    <t>- Adminisztrátor</t>
  </si>
  <si>
    <t>Bio- és megújuló energia felhasználás programelem</t>
  </si>
  <si>
    <t>Belterületi közutak karbantartása programelem</t>
  </si>
  <si>
    <t>Belvízelvezetés programelem</t>
  </si>
  <si>
    <t xml:space="preserve">5.1. Elvonások és befizetések </t>
  </si>
  <si>
    <t>Start-munka program - Téli közfoglalkoztatás</t>
  </si>
  <si>
    <t>Hosszabb időtartamú közfoglalkoztatás</t>
  </si>
  <si>
    <t>063020</t>
  </si>
  <si>
    <t>Víztermelés, -kezelés, -ellátás</t>
  </si>
  <si>
    <t>A gyermekek, fiatalok és családok életminőségét javító programok</t>
  </si>
  <si>
    <t>900090</t>
  </si>
  <si>
    <t>041232</t>
  </si>
  <si>
    <t>041233</t>
  </si>
  <si>
    <t>Óvodai étkeztetés</t>
  </si>
  <si>
    <t>Bölcsődei gyermek étkeztetés</t>
  </si>
  <si>
    <t>Közművelődés- hagyományos közösségi kult. értékek gondozása</t>
  </si>
  <si>
    <t>Mötv. 13.§ (1)12.</t>
  </si>
  <si>
    <t>Mötv. 13.§ (1)11,  21.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</si>
  <si>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</si>
  <si>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</si>
  <si>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</si>
  <si>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</si>
  <si>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Imre Z. Kult. K. és Könyvtár</t>
  </si>
  <si>
    <t>Állami kv-ből megtérülő kompenzáció, pótlékok</t>
  </si>
  <si>
    <t>Bölcsőde támogatása</t>
  </si>
  <si>
    <t>"Jánoshalmi Művésztelep energetikai felújítása" projekt támogatása (VP)</t>
  </si>
  <si>
    <t>Ellátási díjak (ált. isk. étkezés)</t>
  </si>
  <si>
    <t>EFOP-1.4.2-16 Integrált térs. gyermekpr. "Együtt könnyebb" támogatása</t>
  </si>
  <si>
    <t>Köztemetés kiadásának megtérítése</t>
  </si>
  <si>
    <t>Állami kv-ből megtérülő bérkompenzáció</t>
  </si>
  <si>
    <t>Könyvtári szolgáltatások ellenértéke</t>
  </si>
  <si>
    <t>Közművelődési szolgáltatások ellenértéke</t>
  </si>
  <si>
    <t>Állami kv-ből megtérülő kompenzáció</t>
  </si>
  <si>
    <t>Állami kv-ből megtérülő pótlékok</t>
  </si>
  <si>
    <t xml:space="preserve">Támogatási szerződés szerinti bevételek, kiadások  (Ft)     </t>
  </si>
  <si>
    <t>évenkénti üteme</t>
  </si>
  <si>
    <t>Saját erő</t>
  </si>
  <si>
    <t>EU-s és hazai forrás együtt</t>
  </si>
  <si>
    <t>Források összesen</t>
  </si>
  <si>
    <t>Beruházási kiadások (elszámolható)</t>
  </si>
  <si>
    <t>Dologi kiadások (elszámolható)</t>
  </si>
  <si>
    <t xml:space="preserve">Saját erő </t>
  </si>
  <si>
    <t>Bér+járulék kiadások (elszámolható)</t>
  </si>
  <si>
    <t>Iparterület fejlesztése Jánoshalmán (TOP-1.1.1-15-BK1-2016-00006)</t>
  </si>
  <si>
    <t>Beruházási kiadások (nem elszámolható)</t>
  </si>
  <si>
    <t>Felújítási kiadások (elszámolható)</t>
  </si>
  <si>
    <t>Felújítási kiadások (nem elszámolható)</t>
  </si>
  <si>
    <t>Gyermekvédelmi pénzbeli és természetbeni ellátások</t>
  </si>
  <si>
    <t>2.2. Termőföld bérbead.-ból szárm. jöv. utáni SZJA</t>
  </si>
  <si>
    <t>2.3. Belföldi gépjárművek adójának helyi önk-t megillető része</t>
  </si>
  <si>
    <t>2.4. Egyéb közhatalmi bevételek</t>
  </si>
  <si>
    <t>Polgármesteri Hivatal igazgatási tevékenysége</t>
  </si>
  <si>
    <t>Imre Zoltán Művelődési Központ és Könyvtár</t>
  </si>
  <si>
    <t>Imre Zoltán Művelődési Központ és Könyvtár összesen:</t>
  </si>
  <si>
    <t>Imre Z. Műv. K. és Könyvtár</t>
  </si>
  <si>
    <t>Anyakönyvi szolgáltatás díjbevétele</t>
  </si>
  <si>
    <t>Nyitnikék Gyerekház EMMI-fejezeti támogatása</t>
  </si>
  <si>
    <t>Gyermeklánc Óvoda és Bölcsőde, Család- és Gyermekjóléti Központ kiadásai összesen:</t>
  </si>
  <si>
    <t>- Gazdasági ügyintéző (térítési díjak beszedése, étkezők nyilvántartása)</t>
  </si>
  <si>
    <t>- Technikai dolgozók  (2 fő részfoglalk. napi 4 órában)</t>
  </si>
  <si>
    <t>Jánoshalma Városi Önkormányzat 2019. évi költségvetésében tervezett köponti költségvetési támogatások</t>
  </si>
  <si>
    <t>a Magyarország 2019. évi központi költségvetéséről szóló 2018. évi L. törvény 2. sz. mellékletének jogcímei szerint</t>
  </si>
  <si>
    <t>Településüzemeltetéshez kapcsolódó feladatellátás alaptámogatása</t>
  </si>
  <si>
    <t>A zöldterület-gazdálkodással kapcsolatos feladatok ellátásának alaptámogatása</t>
  </si>
  <si>
    <t>Közvilágítás fenntartásának alaptámogatása</t>
  </si>
  <si>
    <t>Köztemető-fenntartással kapcsolatos feladatok alaptámogatása</t>
  </si>
  <si>
    <t>Közutak fenntartásának alaptámogatása</t>
  </si>
  <si>
    <t>A költségvetési szerveknél foglalkoztatottak 2018. évi áthúzódó és 2019. évi kompenzációja</t>
  </si>
  <si>
    <t>Alapfokú végzettségű pedagógus II. kategóriába sorolt óvodapedagógusok kiegészítő támogatása, akik a minősítést 2018.01.01-ig szerezték meg</t>
  </si>
  <si>
    <t>Alapfokú végzettségű pedagógus II. kategóriába sorolt óvodapedagógusok kiegészítő támogatása, akik a minősítést a 2019. január 1-jei átsorolással szerezték meg</t>
  </si>
  <si>
    <t>Alapfokú végzettségű mesterpedagógus kategóriába sorolt óvodapedagógusok kiegészítő támogatása, akik a minősítést 2018.01.01-ig szerezték meg</t>
  </si>
  <si>
    <t>Alapfokú végzettségű mesterpedagógus kategóriába sorolt óvodapedagógusok kiegészítő támogatása, akik a minősítést a 2019. január 1-jei átsorolással szerezték meg</t>
  </si>
  <si>
    <t>Szociális ágazati összevont pótlék és egészségügyi kiegészítő pótlék</t>
  </si>
  <si>
    <t>III.5.aa</t>
  </si>
  <si>
    <t>III.5.ab</t>
  </si>
  <si>
    <t xml:space="preserve">III.6. </t>
  </si>
  <si>
    <t>III.6. a (1)</t>
  </si>
  <si>
    <t>III.6. a (2)</t>
  </si>
  <si>
    <t>III.6.b</t>
  </si>
  <si>
    <t>IV.3</t>
  </si>
  <si>
    <t>Kulturális illetménypótlék</t>
  </si>
  <si>
    <t>Egyéb önkormányzati feladatok támogatása (beszámítás után)</t>
  </si>
  <si>
    <t>III.3.n</t>
  </si>
  <si>
    <t>Óvodai és iskolai szociális segítő tevékenység támogatása</t>
  </si>
  <si>
    <t>Jánoshalma Városi Önkormányzat és költségvetési szervei 2019. évi költségvetésének bevételi előirányzatai</t>
  </si>
  <si>
    <t>Jánoshalma Városi Önkormányzat és költségvetési szervei 2019. évi költségvetésének kiadási előirányzatai</t>
  </si>
  <si>
    <t>Jánoshalma Város Önkormányzat 2019. évi költségvetése működési és felhalmozási célú bontásban</t>
  </si>
  <si>
    <t>Egyéb műk. c. támogatások államháztartáson belülre</t>
  </si>
  <si>
    <t>5.3. Egyéb műk. célú támogatások államh.-on belülre</t>
  </si>
  <si>
    <t>5.4. Egyéb műk. célú támogatások államh.-on kívülre</t>
  </si>
  <si>
    <t>5.5. Tartalékok</t>
  </si>
  <si>
    <t>Környezetvédelmi alap a 2019. évre tervezett talajterhelési díj bevételből</t>
  </si>
  <si>
    <t>A helyi önkormányzat által irányított költségvetési szervek 2019. évi költségvetési kiadásai feladatonként</t>
  </si>
  <si>
    <t>EFOP-3.9.2-16-2017-00057 "Járásokat összekötő humán kapacitások fejlesztése térségi szemléletben" projekt - 2 fő többletfeladat ellátása</t>
  </si>
  <si>
    <t xml:space="preserve">EFOP-3.3.2-16-2016-00284 "Kultúrával az oktatás színesítéséért" projekt </t>
  </si>
  <si>
    <t>Óvodai nevelés</t>
  </si>
  <si>
    <t xml:space="preserve">EFOP-3.2.9-16-2016-00044 "Segítsd, hogy segíthessen!" c. projekt </t>
  </si>
  <si>
    <t xml:space="preserve">EFOP-3.9.2-16-2017-00057 "Járásokat összekötő humán kapacitások fejlesztése térségi szemléletben" c. projekt </t>
  </si>
  <si>
    <t>EFOP-1.5.3-16-2017-00082 "Együtt vagyunk, otthon vagyunk és itt maradunk" c. projekt - 2 fő alkalmazása a Család- és Gyermekjóléti Szolgálatnál</t>
  </si>
  <si>
    <t>Jánoshalma Városi Önkormányzat  2019. évi költségvetési kiadásai feladatonként</t>
  </si>
  <si>
    <t>Műk. célú tám. ÁH-on belülre</t>
  </si>
  <si>
    <t>Szektorhoz nem köthető komplex gazdaságfejlesztési projektek</t>
  </si>
  <si>
    <t>Szennyvízcsatorna építése, fenntartása, üzemeltetése</t>
  </si>
  <si>
    <t>Környezetszennyezés csökkentésének igazgatása</t>
  </si>
  <si>
    <t>Településfejlesztési projektek és támogatásuk</t>
  </si>
  <si>
    <t>Üdülői szálláshely-szolgálttás és étkeztetés</t>
  </si>
  <si>
    <t>Közművelődés- közösségi és társadalmi részvétel fejlesztése</t>
  </si>
  <si>
    <t>Óvodai nevelés, ellátás működtetési feladatai</t>
  </si>
  <si>
    <t>Iskolarendszeren kívüli egyéb oktatás, képzés</t>
  </si>
  <si>
    <t>Idősek nappali ellátása</t>
  </si>
  <si>
    <t>Hajléktalanok átmeneti ellátása éjjeli menedékhelyen</t>
  </si>
  <si>
    <t>107013</t>
  </si>
  <si>
    <t>107015</t>
  </si>
  <si>
    <t>Hajléktalanok nappali ellátása - Nappali melegedő</t>
  </si>
  <si>
    <t>107052</t>
  </si>
  <si>
    <t>Házi segítségnyújtás</t>
  </si>
  <si>
    <t>107080</t>
  </si>
  <si>
    <t>Esélyegyenlőség elősegítését célzó tevékenységek és programok</t>
  </si>
  <si>
    <t>36</t>
  </si>
  <si>
    <t>37</t>
  </si>
  <si>
    <t>38</t>
  </si>
  <si>
    <t>39</t>
  </si>
  <si>
    <t>40</t>
  </si>
  <si>
    <t>41</t>
  </si>
  <si>
    <t>42</t>
  </si>
  <si>
    <t>43</t>
  </si>
  <si>
    <t>047450</t>
  </si>
  <si>
    <t>053010</t>
  </si>
  <si>
    <t>062020</t>
  </si>
  <si>
    <t>082061</t>
  </si>
  <si>
    <t>082091</t>
  </si>
  <si>
    <t>095020</t>
  </si>
  <si>
    <t>102031</t>
  </si>
  <si>
    <t>2019. évi felhalmozási kiadások feladatonként, felújítási kiadások célonként</t>
  </si>
  <si>
    <t>Q</t>
  </si>
  <si>
    <t>Polgármesteri Hivatal udvarán garázs kialakítás</t>
  </si>
  <si>
    <t>Polgármesteri Hivatal festése, ablakcsere</t>
  </si>
  <si>
    <t>Start-munka program -Téli közfoglalkoztatás - Hulladékgyűjtő konténer beszerzés</t>
  </si>
  <si>
    <t>Vízkárelhárítási terv</t>
  </si>
  <si>
    <t>Csatorna beruházáshoz kapcsolódó visszatérítés (háztartásoknak, vállalkozásoknak)</t>
  </si>
  <si>
    <t>TOP-3.2.1-16-BK1-2017-00059 "Jánoshalma Polgármesteri Hivatal energetikai rendszerek korszerűsítése" c. projekt kiadásai</t>
  </si>
  <si>
    <t>TOP-1.1.1-15-BK1-2016-00006 - "Iparterület fejlesztése Jánoshalmán" c. projekt kiadásai</t>
  </si>
  <si>
    <t>TOP-1.1.2-16-BK1 -2017-00005 "Jánoshalma térségi szerepének erősítése a mezőgazdaságban" c. projekt kiadásai</t>
  </si>
  <si>
    <t>TOP-1.1.3-16-BK1 -2017-00007  "Agrárlogisztikai központ építése Jánoshalmán c. projekt kiadásai</t>
  </si>
  <si>
    <t>TOP-2.1.3-16-BK1 -2017 - 00010  "Jánoshalma belvíz elvezetése I. ütem" c. projekt kiadásai</t>
  </si>
  <si>
    <t xml:space="preserve">120/2018.(VII.18.) Kt. hat. alapján  önerő maradvány - a Konyhafejlesztési VP 6-7.2.1-7.4.1.3-17 kódszámú pályázathoz </t>
  </si>
  <si>
    <t>224/2017.(XII.14) Kt. hat.  és 17/2018(I.25) Kt. határozatok alapján önerő maradvány a VP6-19.2.1-32-1-17  "Települések élhetőbbé tétele" c. pályázathoz (gépjármű tároló építése a Mélykúti u. 7. sz. alatt)</t>
  </si>
  <si>
    <t>TOP-2.1.2-16-BK1 - "Zöld tér felújítása Jánoshalmán" c. projekt kiadásai</t>
  </si>
  <si>
    <t>51/2016.(III.24.) Kt. hat. VP-6-7.4.1.1-16 "Jánoshalmi Művésztelep energetikai felújítása" projekt pályázati  önerő és támogatás kiadási maradványa</t>
  </si>
  <si>
    <t>Viziközművek fejlesztése a viziközművek 2019. évi bérleti díj bevételéből és a Viziközmű fejlesztési tartalékból</t>
  </si>
  <si>
    <t>Rendezési Terv ("Jánoshalma város településfejlesztési koncepció, új településrendezési eszközök elkészítése" Városökológia Bt.)</t>
  </si>
  <si>
    <t>Energiamegtakarítási intézkedési terv</t>
  </si>
  <si>
    <t>Jánoshalmi Művésztelep (Kossuth u. 5.sz.) - 2 db ágy, 2 db ruhás szekrény, 5 db asztal, 15 db szék beszerzése</t>
  </si>
  <si>
    <t>63/2018.(IV.26.) Kt. hat. Radnóti utcai óvoda energetikai felújítása (önerő és központi támogatás)</t>
  </si>
  <si>
    <t>EFOP-1.4.2-16-2016 - 00020  "Együtt a közösségeinkért" c. projekt kiadásai</t>
  </si>
  <si>
    <t>EFOP-1.5.3-16-2017-00082  "Együtt vagyunk, otthon vagyunk és itt maradunk" c. projekt kiadásai</t>
  </si>
  <si>
    <t>EFOP-1.5.3-16-2017-00082  "Együtt vagyunk, otthon vagyunk és itt maradunk" c. projekt felújítási kiadásai</t>
  </si>
  <si>
    <t>Számítógép, monitor, további eszközbeszerzések</t>
  </si>
  <si>
    <t>Hordozható mikrofon, kontroll hangfal, fénytechnika</t>
  </si>
  <si>
    <t>Óvodai nevelés beruházási kiadásai - Panda vírusírtó 10.000 Ft + Áfa /gép - (Jánoshalmi óvoda 9 gép, Nyitnikék Gyerekház 2 gép); óvodai ágyak 25 db; 1 db ágytároló szekrény; takarítógép</t>
  </si>
  <si>
    <t xml:space="preserve"> Család- és Gyermekjóléti Központ beruházási kiadásai - Panda vírusirtó; ventillátorok irodánként</t>
  </si>
  <si>
    <t xml:space="preserve"> Család- és Gyermekjóléti Szolgálat beruházási kiadásai - 3 fő részére íróasztal, szék és ventilátor az irodába; Panda vírusirtó 7 gépre</t>
  </si>
  <si>
    <t>EFOP-3.3.2-16-2016-00284  "Kultúrával az oktatás színesítéséért" c. projekt kiadásai</t>
  </si>
  <si>
    <t>Jánoshalma Városi Önkormányzat és költségvetési szerveinek 2019. évi költségvetési kiadásai kötelező-, önként vállalt-, és állami (államigazgatási) feladatok szerinti bontásban</t>
  </si>
  <si>
    <t>Mötv. 13.§ (1) 11. 21.</t>
  </si>
  <si>
    <t>Mötv. 13.§ (1) 1. 7. 9. 14.</t>
  </si>
  <si>
    <t>013320</t>
  </si>
  <si>
    <t>Köztemető-fenntartás és működtetés</t>
  </si>
  <si>
    <t>22. Egészségügyi ellátás</t>
  </si>
  <si>
    <t>44</t>
  </si>
  <si>
    <t>Üdülői szálláshely szolgáltatás és étkeztetés</t>
  </si>
  <si>
    <t>Közművelődés-közösségi és társadalmi részvétel fejlesztése</t>
  </si>
  <si>
    <t>Szoc. tv. 86.§ (1) d,</t>
  </si>
  <si>
    <t>Hajléktalanok átmeneti ellátása - éjjeli menedékhelyen</t>
  </si>
  <si>
    <t>Hajléktalanok nappali ellátása</t>
  </si>
  <si>
    <t>Mötv. 13.§ (1) 10.</t>
  </si>
  <si>
    <t>Szoc. tv. 86.§ (1) c,</t>
  </si>
  <si>
    <t>45</t>
  </si>
  <si>
    <t>46</t>
  </si>
  <si>
    <t xml:space="preserve">Óvodai nevelés, ellátás </t>
  </si>
  <si>
    <t>Jánoshalma Városi Önkormányzat  és költségvetési szerveinek 2019. évi költségvetési bevételei és  kiadásai kötelező-, önként vállalt-, és állami (államigazgatási) feladatok szerinti bontásban</t>
  </si>
  <si>
    <t>Intézményi gyermekétkeztetési feladatok támogatása (bölcsődei étkeztetés)</t>
  </si>
  <si>
    <t>Startmunka programok műk. c. támogatása</t>
  </si>
  <si>
    <t>Hosszabb időtartamú közfogl. műk. c.  tám.</t>
  </si>
  <si>
    <t>Startmunka programok felh. c. támogatása</t>
  </si>
  <si>
    <t>TOP-3.2.1.-16 Polg. Hiv. energetikai korsz. projekt, TOP-2.1.2-16 "Zöld tér felújítása projekt, TOP-2.1.3-16 "Jh. belvíz elvezetése I. ütem" c. projekt és VP 6-7.2.1-7.4.1.3-17  Konyhafejlesztési pályázat támogatása</t>
  </si>
  <si>
    <t>VP6-7.2.1-7.4.1.2-16 kódsz. önk-i utak karbantartásához gép beszerzés támogatása</t>
  </si>
  <si>
    <t>EFOP-3.3.2-16-2016-00284 "Kulturával az oktatás színesítéséért"pr.műk. c.támogatása</t>
  </si>
  <si>
    <t>EFOP-3.3.2-16-2016-00284 "Kulturával az oktatás színesítéséért"pr. felh. c.  támogatása</t>
  </si>
  <si>
    <t>A 2019. évi költségvetésben tervezett, EU-forrásból finanszírozott  támogatással megvalósuló projektek kiadásai, a helyi önkormányzat ilyen projektekhez történő hozzájárulásai</t>
  </si>
  <si>
    <t>Jánoshalma Városi Önkormányzat ASP központhoz való csatlakozása (KÖFOP-1.2.1-VEKOP-16-2017-00938)</t>
  </si>
  <si>
    <t>Integrált térségi gyermekprogramok  - "Együtt könnyebb" komplex prevenciós és társadalmi felzárkóztató program a gyermekszegénység ellen (EFOP-1.4.2-16-2016-00020)</t>
  </si>
  <si>
    <t>"Együtt vagyunk, otthon vagyunk és itt maradunk" c. projekt (EFOP-1.5.3-16-2017-00082)</t>
  </si>
  <si>
    <t xml:space="preserve">"Járásokat összekötő humán kapacitások fejlesztése térségi szemléletben" c. projekt (EFOP-3.9.2-16-2017-00057) </t>
  </si>
  <si>
    <t>Támogatás (elszámolható)</t>
  </si>
  <si>
    <t xml:space="preserve">"Kulturával az oktatás színesítéséért" c. projekt (EFOP-3.3.2-16-2016-00284) </t>
  </si>
  <si>
    <t>Jánoshalma térségi szerepének erősítése a mg-ban (TOP-1.1.2-16-BK1-2017-00005)</t>
  </si>
  <si>
    <t>Agrárlogisztikai központ építése Jánoshalmán (TOP-1.1.3-16-BK1-2017-00007)</t>
  </si>
  <si>
    <t>Zöld tér felújítása Jánoshalmán (TOP-2.1.2-16-BK1-2017-00003)</t>
  </si>
  <si>
    <t>Jánoshalma belvíz elvezetése I. ütem (TOP-2.1.3-16-BK1-2017-00010)</t>
  </si>
  <si>
    <t>Jánoshalma Polgármesteri Hivatal energetikai rendszerek korszerűsítése (TOP-3.2.1-16-BK1-2017-00059)</t>
  </si>
  <si>
    <t>Együtt a közösségeinkért (TOP-5.3.1-16-BK1-2017-00015) Hajós- Jánoshalma- Borota- Kéleshalom konzorciumban</t>
  </si>
  <si>
    <t>"Segítsd, hogy segíthessen!" c. projekt (EFOP-3.2.9-16-2016-00044)</t>
  </si>
  <si>
    <t>2019. évi költségvetésben tervezett 2018. évi maradvány igénybevétel</t>
  </si>
  <si>
    <t xml:space="preserve">2019. évi költségvetésben tervezett bevételi előirányzatok    </t>
  </si>
  <si>
    <t xml:space="preserve">2019. évi költségvetésben tervezett kiadási előirányzatok   </t>
  </si>
  <si>
    <t>"Közétkeztetés fejlesztése" (Vidékfejlesztési Program VP6-7.2.1-7.4.1.3-17)</t>
  </si>
  <si>
    <t>"A Jánoshalmi Művésztelep energetikai felújítása" (Vidékfejlesztési Program VP6-7.2.1-7.4.1.1-16)</t>
  </si>
  <si>
    <t>"Önkormányzati utak karbantartásához szükséges erő- és munkagépek beszerzése" (Vidékfejlesztési Program VP6-7.2.1-7.4.1.2-16)</t>
  </si>
  <si>
    <t>Bér+járulék kiadások (elszámolható) Polgármesteri Hivatalnál</t>
  </si>
  <si>
    <t>Bér+járulék kiadások (elszámolható) Gyermekjóléti Szolgálatnál</t>
  </si>
  <si>
    <t>EFOP-1.4.2-16-2016-00020 "Együtt könnyebb" komplex prevenciós és társadalmi felzárkóztató program a gyermekszegénység ellen (GYEP-II.)</t>
  </si>
  <si>
    <t>- Szakterületi koordinátor  / és Coach (1 fő napi 4 órában/ heti 20 órában)</t>
  </si>
  <si>
    <t>EFOP-1.5.3-16-2017-00082 "Együtt vagyunk, otthon vagyunk és itt maradunk" projekt</t>
  </si>
  <si>
    <t>Szakmai vezető</t>
  </si>
  <si>
    <t>Ifjúsági referens</t>
  </si>
  <si>
    <t>Közösségszervező</t>
  </si>
  <si>
    <t>Közösség szervező munkatárs</t>
  </si>
  <si>
    <t>TOP-5.3.1-16-BK1-2017-00015 "Együtt a közösségeinkért" projekt</t>
  </si>
  <si>
    <t>Közösségfejlesztő</t>
  </si>
  <si>
    <t>EFOP-3.9.2-16-2017-00057 "Járásokat összekötő humán kapacitások fejlesztése térségi szemléletben" projekt</t>
  </si>
  <si>
    <t>EFOP-3.3.2-16-2016-00284 "Kultúrával az oktatás színesítéséért" projekt</t>
  </si>
  <si>
    <t>Start-munka program - Téli közfoglalkoztatás (2018. évről áthúzódó programok 2019.02.28-ig)</t>
  </si>
  <si>
    <t>Illegális hulladéklerakó-helyek felszámolása programelem</t>
  </si>
  <si>
    <t>Hosszabb időtartamú közfoglalkoztatás (2018. évről áthúzódó programok 2019.02.28-ig)</t>
  </si>
  <si>
    <t xml:space="preserve">23 fő álláskereső közfoglalkoztatása </t>
  </si>
  <si>
    <t>Esélyegyenlőség elősegítését célzó tevékenységek és programok (EFOP-1.5.3-16-2017-00082 pr.)</t>
  </si>
  <si>
    <t>Család- és Gyermekjóléti Központ (EFOP 3.2.9-16-2016-00044 pr.)</t>
  </si>
  <si>
    <t>Iskolarendszeren kívüli egyéb oktatás, képzés (EFOP-3.9.2-16-2017-00057 pr.)</t>
  </si>
  <si>
    <t>A települési önkormányzatok szociális feladatainak egyéb támogatása</t>
  </si>
  <si>
    <t>- Iskolai és óvodai szoc. segítő tev.</t>
  </si>
  <si>
    <t>EFOP-3.2.9-16-2016-00044 "Segítsd hogy segíthessen" projekt</t>
  </si>
  <si>
    <t>Szociális segítő</t>
  </si>
  <si>
    <t>Szociális segítő (1 fő részm. napi 4 óra)</t>
  </si>
  <si>
    <t>Fejlesztő pedagógus</t>
  </si>
  <si>
    <t>Fejlesztő pedagógus (2 fő nap 4 órában)</t>
  </si>
  <si>
    <t>Kiegészítő fejlesztés zeneovi és angol (2 fő heti 2 és 1 órában)</t>
  </si>
  <si>
    <t>Gyógypedagógus (1 fő heti 10 órában)</t>
  </si>
  <si>
    <t>Szakmai koordinátor (1 fő heti 20 órában)</t>
  </si>
  <si>
    <t>Pénzügyi asszisztens (napi 4 óra)</t>
  </si>
  <si>
    <t>Nem elszámolható kiadásokra további önkormányzati forrás biztosítása</t>
  </si>
  <si>
    <t>Állami kv-ből megtérülő kompenzáció, pótlékok (Bölcsőde)</t>
  </si>
  <si>
    <t>- Önkormányzati EFOP-1.5.3-16-2017-00082 projekt 2 fő prevenciós munkatárs</t>
  </si>
  <si>
    <t>- Pénzügyi vezető (részm. napi 4 órában)</t>
  </si>
  <si>
    <t>- Projektmenedzser (részm. napi 4 órában)</t>
  </si>
  <si>
    <t xml:space="preserve">- Szakterületi koordinátor </t>
  </si>
  <si>
    <t>- Szakmai asszisztens (2 fő, ebből 1 fő napi 4 órában)</t>
  </si>
  <si>
    <t>mentor vezető (részm. napi 4 órában)</t>
  </si>
  <si>
    <t>mentor (10 fő részm. napi 2 órában)</t>
  </si>
  <si>
    <t>Angol nyelvtanár (2 fő részm. napi 1 órában)</t>
  </si>
  <si>
    <t>Mentor  (4 fő részm. napi 1 órában)</t>
  </si>
  <si>
    <t xml:space="preserve">20 fő álláskereső közfoglalkoztatása </t>
  </si>
  <si>
    <t>Gyermeklánc Óvoda és Bölcsőde, Család- és Gyermekjóléti Központ  összesen:</t>
  </si>
  <si>
    <t>Működési célú tartalék - elektronikus közbeszerzés rendszerhasználati díja</t>
  </si>
  <si>
    <t>Céltartalék -elektr. közbesz. rendszer- haszn. díja</t>
  </si>
  <si>
    <t xml:space="preserve">16/2019.(I.24.) Kt. hat. alapján további 1 millió Ft-os keret a VP 6-7.2.1-7.4.1.3-17 kódszámú "Közétkeztetés fejlesztése" pályázat megvalósítása során felmerült plusz kiadásokhoz </t>
  </si>
  <si>
    <t>Elektronikus közbeszerzési eljárás során fizetendő rendszerhasználati díj (amennyiben a TOP-projektekben nem elszámolható ktg.)</t>
  </si>
  <si>
    <t>Imre Zoltán Művelődési Központ és Könyvtár kiadásai össz.:</t>
  </si>
  <si>
    <t>Pály. tám. kiegyenlítő bérrendezési alapból</t>
  </si>
  <si>
    <t>1. melléklet a 2/2019.(II.18.) önkormányzati rendelethez</t>
  </si>
  <si>
    <t>2. melléklet a 2/2019.(II.18.) önkormányzati rendelethez</t>
  </si>
  <si>
    <t>3. melléklet a 2/2019.(II.18.) önkormányzati rendelethez</t>
  </si>
  <si>
    <t>4. melléklet a 2/2019.(II.18.) önkormányzati rendelethez</t>
  </si>
  <si>
    <t>5. melléklet a 2/2019.(II.18.) önkormányzati rendelethez</t>
  </si>
  <si>
    <t>6. melléklet a 2/2019.(II.18.) önkormányzati rendelethez</t>
  </si>
  <si>
    <t>7. melléklet a 2/2019.(II.18.) önkormányzati rendelethez</t>
  </si>
  <si>
    <t>8. melléklet a 2/2019. (II.18.) önkormányzati rendelethez</t>
  </si>
  <si>
    <t>9. melléklet a 2/2019.(II.18.) önkormányzati rendelethez</t>
  </si>
  <si>
    <t>10. melléklet a 2/2019.(II.18.) önkormányzati rendelethez</t>
  </si>
  <si>
    <t>11. melléklet a 2/2019. (II.18.) önkormányzati rendelethez</t>
  </si>
  <si>
    <t>12. melléklet a 2/2019. (II.18.) önkormányzati rendelethez</t>
  </si>
  <si>
    <t>utak használata ellenében beszedett használati díj, pótdíj, elektr. útdíj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</si>
</sst>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  <numFmt numFmtId="167" formatCode="#,##0.0\ _F_t"/>
    <numFmt numFmtId="168" formatCode="#,##0\ _F_t"/>
    <numFmt numFmtId="169" formatCode="#,##0.0"/>
    <numFmt numFmtId="170" formatCode="yyyy/\ mmmm\ d\."/>
    <numFmt numFmtId="171" formatCode="mmm/yyyy"/>
    <numFmt numFmtId="172" formatCode="[$-40E]yyyy\.\ mmmm\ d\."/>
    <numFmt numFmtId="173" formatCode="&quot;H-&quot;0000"/>
    <numFmt numFmtId="174" formatCode="0.0000"/>
    <numFmt numFmtId="175" formatCode="#,##0.0000"/>
    <numFmt numFmtId="176" formatCode="#,##0.0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\ [$CHF]"/>
    <numFmt numFmtId="181" formatCode="#,##0.00\ &quot;Ft&quot;"/>
    <numFmt numFmtId="182" formatCode="#,##0_ ;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[$€-2]\ #\ ##,000_);[Red]\([$€-2]\ #\ ##,000\)"/>
    <numFmt numFmtId="187" formatCode="#,##0\ [$CHF]"/>
    <numFmt numFmtId="188" formatCode="0.0000000%"/>
    <numFmt numFmtId="189" formatCode="0.000000%"/>
    <numFmt numFmtId="190" formatCode="[$¥€-2]\ #\ ##,000_);[Red]\([$€-2]\ #\ ##,000\)"/>
  </numFmts>
  <fonts count="11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b/>
      <sz val="9"/>
      <name val="Times New Roman CE"/>
      <family val="1"/>
    </font>
    <font>
      <sz val="9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8"/>
      <name val="Arial CE"/>
      <family val="0"/>
    </font>
    <font>
      <b/>
      <sz val="13"/>
      <name val="Arial CE"/>
      <family val="2"/>
    </font>
    <font>
      <b/>
      <sz val="13"/>
      <name val="Arial"/>
      <family val="2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8"/>
      <color indexed="4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8"/>
      <color rgb="FF00B0F0"/>
      <name val="Times New Roman"/>
      <family val="1"/>
    </font>
    <font>
      <b/>
      <sz val="10"/>
      <color rgb="FF0070C0"/>
      <name val="Times New Roman"/>
      <family val="1"/>
    </font>
    <font>
      <b/>
      <sz val="12"/>
      <color rgb="FF0070C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medium"/>
      <top style="thick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/>
      <right style="medium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 style="medium"/>
      <right>
        <color indexed="63"/>
      </right>
      <top style="thick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3" fillId="19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0" fillId="21" borderId="7" applyNumberFormat="0" applyFont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101" fillId="28" borderId="0" applyNumberFormat="0" applyBorder="0" applyAlignment="0" applyProtection="0"/>
    <xf numFmtId="0" fontId="102" fillId="29" borderId="8" applyNumberFormat="0" applyAlignment="0" applyProtection="0"/>
    <xf numFmtId="0" fontId="1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0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0" borderId="0" applyNumberFormat="0" applyBorder="0" applyAlignment="0" applyProtection="0"/>
    <xf numFmtId="0" fontId="106" fillId="31" borderId="0" applyNumberFormat="0" applyBorder="0" applyAlignment="0" applyProtection="0"/>
    <xf numFmtId="0" fontId="107" fillId="29" borderId="1" applyNumberFormat="0" applyAlignment="0" applyProtection="0"/>
    <xf numFmtId="9" fontId="0" fillId="0" borderId="0" applyFont="0" applyFill="0" applyBorder="0" applyAlignment="0" applyProtection="0"/>
  </cellStyleXfs>
  <cellXfs count="132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1" fillId="0" borderId="23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49" fontId="14" fillId="0" borderId="22" xfId="61" applyNumberFormat="1" applyBorder="1" applyAlignment="1">
      <alignment vertical="center"/>
      <protection/>
    </xf>
    <xf numFmtId="3" fontId="14" fillId="0" borderId="0" xfId="61" applyNumberFormat="1">
      <alignment/>
      <protection/>
    </xf>
    <xf numFmtId="0" fontId="14" fillId="0" borderId="0" xfId="61">
      <alignment/>
      <protection/>
    </xf>
    <xf numFmtId="3" fontId="2" fillId="0" borderId="0" xfId="61" applyNumberFormat="1" applyFont="1">
      <alignment/>
      <protection/>
    </xf>
    <xf numFmtId="3" fontId="1" fillId="0" borderId="0" xfId="61" applyNumberFormat="1" applyFont="1">
      <alignment/>
      <protection/>
    </xf>
    <xf numFmtId="0" fontId="2" fillId="0" borderId="0" xfId="61" applyFont="1">
      <alignment/>
      <protection/>
    </xf>
    <xf numFmtId="49" fontId="14" fillId="0" borderId="0" xfId="61" applyNumberFormat="1">
      <alignment/>
      <protection/>
    </xf>
    <xf numFmtId="0" fontId="29" fillId="0" borderId="0" xfId="0" applyFont="1" applyFill="1" applyAlignment="1">
      <alignment vertical="center"/>
    </xf>
    <xf numFmtId="0" fontId="17" fillId="0" borderId="0" xfId="57" applyFont="1">
      <alignment/>
      <protection/>
    </xf>
    <xf numFmtId="0" fontId="16" fillId="0" borderId="0" xfId="57" applyFont="1" applyAlignment="1">
      <alignment vertical="center"/>
      <protection/>
    </xf>
    <xf numFmtId="0" fontId="18" fillId="0" borderId="22" xfId="57" applyFont="1" applyBorder="1" applyAlignment="1">
      <alignment horizontal="center" vertical="center" wrapText="1"/>
      <protection/>
    </xf>
    <xf numFmtId="0" fontId="20" fillId="0" borderId="22" xfId="57" applyFont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0" xfId="57" applyFont="1">
      <alignment/>
      <protection/>
    </xf>
    <xf numFmtId="0" fontId="19" fillId="0" borderId="22" xfId="57" applyFont="1" applyBorder="1">
      <alignment/>
      <protection/>
    </xf>
    <xf numFmtId="0" fontId="19" fillId="0" borderId="0" xfId="57" applyFont="1">
      <alignment/>
      <protection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0" fontId="23" fillId="0" borderId="22" xfId="57" applyFont="1" applyBorder="1">
      <alignment/>
      <protection/>
    </xf>
    <xf numFmtId="0" fontId="25" fillId="0" borderId="0" xfId="57" applyFont="1">
      <alignment/>
      <protection/>
    </xf>
    <xf numFmtId="0" fontId="19" fillId="0" borderId="0" xfId="57" applyFont="1" applyBorder="1">
      <alignment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23" fillId="0" borderId="22" xfId="57" applyFont="1" applyBorder="1" applyAlignment="1">
      <alignment horizontal="left" vertical="center" indent="2"/>
      <protection/>
    </xf>
    <xf numFmtId="16" fontId="23" fillId="0" borderId="22" xfId="57" applyNumberFormat="1" applyFont="1" applyBorder="1" applyAlignment="1">
      <alignment horizontal="left" vertical="center" indent="2"/>
      <protection/>
    </xf>
    <xf numFmtId="0" fontId="23" fillId="0" borderId="22" xfId="57" applyFont="1" applyBorder="1" applyAlignment="1">
      <alignment horizontal="left" indent="2"/>
      <protection/>
    </xf>
    <xf numFmtId="3" fontId="20" fillId="0" borderId="22" xfId="42" applyNumberFormat="1" applyFont="1" applyBorder="1" applyAlignment="1">
      <alignment horizontal="right"/>
    </xf>
    <xf numFmtId="3" fontId="19" fillId="0" borderId="22" xfId="42" applyNumberFormat="1" applyFont="1" applyBorder="1" applyAlignment="1">
      <alignment horizontal="right"/>
    </xf>
    <xf numFmtId="3" fontId="23" fillId="0" borderId="22" xfId="42" applyNumberFormat="1" applyFont="1" applyBorder="1" applyAlignment="1">
      <alignment horizontal="right"/>
    </xf>
    <xf numFmtId="0" fontId="30" fillId="0" borderId="22" xfId="57" applyFont="1" applyBorder="1" applyAlignment="1">
      <alignment horizontal="left" vertical="center" wrapText="1"/>
      <protection/>
    </xf>
    <xf numFmtId="0" fontId="30" fillId="0" borderId="0" xfId="57" applyFont="1" applyAlignment="1">
      <alignment horizontal="center" vertical="center" wrapText="1"/>
      <protection/>
    </xf>
    <xf numFmtId="3" fontId="30" fillId="0" borderId="22" xfId="42" applyNumberFormat="1" applyFont="1" applyBorder="1" applyAlignment="1">
      <alignment horizontal="right"/>
    </xf>
    <xf numFmtId="0" fontId="30" fillId="0" borderId="22" xfId="57" applyFont="1" applyBorder="1">
      <alignment/>
      <protection/>
    </xf>
    <xf numFmtId="0" fontId="31" fillId="0" borderId="0" xfId="57" applyFont="1">
      <alignment/>
      <protection/>
    </xf>
    <xf numFmtId="0" fontId="32" fillId="0" borderId="22" xfId="57" applyFont="1" applyBorder="1" applyAlignment="1">
      <alignment horizontal="right"/>
      <protection/>
    </xf>
    <xf numFmtId="0" fontId="33" fillId="0" borderId="0" xfId="57" applyFont="1">
      <alignment/>
      <protection/>
    </xf>
    <xf numFmtId="0" fontId="34" fillId="0" borderId="22" xfId="57" applyFont="1" applyBorder="1" applyAlignment="1">
      <alignment vertical="center"/>
      <protection/>
    </xf>
    <xf numFmtId="3" fontId="34" fillId="0" borderId="22" xfId="42" applyNumberFormat="1" applyFont="1" applyBorder="1" applyAlignment="1">
      <alignment horizontal="right"/>
    </xf>
    <xf numFmtId="0" fontId="34" fillId="0" borderId="22" xfId="57" applyFont="1" applyBorder="1">
      <alignment/>
      <protection/>
    </xf>
    <xf numFmtId="0" fontId="34" fillId="0" borderId="0" xfId="57" applyFont="1">
      <alignment/>
      <protection/>
    </xf>
    <xf numFmtId="0" fontId="34" fillId="0" borderId="22" xfId="57" applyFont="1" applyBorder="1" applyAlignment="1">
      <alignment vertical="center" wrapText="1"/>
      <protection/>
    </xf>
    <xf numFmtId="0" fontId="34" fillId="0" borderId="22" xfId="57" applyFont="1" applyBorder="1" applyAlignment="1">
      <alignment horizontal="left" vertical="center"/>
      <protection/>
    </xf>
    <xf numFmtId="0" fontId="35" fillId="0" borderId="0" xfId="57" applyFont="1">
      <alignment/>
      <protection/>
    </xf>
    <xf numFmtId="0" fontId="34" fillId="0" borderId="22" xfId="57" applyFont="1" applyBorder="1" applyAlignment="1">
      <alignment horizontal="left" vertical="center" wrapText="1"/>
      <protection/>
    </xf>
    <xf numFmtId="0" fontId="36" fillId="0" borderId="0" xfId="57" applyFont="1">
      <alignment/>
      <protection/>
    </xf>
    <xf numFmtId="0" fontId="20" fillId="0" borderId="22" xfId="57" applyFont="1" applyBorder="1" applyAlignment="1">
      <alignment horizontal="left" vertical="center" indent="1"/>
      <protection/>
    </xf>
    <xf numFmtId="0" fontId="20" fillId="0" borderId="22" xfId="57" applyFont="1" applyBorder="1" applyAlignment="1">
      <alignment horizontal="left" indent="1"/>
      <protection/>
    </xf>
    <xf numFmtId="3" fontId="37" fillId="0" borderId="22" xfId="57" applyNumberFormat="1" applyFont="1" applyBorder="1" applyAlignment="1">
      <alignment horizontal="right" vertical="center"/>
      <protection/>
    </xf>
    <xf numFmtId="0" fontId="30" fillId="0" borderId="22" xfId="57" applyFont="1" applyBorder="1" applyAlignment="1">
      <alignment vertical="top"/>
      <protection/>
    </xf>
    <xf numFmtId="3" fontId="37" fillId="0" borderId="22" xfId="42" applyNumberFormat="1" applyFont="1" applyBorder="1" applyAlignment="1">
      <alignment horizontal="right"/>
    </xf>
    <xf numFmtId="0" fontId="20" fillId="0" borderId="22" xfId="57" applyFont="1" applyBorder="1" applyAlignment="1">
      <alignment horizontal="left" vertical="top" indent="1"/>
      <protection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17" fillId="0" borderId="22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right" vertical="center"/>
    </xf>
    <xf numFmtId="3" fontId="17" fillId="0" borderId="22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21" fillId="0" borderId="22" xfId="57" applyFont="1" applyBorder="1" applyAlignment="1">
      <alignment horizontal="center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horizontal="center"/>
      <protection/>
    </xf>
    <xf numFmtId="0" fontId="21" fillId="0" borderId="22" xfId="57" applyFont="1" applyBorder="1" applyAlignment="1">
      <alignment horizont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3" fillId="0" borderId="14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22" fillId="0" borderId="22" xfId="0" applyFont="1" applyBorder="1" applyAlignment="1">
      <alignment horizontal="center"/>
    </xf>
    <xf numFmtId="0" fontId="22" fillId="32" borderId="22" xfId="0" applyFont="1" applyFill="1" applyBorder="1" applyAlignment="1">
      <alignment/>
    </xf>
    <xf numFmtId="0" fontId="27" fillId="0" borderId="22" xfId="0" applyFont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/>
    </xf>
    <xf numFmtId="0" fontId="14" fillId="0" borderId="22" xfId="61" applyFont="1" applyBorder="1">
      <alignment/>
      <protection/>
    </xf>
    <xf numFmtId="0" fontId="14" fillId="0" borderId="14" xfId="61" applyFont="1" applyBorder="1">
      <alignment/>
      <protection/>
    </xf>
    <xf numFmtId="49" fontId="22" fillId="0" borderId="22" xfId="61" applyNumberFormat="1" applyFont="1" applyBorder="1" applyAlignment="1">
      <alignment vertical="center"/>
      <protection/>
    </xf>
    <xf numFmtId="0" fontId="22" fillId="0" borderId="22" xfId="61" applyFont="1" applyBorder="1">
      <alignment/>
      <protection/>
    </xf>
    <xf numFmtId="0" fontId="22" fillId="0" borderId="14" xfId="61" applyFont="1" applyBorder="1" applyAlignment="1">
      <alignment wrapText="1"/>
      <protection/>
    </xf>
    <xf numFmtId="3" fontId="22" fillId="0" borderId="0" xfId="61" applyNumberFormat="1" applyFont="1">
      <alignment/>
      <protection/>
    </xf>
    <xf numFmtId="0" fontId="22" fillId="0" borderId="0" xfId="61" applyFont="1">
      <alignment/>
      <protection/>
    </xf>
    <xf numFmtId="0" fontId="22" fillId="0" borderId="14" xfId="61" applyFont="1" applyBorder="1">
      <alignment/>
      <protection/>
    </xf>
    <xf numFmtId="3" fontId="22" fillId="0" borderId="0" xfId="61" applyNumberFormat="1" applyFont="1" applyAlignment="1">
      <alignment vertical="center"/>
      <protection/>
    </xf>
    <xf numFmtId="0" fontId="22" fillId="0" borderId="0" xfId="61" applyFont="1" applyAlignment="1">
      <alignment vertical="center"/>
      <protection/>
    </xf>
    <xf numFmtId="49" fontId="22" fillId="0" borderId="22" xfId="61" applyNumberFormat="1" applyFont="1" applyBorder="1" applyAlignment="1">
      <alignment horizontal="center" vertical="center"/>
      <protection/>
    </xf>
    <xf numFmtId="49" fontId="22" fillId="33" borderId="22" xfId="61" applyNumberFormat="1" applyFont="1" applyFill="1" applyBorder="1" applyAlignment="1">
      <alignment horizontal="center" vertical="center"/>
      <protection/>
    </xf>
    <xf numFmtId="0" fontId="22" fillId="33" borderId="22" xfId="61" applyFont="1" applyFill="1" applyBorder="1" applyAlignment="1">
      <alignment vertical="center"/>
      <protection/>
    </xf>
    <xf numFmtId="0" fontId="22" fillId="33" borderId="14" xfId="61" applyFont="1" applyFill="1" applyBorder="1" applyAlignment="1">
      <alignment vertical="center" wrapText="1"/>
      <protection/>
    </xf>
    <xf numFmtId="3" fontId="22" fillId="33" borderId="21" xfId="61" applyNumberFormat="1" applyFont="1" applyFill="1" applyBorder="1" applyAlignment="1">
      <alignment vertical="center"/>
      <protection/>
    </xf>
    <xf numFmtId="3" fontId="22" fillId="33" borderId="22" xfId="61" applyNumberFormat="1" applyFont="1" applyFill="1" applyBorder="1" applyAlignment="1">
      <alignment vertical="center"/>
      <protection/>
    </xf>
    <xf numFmtId="3" fontId="22" fillId="33" borderId="23" xfId="61" applyNumberFormat="1" applyFont="1" applyFill="1" applyBorder="1" applyAlignment="1">
      <alignment vertical="center"/>
      <protection/>
    </xf>
    <xf numFmtId="3" fontId="22" fillId="33" borderId="17" xfId="61" applyNumberFormat="1" applyFont="1" applyFill="1" applyBorder="1" applyAlignment="1">
      <alignment vertical="center"/>
      <protection/>
    </xf>
    <xf numFmtId="0" fontId="14" fillId="33" borderId="22" xfId="61" applyFill="1" applyBorder="1">
      <alignment/>
      <protection/>
    </xf>
    <xf numFmtId="0" fontId="22" fillId="33" borderId="22" xfId="61" applyFont="1" applyFill="1" applyBorder="1">
      <alignment/>
      <protection/>
    </xf>
    <xf numFmtId="3" fontId="18" fillId="0" borderId="22" xfId="57" applyNumberFormat="1" applyFont="1" applyBorder="1" applyAlignment="1">
      <alignment vertical="center"/>
      <protection/>
    </xf>
    <xf numFmtId="0" fontId="22" fillId="32" borderId="2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22" fillId="0" borderId="21" xfId="0" applyFont="1" applyBorder="1" applyAlignment="1">
      <alignment horizontal="center"/>
    </xf>
    <xf numFmtId="0" fontId="27" fillId="0" borderId="21" xfId="0" applyFont="1" applyBorder="1" applyAlignment="1">
      <alignment wrapText="1"/>
    </xf>
    <xf numFmtId="0" fontId="22" fillId="32" borderId="21" xfId="0" applyFont="1" applyFill="1" applyBorder="1" applyAlignment="1">
      <alignment vertical="center" wrapText="1"/>
    </xf>
    <xf numFmtId="49" fontId="27" fillId="0" borderId="21" xfId="0" applyNumberFormat="1" applyFont="1" applyBorder="1" applyAlignment="1">
      <alignment/>
    </xf>
    <xf numFmtId="49" fontId="27" fillId="0" borderId="21" xfId="0" applyNumberFormat="1" applyFont="1" applyBorder="1" applyAlignment="1">
      <alignment wrapText="1"/>
    </xf>
    <xf numFmtId="0" fontId="22" fillId="0" borderId="21" xfId="0" applyFont="1" applyFill="1" applyBorder="1" applyAlignment="1">
      <alignment/>
    </xf>
    <xf numFmtId="49" fontId="28" fillId="0" borderId="21" xfId="0" applyNumberFormat="1" applyFont="1" applyBorder="1" applyAlignment="1">
      <alignment/>
    </xf>
    <xf numFmtId="0" fontId="22" fillId="5" borderId="21" xfId="0" applyFont="1" applyFill="1" applyBorder="1" applyAlignment="1">
      <alignment wrapText="1"/>
    </xf>
    <xf numFmtId="0" fontId="38" fillId="0" borderId="30" xfId="61" applyFont="1" applyBorder="1" applyAlignment="1">
      <alignment horizontal="center" vertical="center" wrapText="1"/>
      <protection/>
    </xf>
    <xf numFmtId="3" fontId="22" fillId="33" borderId="31" xfId="61" applyNumberFormat="1" applyFont="1" applyFill="1" applyBorder="1" applyAlignment="1">
      <alignment vertical="center"/>
      <protection/>
    </xf>
    <xf numFmtId="3" fontId="108" fillId="0" borderId="0" xfId="61" applyNumberFormat="1" applyFont="1">
      <alignment/>
      <protection/>
    </xf>
    <xf numFmtId="3" fontId="108" fillId="0" borderId="0" xfId="61" applyNumberFormat="1" applyFont="1" applyAlignment="1">
      <alignment vertical="center"/>
      <protection/>
    </xf>
    <xf numFmtId="0" fontId="42" fillId="0" borderId="0" xfId="0" applyFont="1" applyAlignment="1">
      <alignment/>
    </xf>
    <xf numFmtId="0" fontId="27" fillId="0" borderId="22" xfId="0" applyFont="1" applyFill="1" applyBorder="1" applyAlignment="1">
      <alignment/>
    </xf>
    <xf numFmtId="0" fontId="14" fillId="0" borderId="14" xfId="61" applyFont="1" applyBorder="1" applyAlignment="1">
      <alignment wrapText="1"/>
      <protection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32" borderId="21" xfId="0" applyFont="1" applyFill="1" applyBorder="1" applyAlignment="1">
      <alignment vertical="center"/>
    </xf>
    <xf numFmtId="49" fontId="14" fillId="34" borderId="21" xfId="0" applyNumberFormat="1" applyFont="1" applyFill="1" applyBorder="1" applyAlignment="1">
      <alignment vertical="center" wrapText="1"/>
    </xf>
    <xf numFmtId="0" fontId="14" fillId="34" borderId="22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27" fillId="0" borderId="0" xfId="0" applyFont="1" applyFill="1" applyAlignment="1">
      <alignment/>
    </xf>
    <xf numFmtId="49" fontId="27" fillId="0" borderId="21" xfId="0" applyNumberFormat="1" applyFont="1" applyBorder="1" applyAlignment="1">
      <alignment/>
    </xf>
    <xf numFmtId="0" fontId="22" fillId="0" borderId="0" xfId="0" applyFont="1" applyFill="1" applyAlignment="1">
      <alignment vertical="center"/>
    </xf>
    <xf numFmtId="3" fontId="14" fillId="0" borderId="0" xfId="61" applyNumberFormat="1" applyFont="1">
      <alignment/>
      <protection/>
    </xf>
    <xf numFmtId="0" fontId="14" fillId="0" borderId="0" xfId="61" applyAlignment="1">
      <alignment/>
      <protection/>
    </xf>
    <xf numFmtId="164" fontId="17" fillId="0" borderId="22" xfId="0" applyNumberFormat="1" applyFont="1" applyBorder="1" applyAlignment="1">
      <alignment vertical="center"/>
    </xf>
    <xf numFmtId="164" fontId="18" fillId="0" borderId="22" xfId="0" applyNumberFormat="1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3" fillId="0" borderId="22" xfId="58" applyFont="1" applyBorder="1">
      <alignment/>
      <protection/>
    </xf>
    <xf numFmtId="0" fontId="43" fillId="0" borderId="14" xfId="58" applyFont="1" applyBorder="1" applyAlignment="1">
      <alignment horizontal="left"/>
      <protection/>
    </xf>
    <xf numFmtId="0" fontId="43" fillId="0" borderId="17" xfId="58" applyFont="1" applyBorder="1" applyAlignment="1">
      <alignment horizontal="left"/>
      <protection/>
    </xf>
    <xf numFmtId="3" fontId="43" fillId="0" borderId="22" xfId="58" applyNumberFormat="1" applyFont="1" applyBorder="1">
      <alignment/>
      <protection/>
    </xf>
    <xf numFmtId="3" fontId="20" fillId="0" borderId="22" xfId="58" applyNumberFormat="1" applyFont="1" applyBorder="1">
      <alignment/>
      <protection/>
    </xf>
    <xf numFmtId="0" fontId="19" fillId="0" borderId="0" xfId="0" applyFont="1" applyAlignment="1">
      <alignment/>
    </xf>
    <xf numFmtId="0" fontId="44" fillId="0" borderId="22" xfId="58" applyFont="1" applyBorder="1">
      <alignment/>
      <protection/>
    </xf>
    <xf numFmtId="3" fontId="44" fillId="0" borderId="22" xfId="58" applyNumberFormat="1" applyFont="1" applyBorder="1">
      <alignment/>
      <protection/>
    </xf>
    <xf numFmtId="0" fontId="45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43" fillId="0" borderId="0" xfId="58" applyFont="1" applyFill="1" applyAlignment="1">
      <alignment horizontal="center" vertical="center"/>
      <protection/>
    </xf>
    <xf numFmtId="0" fontId="19" fillId="0" borderId="0" xfId="58" applyFont="1" applyFill="1" applyAlignment="1">
      <alignment vertical="center"/>
      <protection/>
    </xf>
    <xf numFmtId="0" fontId="21" fillId="0" borderId="22" xfId="0" applyFont="1" applyFill="1" applyBorder="1" applyAlignment="1">
      <alignment horizontal="center" vertical="center" wrapText="1"/>
    </xf>
    <xf numFmtId="0" fontId="21" fillId="0" borderId="22" xfId="58" applyFont="1" applyFill="1" applyBorder="1" applyAlignment="1">
      <alignment horizontal="center" vertical="center" wrapText="1"/>
      <protection/>
    </xf>
    <xf numFmtId="0" fontId="17" fillId="0" borderId="14" xfId="58" applyFont="1" applyFill="1" applyBorder="1" applyAlignment="1">
      <alignment horizontal="center" vertical="center" wrapText="1"/>
      <protection/>
    </xf>
    <xf numFmtId="0" fontId="17" fillId="0" borderId="22" xfId="58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20" fillId="0" borderId="22" xfId="58" applyFont="1" applyBorder="1">
      <alignment/>
      <protection/>
    </xf>
    <xf numFmtId="3" fontId="48" fillId="0" borderId="22" xfId="58" applyNumberFormat="1" applyFont="1" applyBorder="1">
      <alignment/>
      <protection/>
    </xf>
    <xf numFmtId="0" fontId="49" fillId="0" borderId="22" xfId="58" applyFont="1" applyBorder="1">
      <alignment/>
      <protection/>
    </xf>
    <xf numFmtId="0" fontId="49" fillId="0" borderId="22" xfId="58" applyFont="1" applyBorder="1" applyAlignment="1">
      <alignment horizontal="left"/>
      <protection/>
    </xf>
    <xf numFmtId="3" fontId="49" fillId="0" borderId="22" xfId="58" applyNumberFormat="1" applyFont="1" applyBorder="1">
      <alignment/>
      <protection/>
    </xf>
    <xf numFmtId="0" fontId="19" fillId="0" borderId="22" xfId="58" applyFont="1" applyBorder="1">
      <alignment/>
      <protection/>
    </xf>
    <xf numFmtId="0" fontId="49" fillId="0" borderId="22" xfId="58" applyFont="1" applyBorder="1" applyAlignment="1">
      <alignment horizontal="right"/>
      <protection/>
    </xf>
    <xf numFmtId="0" fontId="49" fillId="0" borderId="14" xfId="58" applyFont="1" applyBorder="1" applyAlignment="1">
      <alignment horizontal="left"/>
      <protection/>
    </xf>
    <xf numFmtId="0" fontId="49" fillId="0" borderId="17" xfId="58" applyFont="1" applyBorder="1" applyAlignment="1">
      <alignment horizontal="left"/>
      <protection/>
    </xf>
    <xf numFmtId="0" fontId="19" fillId="0" borderId="14" xfId="58" applyFont="1" applyBorder="1">
      <alignment/>
      <protection/>
    </xf>
    <xf numFmtId="0" fontId="19" fillId="0" borderId="0" xfId="58" applyFont="1">
      <alignment/>
      <protection/>
    </xf>
    <xf numFmtId="3" fontId="20" fillId="0" borderId="14" xfId="58" applyNumberFormat="1" applyFont="1" applyBorder="1">
      <alignment/>
      <protection/>
    </xf>
    <xf numFmtId="3" fontId="19" fillId="0" borderId="16" xfId="58" applyNumberFormat="1" applyFont="1" applyBorder="1">
      <alignment/>
      <protection/>
    </xf>
    <xf numFmtId="3" fontId="20" fillId="0" borderId="17" xfId="58" applyNumberFormat="1" applyFont="1" applyBorder="1">
      <alignment/>
      <protection/>
    </xf>
    <xf numFmtId="3" fontId="16" fillId="0" borderId="22" xfId="58" applyNumberFormat="1" applyFont="1" applyBorder="1">
      <alignment/>
      <protection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/>
    </xf>
    <xf numFmtId="3" fontId="50" fillId="0" borderId="22" xfId="0" applyNumberFormat="1" applyFont="1" applyBorder="1" applyAlignment="1">
      <alignment/>
    </xf>
    <xf numFmtId="0" fontId="51" fillId="0" borderId="0" xfId="0" applyFont="1" applyAlignment="1">
      <alignment/>
    </xf>
    <xf numFmtId="0" fontId="43" fillId="0" borderId="22" xfId="0" applyFont="1" applyBorder="1" applyAlignment="1">
      <alignment/>
    </xf>
    <xf numFmtId="3" fontId="43" fillId="0" borderId="22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44" fillId="0" borderId="22" xfId="0" applyFont="1" applyBorder="1" applyAlignment="1">
      <alignment/>
    </xf>
    <xf numFmtId="3" fontId="44" fillId="0" borderId="22" xfId="0" applyNumberFormat="1" applyFont="1" applyBorder="1" applyAlignment="1">
      <alignment/>
    </xf>
    <xf numFmtId="3" fontId="48" fillId="0" borderId="22" xfId="0" applyNumberFormat="1" applyFont="1" applyBorder="1" applyAlignment="1">
      <alignment/>
    </xf>
    <xf numFmtId="0" fontId="52" fillId="0" borderId="22" xfId="0" applyFont="1" applyBorder="1" applyAlignment="1">
      <alignment/>
    </xf>
    <xf numFmtId="0" fontId="19" fillId="0" borderId="2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22" xfId="0" applyFont="1" applyBorder="1" applyAlignment="1">
      <alignment horizontal="left"/>
    </xf>
    <xf numFmtId="3" fontId="49" fillId="0" borderId="22" xfId="0" applyNumberFormat="1" applyFont="1" applyBorder="1" applyAlignment="1">
      <alignment/>
    </xf>
    <xf numFmtId="3" fontId="53" fillId="0" borderId="22" xfId="0" applyNumberFormat="1" applyFont="1" applyBorder="1" applyAlignment="1">
      <alignment/>
    </xf>
    <xf numFmtId="0" fontId="49" fillId="0" borderId="22" xfId="0" applyFont="1" applyFill="1" applyBorder="1" applyAlignment="1">
      <alignment/>
    </xf>
    <xf numFmtId="0" fontId="49" fillId="0" borderId="22" xfId="0" applyFont="1" applyFill="1" applyBorder="1" applyAlignment="1">
      <alignment horizontal="left"/>
    </xf>
    <xf numFmtId="0" fontId="23" fillId="0" borderId="22" xfId="0" applyFont="1" applyBorder="1" applyAlignment="1">
      <alignment/>
    </xf>
    <xf numFmtId="0" fontId="49" fillId="0" borderId="22" xfId="0" applyFont="1" applyBorder="1" applyAlignment="1">
      <alignment horizontal="left" vertical="center" wrapText="1"/>
    </xf>
    <xf numFmtId="3" fontId="49" fillId="35" borderId="22" xfId="0" applyNumberFormat="1" applyFont="1" applyFill="1" applyBorder="1" applyAlignment="1">
      <alignment/>
    </xf>
    <xf numFmtId="0" fontId="49" fillId="0" borderId="22" xfId="0" applyFont="1" applyBorder="1" applyAlignment="1">
      <alignment horizontal="left" vertical="top"/>
    </xf>
    <xf numFmtId="0" fontId="49" fillId="0" borderId="22" xfId="0" applyFont="1" applyBorder="1" applyAlignment="1">
      <alignment horizontal="left" wrapText="1"/>
    </xf>
    <xf numFmtId="3" fontId="49" fillId="0" borderId="32" xfId="0" applyNumberFormat="1" applyFont="1" applyFill="1" applyBorder="1" applyAlignment="1">
      <alignment/>
    </xf>
    <xf numFmtId="0" fontId="54" fillId="0" borderId="22" xfId="0" applyFont="1" applyBorder="1" applyAlignment="1">
      <alignment/>
    </xf>
    <xf numFmtId="3" fontId="54" fillId="0" borderId="22" xfId="0" applyNumberFormat="1" applyFont="1" applyBorder="1" applyAlignment="1">
      <alignment/>
    </xf>
    <xf numFmtId="3" fontId="55" fillId="0" borderId="22" xfId="0" applyNumberFormat="1" applyFont="1" applyBorder="1" applyAlignment="1">
      <alignment/>
    </xf>
    <xf numFmtId="0" fontId="56" fillId="0" borderId="22" xfId="0" applyFont="1" applyBorder="1" applyAlignment="1">
      <alignment/>
    </xf>
    <xf numFmtId="0" fontId="56" fillId="0" borderId="22" xfId="0" applyFont="1" applyBorder="1" applyAlignment="1">
      <alignment horizontal="right"/>
    </xf>
    <xf numFmtId="3" fontId="56" fillId="0" borderId="22" xfId="0" applyNumberFormat="1" applyFont="1" applyBorder="1" applyAlignment="1">
      <alignment/>
    </xf>
    <xf numFmtId="3" fontId="57" fillId="0" borderId="22" xfId="0" applyNumberFormat="1" applyFont="1" applyBorder="1" applyAlignment="1">
      <alignment/>
    </xf>
    <xf numFmtId="0" fontId="23" fillId="0" borderId="0" xfId="0" applyFont="1" applyAlignment="1">
      <alignment/>
    </xf>
    <xf numFmtId="3" fontId="20" fillId="0" borderId="22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0" fontId="15" fillId="0" borderId="0" xfId="0" applyFont="1" applyAlignment="1">
      <alignment/>
    </xf>
    <xf numFmtId="0" fontId="58" fillId="0" borderId="22" xfId="58" applyFont="1" applyBorder="1" applyAlignment="1">
      <alignment horizontal="left"/>
      <protection/>
    </xf>
    <xf numFmtId="49" fontId="43" fillId="0" borderId="0" xfId="60" applyNumberFormat="1" applyFont="1" applyFill="1" applyAlignment="1">
      <alignment horizontal="center" vertical="center"/>
      <protection/>
    </xf>
    <xf numFmtId="0" fontId="43" fillId="0" borderId="0" xfId="60" applyFont="1" applyFill="1" applyAlignment="1">
      <alignment vertical="center"/>
      <protection/>
    </xf>
    <xf numFmtId="0" fontId="5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19" fillId="0" borderId="0" xfId="60" applyFont="1" applyAlignment="1">
      <alignment horizontal="left"/>
      <protection/>
    </xf>
    <xf numFmtId="0" fontId="20" fillId="0" borderId="0" xfId="60" applyFont="1" applyFill="1" applyAlignment="1">
      <alignment vertical="center"/>
      <protection/>
    </xf>
    <xf numFmtId="0" fontId="20" fillId="0" borderId="0" xfId="60" applyFont="1" applyFill="1" applyAlignment="1">
      <alignment horizontal="left" vertical="center"/>
      <protection/>
    </xf>
    <xf numFmtId="0" fontId="44" fillId="0" borderId="33" xfId="60" applyFont="1" applyFill="1" applyBorder="1" applyAlignment="1">
      <alignment horizontal="center" vertical="center"/>
      <protection/>
    </xf>
    <xf numFmtId="0" fontId="21" fillId="0" borderId="29" xfId="60" applyFont="1" applyFill="1" applyBorder="1" applyAlignment="1">
      <alignment horizontal="center" vertical="center" wrapText="1"/>
      <protection/>
    </xf>
    <xf numFmtId="0" fontId="21" fillId="0" borderId="18" xfId="60" applyFont="1" applyFill="1" applyBorder="1" applyAlignment="1">
      <alignment horizontal="center" vertical="center" wrapText="1"/>
      <protection/>
    </xf>
    <xf numFmtId="0" fontId="21" fillId="0" borderId="34" xfId="60" applyFont="1" applyFill="1" applyBorder="1" applyAlignment="1">
      <alignment horizontal="center" vertical="center" wrapText="1"/>
      <protection/>
    </xf>
    <xf numFmtId="0" fontId="21" fillId="0" borderId="20" xfId="60" applyFont="1" applyFill="1" applyBorder="1" applyAlignment="1">
      <alignment horizontal="center" vertical="center" wrapText="1"/>
      <protection/>
    </xf>
    <xf numFmtId="49" fontId="43" fillId="0" borderId="35" xfId="60" applyNumberFormat="1" applyFont="1" applyFill="1" applyBorder="1" applyAlignment="1">
      <alignment horizontal="center" vertical="center"/>
      <protection/>
    </xf>
    <xf numFmtId="0" fontId="21" fillId="0" borderId="36" xfId="60" applyFont="1" applyFill="1" applyBorder="1" applyAlignment="1">
      <alignment vertical="center" wrapText="1"/>
      <protection/>
    </xf>
    <xf numFmtId="3" fontId="44" fillId="0" borderId="10" xfId="60" applyNumberFormat="1" applyFont="1" applyFill="1" applyBorder="1" applyAlignment="1">
      <alignment vertical="center" wrapText="1"/>
      <protection/>
    </xf>
    <xf numFmtId="3" fontId="44" fillId="0" borderId="37" xfId="60" applyNumberFormat="1" applyFont="1" applyFill="1" applyBorder="1" applyAlignment="1">
      <alignment vertical="center" wrapText="1"/>
      <protection/>
    </xf>
    <xf numFmtId="3" fontId="44" fillId="0" borderId="38" xfId="60" applyNumberFormat="1" applyFont="1" applyFill="1" applyBorder="1" applyAlignment="1">
      <alignment vertical="center" wrapText="1"/>
      <protection/>
    </xf>
    <xf numFmtId="3" fontId="44" fillId="0" borderId="23" xfId="60" applyNumberFormat="1" applyFont="1" applyFill="1" applyBorder="1" applyAlignment="1">
      <alignment vertical="center" wrapText="1"/>
      <protection/>
    </xf>
    <xf numFmtId="3" fontId="44" fillId="0" borderId="39" xfId="60" applyNumberFormat="1" applyFont="1" applyFill="1" applyBorder="1" applyAlignment="1">
      <alignment vertical="center" wrapText="1"/>
      <protection/>
    </xf>
    <xf numFmtId="3" fontId="43" fillId="0" borderId="39" xfId="60" applyNumberFormat="1" applyFont="1" applyFill="1" applyBorder="1" applyAlignment="1">
      <alignment vertical="center"/>
      <protection/>
    </xf>
    <xf numFmtId="3" fontId="43" fillId="0" borderId="38" xfId="60" applyNumberFormat="1" applyFont="1" applyFill="1" applyBorder="1" applyAlignment="1">
      <alignment vertical="center"/>
      <protection/>
    </xf>
    <xf numFmtId="3" fontId="21" fillId="0" borderId="31" xfId="60" applyNumberFormat="1" applyFont="1" applyFill="1" applyBorder="1" applyAlignment="1">
      <alignment vertical="center"/>
      <protection/>
    </xf>
    <xf numFmtId="49" fontId="43" fillId="0" borderId="37" xfId="60" applyNumberFormat="1" applyFont="1" applyFill="1" applyBorder="1" applyAlignment="1">
      <alignment horizontal="center" vertical="center"/>
      <protection/>
    </xf>
    <xf numFmtId="3" fontId="44" fillId="0" borderId="40" xfId="60" applyNumberFormat="1" applyFont="1" applyFill="1" applyBorder="1" applyAlignment="1">
      <alignment vertical="center" wrapText="1"/>
      <protection/>
    </xf>
    <xf numFmtId="0" fontId="21" fillId="0" borderId="14" xfId="60" applyFont="1" applyFill="1" applyBorder="1" applyAlignment="1">
      <alignment vertical="center" wrapText="1"/>
      <protection/>
    </xf>
    <xf numFmtId="3" fontId="60" fillId="0" borderId="23" xfId="60" applyNumberFormat="1" applyFont="1" applyFill="1" applyBorder="1" applyAlignment="1">
      <alignment vertical="center"/>
      <protection/>
    </xf>
    <xf numFmtId="49" fontId="43" fillId="0" borderId="21" xfId="60" applyNumberFormat="1" applyFont="1" applyFill="1" applyBorder="1" applyAlignment="1">
      <alignment horizontal="center" vertical="center"/>
      <protection/>
    </xf>
    <xf numFmtId="3" fontId="44" fillId="0" borderId="21" xfId="60" applyNumberFormat="1" applyFont="1" applyFill="1" applyBorder="1" applyAlignment="1">
      <alignment vertical="center" wrapText="1"/>
      <protection/>
    </xf>
    <xf numFmtId="3" fontId="44" fillId="0" borderId="22" xfId="60" applyNumberFormat="1" applyFont="1" applyFill="1" applyBorder="1" applyAlignment="1">
      <alignment vertical="center" wrapText="1"/>
      <protection/>
    </xf>
    <xf numFmtId="3" fontId="44" fillId="0" borderId="17" xfId="60" applyNumberFormat="1" applyFont="1" applyFill="1" applyBorder="1" applyAlignment="1">
      <alignment vertical="center" wrapText="1"/>
      <protection/>
    </xf>
    <xf numFmtId="3" fontId="43" fillId="0" borderId="17" xfId="60" applyNumberFormat="1" applyFont="1" applyFill="1" applyBorder="1" applyAlignment="1">
      <alignment vertical="center"/>
      <protection/>
    </xf>
    <xf numFmtId="3" fontId="43" fillId="0" borderId="22" xfId="60" applyNumberFormat="1" applyFont="1" applyFill="1" applyBorder="1" applyAlignment="1">
      <alignment vertical="center"/>
      <protection/>
    </xf>
    <xf numFmtId="0" fontId="21" fillId="0" borderId="15" xfId="60" applyFont="1" applyFill="1" applyBorder="1" applyAlignment="1">
      <alignment vertical="center" wrapText="1"/>
      <protection/>
    </xf>
    <xf numFmtId="3" fontId="44" fillId="0" borderId="23" xfId="60" applyNumberFormat="1" applyFont="1" applyFill="1" applyBorder="1" applyAlignment="1">
      <alignment vertical="center"/>
      <protection/>
    </xf>
    <xf numFmtId="3" fontId="44" fillId="0" borderId="17" xfId="60" applyNumberFormat="1" applyFont="1" applyFill="1" applyBorder="1" applyAlignment="1">
      <alignment horizontal="right" vertical="center" wrapText="1"/>
      <protection/>
    </xf>
    <xf numFmtId="3" fontId="44" fillId="0" borderId="23" xfId="60" applyNumberFormat="1" applyFont="1" applyFill="1" applyBorder="1" applyAlignment="1">
      <alignment horizontal="left" vertical="center" wrapText="1"/>
      <protection/>
    </xf>
    <xf numFmtId="3" fontId="44" fillId="0" borderId="21" xfId="60" applyNumberFormat="1" applyFont="1" applyFill="1" applyBorder="1" applyAlignment="1">
      <alignment vertical="center"/>
      <protection/>
    </xf>
    <xf numFmtId="3" fontId="44" fillId="0" borderId="22" xfId="60" applyNumberFormat="1" applyFont="1" applyFill="1" applyBorder="1" applyAlignment="1">
      <alignment vertical="center"/>
      <protection/>
    </xf>
    <xf numFmtId="3" fontId="44" fillId="0" borderId="17" xfId="60" applyNumberFormat="1" applyFont="1" applyFill="1" applyBorder="1" applyAlignment="1">
      <alignment vertical="center"/>
      <protection/>
    </xf>
    <xf numFmtId="3" fontId="44" fillId="35" borderId="40" xfId="60" applyNumberFormat="1" applyFont="1" applyFill="1" applyBorder="1" applyAlignment="1">
      <alignment vertical="center" wrapText="1"/>
      <protection/>
    </xf>
    <xf numFmtId="0" fontId="21" fillId="0" borderId="14" xfId="60" applyFont="1" applyFill="1" applyBorder="1" applyAlignment="1">
      <alignment horizontal="left" vertical="center" wrapText="1"/>
      <protection/>
    </xf>
    <xf numFmtId="3" fontId="60" fillId="0" borderId="22" xfId="60" applyNumberFormat="1" applyFont="1" applyFill="1" applyBorder="1" applyAlignment="1">
      <alignment vertical="center"/>
      <protection/>
    </xf>
    <xf numFmtId="3" fontId="58" fillId="0" borderId="17" xfId="60" applyNumberFormat="1" applyFont="1" applyFill="1" applyBorder="1" applyAlignment="1">
      <alignment vertical="center"/>
      <protection/>
    </xf>
    <xf numFmtId="3" fontId="60" fillId="0" borderId="17" xfId="60" applyNumberFormat="1" applyFont="1" applyFill="1" applyBorder="1" applyAlignment="1">
      <alignment vertical="center"/>
      <protection/>
    </xf>
    <xf numFmtId="3" fontId="54" fillId="0" borderId="34" xfId="60" applyNumberFormat="1" applyFont="1" applyFill="1" applyBorder="1" applyAlignment="1">
      <alignment vertical="center"/>
      <protection/>
    </xf>
    <xf numFmtId="3" fontId="44" fillId="0" borderId="35" xfId="60" applyNumberFormat="1" applyFont="1" applyFill="1" applyBorder="1" applyAlignment="1">
      <alignment vertical="center" wrapText="1"/>
      <protection/>
    </xf>
    <xf numFmtId="3" fontId="44" fillId="0" borderId="36" xfId="60" applyNumberFormat="1" applyFont="1" applyFill="1" applyBorder="1" applyAlignment="1">
      <alignment vertical="center" wrapText="1"/>
      <protection/>
    </xf>
    <xf numFmtId="0" fontId="21" fillId="0" borderId="22" xfId="60" applyFont="1" applyFill="1" applyBorder="1" applyAlignment="1">
      <alignment vertical="center" wrapText="1"/>
      <protection/>
    </xf>
    <xf numFmtId="3" fontId="44" fillId="0" borderId="11" xfId="60" applyNumberFormat="1" applyFont="1" applyFill="1" applyBorder="1" applyAlignment="1">
      <alignment vertical="center" wrapText="1"/>
      <protection/>
    </xf>
    <xf numFmtId="3" fontId="24" fillId="0" borderId="41" xfId="60" applyNumberFormat="1" applyFont="1" applyFill="1" applyBorder="1" applyAlignment="1">
      <alignment vertical="center"/>
      <protection/>
    </xf>
    <xf numFmtId="3" fontId="24" fillId="0" borderId="42" xfId="60" applyNumberFormat="1" applyFont="1" applyFill="1" applyBorder="1" applyAlignment="1">
      <alignment vertical="center"/>
      <protection/>
    </xf>
    <xf numFmtId="3" fontId="44" fillId="0" borderId="43" xfId="60" applyNumberFormat="1" applyFont="1" applyFill="1" applyBorder="1" applyAlignment="1">
      <alignment vertical="center" wrapText="1"/>
      <protection/>
    </xf>
    <xf numFmtId="0" fontId="21" fillId="0" borderId="44" xfId="60" applyFont="1" applyFill="1" applyBorder="1" applyAlignment="1">
      <alignment vertical="center" wrapText="1"/>
      <protection/>
    </xf>
    <xf numFmtId="3" fontId="44" fillId="0" borderId="45" xfId="60" applyNumberFormat="1" applyFont="1" applyFill="1" applyBorder="1" applyAlignment="1">
      <alignment vertical="center" wrapText="1"/>
      <protection/>
    </xf>
    <xf numFmtId="3" fontId="44" fillId="0" borderId="44" xfId="60" applyNumberFormat="1" applyFont="1" applyFill="1" applyBorder="1" applyAlignment="1">
      <alignment vertical="center" wrapText="1"/>
      <protection/>
    </xf>
    <xf numFmtId="3" fontId="24" fillId="0" borderId="46" xfId="60" applyNumberFormat="1" applyFont="1" applyFill="1" applyBorder="1" applyAlignment="1">
      <alignment horizontal="right" vertical="center"/>
      <protection/>
    </xf>
    <xf numFmtId="3" fontId="61" fillId="0" borderId="26" xfId="60" applyNumberFormat="1" applyFont="1" applyFill="1" applyBorder="1" applyAlignment="1">
      <alignment vertical="center"/>
      <protection/>
    </xf>
    <xf numFmtId="3" fontId="61" fillId="0" borderId="33" xfId="60" applyNumberFormat="1" applyFont="1" applyFill="1" applyBorder="1" applyAlignment="1">
      <alignment vertical="center"/>
      <protection/>
    </xf>
    <xf numFmtId="3" fontId="61" fillId="0" borderId="42" xfId="60" applyNumberFormat="1" applyFont="1" applyFill="1" applyBorder="1" applyAlignment="1">
      <alignment vertical="center"/>
      <protection/>
    </xf>
    <xf numFmtId="164" fontId="7" fillId="0" borderId="23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7" fillId="0" borderId="48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3" fontId="44" fillId="0" borderId="43" xfId="60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/>
    </xf>
    <xf numFmtId="0" fontId="19" fillId="0" borderId="49" xfId="0" applyFont="1" applyBorder="1" applyAlignment="1">
      <alignment/>
    </xf>
    <xf numFmtId="0" fontId="20" fillId="0" borderId="50" xfId="59" applyFont="1" applyBorder="1" applyAlignment="1">
      <alignment horizontal="center"/>
      <protection/>
    </xf>
    <xf numFmtId="0" fontId="20" fillId="0" borderId="51" xfId="60" applyFont="1" applyFill="1" applyBorder="1" applyAlignment="1">
      <alignment horizontal="center" vertical="center" wrapText="1"/>
      <protection/>
    </xf>
    <xf numFmtId="0" fontId="23" fillId="0" borderId="52" xfId="59" applyFont="1" applyBorder="1">
      <alignment/>
      <protection/>
    </xf>
    <xf numFmtId="0" fontId="23" fillId="0" borderId="0" xfId="59" applyFont="1" applyBorder="1">
      <alignment/>
      <protection/>
    </xf>
    <xf numFmtId="0" fontId="23" fillId="0" borderId="53" xfId="59" applyFont="1" applyBorder="1">
      <alignment/>
      <protection/>
    </xf>
    <xf numFmtId="0" fontId="23" fillId="0" borderId="54" xfId="59" applyFont="1" applyBorder="1">
      <alignment/>
      <protection/>
    </xf>
    <xf numFmtId="0" fontId="23" fillId="0" borderId="55" xfId="59" applyFont="1" applyBorder="1">
      <alignment/>
      <protection/>
    </xf>
    <xf numFmtId="3" fontId="23" fillId="0" borderId="0" xfId="59" applyNumberFormat="1" applyFont="1" applyBorder="1">
      <alignment/>
      <protection/>
    </xf>
    <xf numFmtId="3" fontId="23" fillId="0" borderId="56" xfId="59" applyNumberFormat="1" applyFont="1" applyBorder="1">
      <alignment/>
      <protection/>
    </xf>
    <xf numFmtId="0" fontId="23" fillId="0" borderId="0" xfId="59" applyFont="1" applyBorder="1" applyAlignment="1">
      <alignment horizontal="left"/>
      <protection/>
    </xf>
    <xf numFmtId="3" fontId="16" fillId="0" borderId="57" xfId="59" applyNumberFormat="1" applyFont="1" applyBorder="1" applyAlignment="1">
      <alignment horizontal="right" vertical="center"/>
      <protection/>
    </xf>
    <xf numFmtId="3" fontId="16" fillId="0" borderId="32" xfId="59" applyNumberFormat="1" applyFont="1" applyBorder="1" applyAlignment="1">
      <alignment horizontal="right" vertical="center"/>
      <protection/>
    </xf>
    <xf numFmtId="3" fontId="16" fillId="0" borderId="0" xfId="59" applyNumberFormat="1" applyFont="1" applyBorder="1" applyAlignment="1">
      <alignment horizontal="right" vertical="center"/>
      <protection/>
    </xf>
    <xf numFmtId="0" fontId="16" fillId="0" borderId="57" xfId="60" applyFont="1" applyFill="1" applyBorder="1" applyAlignment="1">
      <alignment horizontal="center" vertical="center" wrapText="1"/>
      <protection/>
    </xf>
    <xf numFmtId="0" fontId="16" fillId="0" borderId="32" xfId="60" applyFont="1" applyFill="1" applyBorder="1" applyAlignment="1">
      <alignment horizontal="center" vertical="center" wrapText="1"/>
      <protection/>
    </xf>
    <xf numFmtId="0" fontId="16" fillId="0" borderId="58" xfId="60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/>
    </xf>
    <xf numFmtId="3" fontId="16" fillId="0" borderId="52" xfId="59" applyNumberFormat="1" applyFont="1" applyBorder="1" applyAlignment="1">
      <alignment horizontal="right" vertical="center"/>
      <protection/>
    </xf>
    <xf numFmtId="3" fontId="23" fillId="0" borderId="59" xfId="59" applyNumberFormat="1" applyFont="1" applyBorder="1">
      <alignment/>
      <protection/>
    </xf>
    <xf numFmtId="0" fontId="23" fillId="0" borderId="32" xfId="59" applyFont="1" applyBorder="1">
      <alignment/>
      <protection/>
    </xf>
    <xf numFmtId="0" fontId="61" fillId="0" borderId="55" xfId="59" applyFont="1" applyBorder="1" applyAlignment="1">
      <alignment horizontal="right" vertical="center"/>
      <protection/>
    </xf>
    <xf numFmtId="0" fontId="24" fillId="0" borderId="52" xfId="59" applyFont="1" applyBorder="1" applyAlignment="1">
      <alignment horizontal="right"/>
      <protection/>
    </xf>
    <xf numFmtId="0" fontId="24" fillId="0" borderId="0" xfId="59" applyFont="1" applyBorder="1" applyAlignment="1">
      <alignment horizontal="right"/>
      <protection/>
    </xf>
    <xf numFmtId="0" fontId="24" fillId="0" borderId="54" xfId="59" applyFont="1" applyBorder="1" applyAlignment="1">
      <alignment horizontal="right"/>
      <protection/>
    </xf>
    <xf numFmtId="3" fontId="20" fillId="0" borderId="54" xfId="59" applyNumberFormat="1" applyFont="1" applyBorder="1" applyAlignment="1">
      <alignment horizontal="right"/>
      <protection/>
    </xf>
    <xf numFmtId="3" fontId="20" fillId="0" borderId="0" xfId="59" applyNumberFormat="1" applyFont="1" applyBorder="1">
      <alignment/>
      <protection/>
    </xf>
    <xf numFmtId="3" fontId="20" fillId="0" borderId="55" xfId="59" applyNumberFormat="1" applyFont="1" applyBorder="1">
      <alignment/>
      <protection/>
    </xf>
    <xf numFmtId="3" fontId="61" fillId="0" borderId="52" xfId="59" applyNumberFormat="1" applyFont="1" applyBorder="1" applyAlignment="1">
      <alignment horizontal="right" vertical="center"/>
      <protection/>
    </xf>
    <xf numFmtId="3" fontId="61" fillId="0" borderId="32" xfId="59" applyNumberFormat="1" applyFont="1" applyBorder="1" applyAlignment="1">
      <alignment horizontal="right" vertical="center"/>
      <protection/>
    </xf>
    <xf numFmtId="3" fontId="23" fillId="0" borderId="52" xfId="59" applyNumberFormat="1" applyFont="1" applyBorder="1">
      <alignment/>
      <protection/>
    </xf>
    <xf numFmtId="3" fontId="23" fillId="0" borderId="32" xfId="59" applyNumberFormat="1" applyFont="1" applyBorder="1">
      <alignment/>
      <protection/>
    </xf>
    <xf numFmtId="3" fontId="61" fillId="0" borderId="55" xfId="59" applyNumberFormat="1" applyFont="1" applyBorder="1" applyAlignment="1">
      <alignment horizontal="right" vertical="center"/>
      <protection/>
    </xf>
    <xf numFmtId="0" fontId="23" fillId="0" borderId="52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4" xfId="59" applyFont="1" applyBorder="1" applyAlignment="1">
      <alignment horizontal="right"/>
      <protection/>
    </xf>
    <xf numFmtId="0" fontId="61" fillId="0" borderId="55" xfId="59" applyFont="1" applyBorder="1">
      <alignment/>
      <protection/>
    </xf>
    <xf numFmtId="3" fontId="23" fillId="0" borderId="60" xfId="59" applyNumberFormat="1" applyFont="1" applyBorder="1">
      <alignment/>
      <protection/>
    </xf>
    <xf numFmtId="3" fontId="61" fillId="0" borderId="52" xfId="59" applyNumberFormat="1" applyFont="1" applyBorder="1">
      <alignment/>
      <protection/>
    </xf>
    <xf numFmtId="3" fontId="61" fillId="0" borderId="32" xfId="59" applyNumberFormat="1" applyFont="1" applyBorder="1">
      <alignment/>
      <protection/>
    </xf>
    <xf numFmtId="3" fontId="61" fillId="0" borderId="59" xfId="59" applyNumberFormat="1" applyFont="1" applyBorder="1">
      <alignment/>
      <protection/>
    </xf>
    <xf numFmtId="3" fontId="61" fillId="0" borderId="55" xfId="59" applyNumberFormat="1" applyFont="1" applyBorder="1">
      <alignment/>
      <protection/>
    </xf>
    <xf numFmtId="0" fontId="19" fillId="0" borderId="52" xfId="59" applyFont="1" applyBorder="1" applyAlignment="1">
      <alignment horizontal="right"/>
      <protection/>
    </xf>
    <xf numFmtId="0" fontId="19" fillId="0" borderId="0" xfId="59" applyFont="1" applyBorder="1" applyAlignment="1">
      <alignment horizontal="right"/>
      <protection/>
    </xf>
    <xf numFmtId="0" fontId="19" fillId="0" borderId="54" xfId="59" applyFont="1" applyBorder="1" applyAlignment="1">
      <alignment horizontal="right"/>
      <protection/>
    </xf>
    <xf numFmtId="0" fontId="19" fillId="0" borderId="0" xfId="59" applyFont="1" applyBorder="1">
      <alignment/>
      <protection/>
    </xf>
    <xf numFmtId="0" fontId="19" fillId="0" borderId="55" xfId="59" applyFont="1" applyBorder="1">
      <alignment/>
      <protection/>
    </xf>
    <xf numFmtId="3" fontId="62" fillId="0" borderId="0" xfId="59" applyNumberFormat="1" applyFont="1" applyBorder="1">
      <alignment/>
      <protection/>
    </xf>
    <xf numFmtId="0" fontId="62" fillId="0" borderId="52" xfId="59" applyFont="1" applyBorder="1" applyAlignment="1">
      <alignment horizontal="left"/>
      <protection/>
    </xf>
    <xf numFmtId="0" fontId="62" fillId="0" borderId="0" xfId="59" applyFont="1" applyBorder="1" applyAlignment="1">
      <alignment horizontal="left"/>
      <protection/>
    </xf>
    <xf numFmtId="0" fontId="62" fillId="0" borderId="57" xfId="59" applyFont="1" applyBorder="1" applyAlignment="1">
      <alignment horizontal="left"/>
      <protection/>
    </xf>
    <xf numFmtId="0" fontId="62" fillId="0" borderId="56" xfId="59" applyFont="1" applyBorder="1" applyAlignment="1">
      <alignment horizontal="left"/>
      <protection/>
    </xf>
    <xf numFmtId="0" fontId="62" fillId="0" borderId="56" xfId="59" applyFont="1" applyBorder="1">
      <alignment/>
      <protection/>
    </xf>
    <xf numFmtId="3" fontId="23" fillId="0" borderId="61" xfId="59" applyNumberFormat="1" applyFont="1" applyBorder="1">
      <alignment/>
      <protection/>
    </xf>
    <xf numFmtId="0" fontId="62" fillId="0" borderId="0" xfId="59" applyFont="1" applyBorder="1">
      <alignment/>
      <protection/>
    </xf>
    <xf numFmtId="0" fontId="19" fillId="0" borderId="49" xfId="59" applyFont="1" applyBorder="1" applyAlignment="1">
      <alignment horizontal="right"/>
      <protection/>
    </xf>
    <xf numFmtId="0" fontId="19" fillId="0" borderId="62" xfId="59" applyFont="1" applyBorder="1" applyAlignment="1">
      <alignment horizontal="right"/>
      <protection/>
    </xf>
    <xf numFmtId="0" fontId="19" fillId="0" borderId="49" xfId="59" applyFont="1" applyBorder="1">
      <alignment/>
      <protection/>
    </xf>
    <xf numFmtId="0" fontId="19" fillId="0" borderId="63" xfId="59" applyFont="1" applyBorder="1">
      <alignment/>
      <protection/>
    </xf>
    <xf numFmtId="0" fontId="23" fillId="0" borderId="49" xfId="59" applyFont="1" applyBorder="1" applyAlignment="1">
      <alignment horizontal="left"/>
      <protection/>
    </xf>
    <xf numFmtId="0" fontId="62" fillId="0" borderId="64" xfId="59" applyFont="1" applyBorder="1" applyAlignment="1">
      <alignment horizontal="left"/>
      <protection/>
    </xf>
    <xf numFmtId="0" fontId="62" fillId="0" borderId="49" xfId="59" applyFont="1" applyBorder="1" applyAlignment="1">
      <alignment horizontal="left"/>
      <protection/>
    </xf>
    <xf numFmtId="3" fontId="62" fillId="0" borderId="49" xfId="59" applyNumberFormat="1" applyFont="1" applyFill="1" applyBorder="1">
      <alignment/>
      <protection/>
    </xf>
    <xf numFmtId="3" fontId="16" fillId="0" borderId="64" xfId="59" applyNumberFormat="1" applyFont="1" applyBorder="1" applyAlignment="1">
      <alignment horizontal="right" vertical="center"/>
      <protection/>
    </xf>
    <xf numFmtId="3" fontId="61" fillId="0" borderId="65" xfId="59" applyNumberFormat="1" applyFont="1" applyBorder="1" applyAlignment="1">
      <alignment horizontal="right" vertical="center"/>
      <protection/>
    </xf>
    <xf numFmtId="3" fontId="61" fillId="0" borderId="66" xfId="59" applyNumberFormat="1" applyFont="1" applyBorder="1" applyAlignment="1">
      <alignment horizontal="right" vertical="center"/>
      <protection/>
    </xf>
    <xf numFmtId="3" fontId="23" fillId="0" borderId="67" xfId="59" applyNumberFormat="1" applyFont="1" applyBorder="1">
      <alignment/>
      <protection/>
    </xf>
    <xf numFmtId="3" fontId="23" fillId="0" borderId="65" xfId="59" applyNumberFormat="1" applyFont="1" applyBorder="1">
      <alignment/>
      <protection/>
    </xf>
    <xf numFmtId="3" fontId="23" fillId="0" borderId="66" xfId="59" applyNumberFormat="1" applyFont="1" applyBorder="1">
      <alignment/>
      <protection/>
    </xf>
    <xf numFmtId="3" fontId="61" fillId="0" borderId="63" xfId="59" applyNumberFormat="1" applyFont="1" applyBorder="1" applyAlignment="1">
      <alignment horizontal="right" vertical="center"/>
      <protection/>
    </xf>
    <xf numFmtId="3" fontId="61" fillId="0" borderId="68" xfId="59" applyNumberFormat="1" applyFont="1" applyBorder="1" applyAlignment="1">
      <alignment horizontal="right" vertical="center"/>
      <protection/>
    </xf>
    <xf numFmtId="0" fontId="19" fillId="0" borderId="69" xfId="59" applyFont="1" applyBorder="1">
      <alignment/>
      <protection/>
    </xf>
    <xf numFmtId="0" fontId="19" fillId="0" borderId="54" xfId="59" applyFont="1" applyBorder="1">
      <alignment/>
      <protection/>
    </xf>
    <xf numFmtId="0" fontId="19" fillId="0" borderId="32" xfId="59" applyFont="1" applyBorder="1">
      <alignment/>
      <protection/>
    </xf>
    <xf numFmtId="3" fontId="62" fillId="0" borderId="60" xfId="59" applyNumberFormat="1" applyFont="1" applyBorder="1" applyAlignment="1">
      <alignment/>
      <protection/>
    </xf>
    <xf numFmtId="0" fontId="19" fillId="0" borderId="70" xfId="59" applyFont="1" applyBorder="1">
      <alignment/>
      <protection/>
    </xf>
    <xf numFmtId="0" fontId="19" fillId="0" borderId="66" xfId="59" applyFont="1" applyBorder="1">
      <alignment/>
      <protection/>
    </xf>
    <xf numFmtId="0" fontId="19" fillId="0" borderId="71" xfId="59" applyFont="1" applyBorder="1">
      <alignment/>
      <protection/>
    </xf>
    <xf numFmtId="3" fontId="20" fillId="0" borderId="32" xfId="59" applyNumberFormat="1" applyFont="1" applyBorder="1" applyAlignment="1">
      <alignment horizontal="right"/>
      <protection/>
    </xf>
    <xf numFmtId="0" fontId="23" fillId="0" borderId="52" xfId="59" applyFont="1" applyBorder="1" applyAlignment="1">
      <alignment horizontal="left"/>
      <protection/>
    </xf>
    <xf numFmtId="3" fontId="61" fillId="0" borderId="72" xfId="59" applyNumberFormat="1" applyFont="1" applyBorder="1" applyAlignment="1">
      <alignment horizontal="right"/>
      <protection/>
    </xf>
    <xf numFmtId="3" fontId="61" fillId="0" borderId="52" xfId="59" applyNumberFormat="1" applyFont="1" applyBorder="1" applyAlignment="1">
      <alignment horizontal="right"/>
      <protection/>
    </xf>
    <xf numFmtId="0" fontId="19" fillId="36" borderId="73" xfId="59" applyFont="1" applyFill="1" applyBorder="1">
      <alignment/>
      <protection/>
    </xf>
    <xf numFmtId="3" fontId="61" fillId="36" borderId="74" xfId="59" applyNumberFormat="1" applyFont="1" applyFill="1" applyBorder="1" applyAlignment="1">
      <alignment horizontal="right"/>
      <protection/>
    </xf>
    <xf numFmtId="3" fontId="61" fillId="36" borderId="75" xfId="59" applyNumberFormat="1" applyFont="1" applyFill="1" applyBorder="1">
      <alignment/>
      <protection/>
    </xf>
    <xf numFmtId="3" fontId="61" fillId="36" borderId="76" xfId="59" applyNumberFormat="1" applyFont="1" applyFill="1" applyBorder="1">
      <alignment/>
      <protection/>
    </xf>
    <xf numFmtId="3" fontId="61" fillId="36" borderId="74" xfId="59" applyNumberFormat="1" applyFont="1" applyFill="1" applyBorder="1">
      <alignment/>
      <protection/>
    </xf>
    <xf numFmtId="0" fontId="19" fillId="0" borderId="77" xfId="0" applyFont="1" applyBorder="1" applyAlignment="1">
      <alignment/>
    </xf>
    <xf numFmtId="0" fontId="16" fillId="0" borderId="0" xfId="59" applyFont="1" applyBorder="1" applyAlignment="1">
      <alignment horizontal="right" vertical="center"/>
      <protection/>
    </xf>
    <xf numFmtId="0" fontId="16" fillId="0" borderId="78" xfId="59" applyFont="1" applyBorder="1" applyAlignment="1">
      <alignment horizontal="right" vertical="center"/>
      <protection/>
    </xf>
    <xf numFmtId="0" fontId="23" fillId="0" borderId="59" xfId="59" applyFont="1" applyBorder="1">
      <alignment/>
      <protection/>
    </xf>
    <xf numFmtId="0" fontId="19" fillId="0" borderId="52" xfId="59" applyFont="1" applyBorder="1">
      <alignment/>
      <protection/>
    </xf>
    <xf numFmtId="0" fontId="19" fillId="0" borderId="32" xfId="59" applyFont="1" applyBorder="1" applyAlignment="1">
      <alignment horizontal="right"/>
      <protection/>
    </xf>
    <xf numFmtId="3" fontId="61" fillId="0" borderId="0" xfId="59" applyNumberFormat="1" applyFont="1" applyBorder="1" applyAlignment="1">
      <alignment horizontal="right" vertical="center"/>
      <protection/>
    </xf>
    <xf numFmtId="3" fontId="19" fillId="0" borderId="32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55" xfId="59" applyNumberFormat="1" applyFont="1" applyBorder="1">
      <alignment/>
      <protection/>
    </xf>
    <xf numFmtId="0" fontId="23" fillId="0" borderId="0" xfId="0" applyFont="1" applyFill="1" applyBorder="1" applyAlignment="1">
      <alignment/>
    </xf>
    <xf numFmtId="3" fontId="61" fillId="0" borderId="79" xfId="59" applyNumberFormat="1" applyFont="1" applyBorder="1">
      <alignment/>
      <protection/>
    </xf>
    <xf numFmtId="0" fontId="19" fillId="0" borderId="80" xfId="59" applyFont="1" applyBorder="1">
      <alignment/>
      <protection/>
    </xf>
    <xf numFmtId="0" fontId="19" fillId="0" borderId="81" xfId="59" applyFont="1" applyBorder="1" applyAlignment="1">
      <alignment horizontal="right"/>
      <protection/>
    </xf>
    <xf numFmtId="0" fontId="19" fillId="0" borderId="82" xfId="59" applyFont="1" applyBorder="1" applyAlignment="1">
      <alignment horizontal="right"/>
      <protection/>
    </xf>
    <xf numFmtId="0" fontId="19" fillId="0" borderId="81" xfId="59" applyFont="1" applyBorder="1">
      <alignment/>
      <protection/>
    </xf>
    <xf numFmtId="0" fontId="19" fillId="0" borderId="68" xfId="59" applyFont="1" applyBorder="1">
      <alignment/>
      <protection/>
    </xf>
    <xf numFmtId="0" fontId="19" fillId="0" borderId="81" xfId="59" applyFont="1" applyBorder="1" applyAlignment="1">
      <alignment/>
      <protection/>
    </xf>
    <xf numFmtId="0" fontId="16" fillId="0" borderId="83" xfId="59" applyFont="1" applyBorder="1" applyAlignment="1">
      <alignment horizontal="right"/>
      <protection/>
    </xf>
    <xf numFmtId="0" fontId="19" fillId="0" borderId="84" xfId="59" applyFont="1" applyBorder="1">
      <alignment/>
      <protection/>
    </xf>
    <xf numFmtId="3" fontId="16" fillId="0" borderId="85" xfId="59" applyNumberFormat="1" applyFont="1" applyBorder="1" applyAlignment="1">
      <alignment horizontal="right"/>
      <protection/>
    </xf>
    <xf numFmtId="0" fontId="16" fillId="0" borderId="81" xfId="59" applyFont="1" applyBorder="1" applyAlignment="1">
      <alignment horizontal="right"/>
      <protection/>
    </xf>
    <xf numFmtId="0" fontId="16" fillId="0" borderId="82" xfId="59" applyFont="1" applyBorder="1" applyAlignment="1">
      <alignment horizontal="right"/>
      <protection/>
    </xf>
    <xf numFmtId="0" fontId="19" fillId="0" borderId="86" xfId="59" applyFont="1" applyBorder="1">
      <alignment/>
      <protection/>
    </xf>
    <xf numFmtId="0" fontId="19" fillId="0" borderId="82" xfId="59" applyFont="1" applyBorder="1">
      <alignment/>
      <protection/>
    </xf>
    <xf numFmtId="0" fontId="61" fillId="0" borderId="87" xfId="59" applyFont="1" applyBorder="1" applyAlignment="1">
      <alignment horizontal="right" vertical="center"/>
      <protection/>
    </xf>
    <xf numFmtId="0" fontId="19" fillId="0" borderId="0" xfId="59" applyFont="1">
      <alignment/>
      <protection/>
    </xf>
    <xf numFmtId="0" fontId="19" fillId="0" borderId="59" xfId="59" applyFont="1" applyBorder="1">
      <alignment/>
      <protection/>
    </xf>
    <xf numFmtId="0" fontId="23" fillId="0" borderId="60" xfId="59" applyFont="1" applyBorder="1">
      <alignment/>
      <protection/>
    </xf>
    <xf numFmtId="3" fontId="61" fillId="0" borderId="0" xfId="59" applyNumberFormat="1" applyFont="1" applyBorder="1">
      <alignment/>
      <protection/>
    </xf>
    <xf numFmtId="3" fontId="61" fillId="0" borderId="72" xfId="59" applyNumberFormat="1" applyFont="1" applyBorder="1">
      <alignment/>
      <protection/>
    </xf>
    <xf numFmtId="0" fontId="19" fillId="0" borderId="0" xfId="0" applyFont="1" applyBorder="1" applyAlignment="1">
      <alignment horizontal="right"/>
    </xf>
    <xf numFmtId="0" fontId="19" fillId="0" borderId="60" xfId="59" applyFont="1" applyBorder="1">
      <alignment/>
      <protection/>
    </xf>
    <xf numFmtId="0" fontId="24" fillId="0" borderId="57" xfId="59" applyFont="1" applyBorder="1" applyAlignment="1">
      <alignment horizontal="right"/>
      <protection/>
    </xf>
    <xf numFmtId="0" fontId="19" fillId="0" borderId="56" xfId="0" applyFont="1" applyBorder="1" applyAlignment="1">
      <alignment horizontal="right"/>
    </xf>
    <xf numFmtId="3" fontId="20" fillId="0" borderId="78" xfId="59" applyNumberFormat="1" applyFont="1" applyBorder="1" applyAlignment="1">
      <alignment horizontal="right"/>
      <protection/>
    </xf>
    <xf numFmtId="3" fontId="20" fillId="0" borderId="56" xfId="59" applyNumberFormat="1" applyFont="1" applyBorder="1">
      <alignment/>
      <protection/>
    </xf>
    <xf numFmtId="3" fontId="20" fillId="0" borderId="58" xfId="59" applyNumberFormat="1" applyFont="1" applyBorder="1">
      <alignment/>
      <protection/>
    </xf>
    <xf numFmtId="3" fontId="23" fillId="0" borderId="61" xfId="59" applyNumberFormat="1" applyFont="1" applyBorder="1" applyAlignment="1">
      <alignment/>
      <protection/>
    </xf>
    <xf numFmtId="0" fontId="19" fillId="0" borderId="88" xfId="59" applyFont="1" applyBorder="1">
      <alignment/>
      <protection/>
    </xf>
    <xf numFmtId="0" fontId="19" fillId="0" borderId="56" xfId="59" applyFont="1" applyBorder="1">
      <alignment/>
      <protection/>
    </xf>
    <xf numFmtId="0" fontId="19" fillId="0" borderId="61" xfId="59" applyFont="1" applyBorder="1">
      <alignment/>
      <protection/>
    </xf>
    <xf numFmtId="3" fontId="61" fillId="0" borderId="57" xfId="59" applyNumberFormat="1" applyFont="1" applyBorder="1" applyAlignment="1">
      <alignment horizontal="right" vertical="center"/>
      <protection/>
    </xf>
    <xf numFmtId="3" fontId="61" fillId="0" borderId="78" xfId="59" applyNumberFormat="1" applyFont="1" applyBorder="1" applyAlignment="1">
      <alignment horizontal="right" vertical="center"/>
      <protection/>
    </xf>
    <xf numFmtId="3" fontId="61" fillId="0" borderId="89" xfId="59" applyNumberFormat="1" applyFont="1" applyBorder="1">
      <alignment/>
      <protection/>
    </xf>
    <xf numFmtId="3" fontId="61" fillId="0" borderId="57" xfId="59" applyNumberFormat="1" applyFont="1" applyBorder="1">
      <alignment/>
      <protection/>
    </xf>
    <xf numFmtId="3" fontId="61" fillId="0" borderId="78" xfId="59" applyNumberFormat="1" applyFont="1" applyBorder="1">
      <alignment/>
      <protection/>
    </xf>
    <xf numFmtId="3" fontId="61" fillId="0" borderId="58" xfId="59" applyNumberFormat="1" applyFont="1" applyBorder="1" applyAlignment="1">
      <alignment horizontal="right" vertical="center"/>
      <protection/>
    </xf>
    <xf numFmtId="3" fontId="62" fillId="0" borderId="0" xfId="59" applyNumberFormat="1" applyFont="1" applyBorder="1" applyAlignment="1">
      <alignment/>
      <protection/>
    </xf>
    <xf numFmtId="3" fontId="16" fillId="0" borderId="90" xfId="59" applyNumberFormat="1" applyFont="1" applyBorder="1">
      <alignment/>
      <protection/>
    </xf>
    <xf numFmtId="0" fontId="63" fillId="0" borderId="91" xfId="59" applyFont="1" applyBorder="1">
      <alignment/>
      <protection/>
    </xf>
    <xf numFmtId="0" fontId="63" fillId="0" borderId="33" xfId="59" applyFont="1" applyBorder="1">
      <alignment/>
      <protection/>
    </xf>
    <xf numFmtId="0" fontId="63" fillId="0" borderId="48" xfId="59" applyFont="1" applyBorder="1">
      <alignment/>
      <protection/>
    </xf>
    <xf numFmtId="3" fontId="61" fillId="0" borderId="91" xfId="59" applyNumberFormat="1" applyFont="1" applyBorder="1" applyAlignment="1">
      <alignment horizontal="right" vertical="center"/>
      <protection/>
    </xf>
    <xf numFmtId="3" fontId="61" fillId="0" borderId="92" xfId="59" applyNumberFormat="1" applyFont="1" applyBorder="1" applyAlignment="1">
      <alignment horizontal="right" vertical="center"/>
      <protection/>
    </xf>
    <xf numFmtId="3" fontId="61" fillId="0" borderId="91" xfId="59" applyNumberFormat="1" applyFont="1" applyBorder="1">
      <alignment/>
      <protection/>
    </xf>
    <xf numFmtId="3" fontId="61" fillId="0" borderId="92" xfId="59" applyNumberFormat="1" applyFont="1" applyBorder="1">
      <alignment/>
      <protection/>
    </xf>
    <xf numFmtId="3" fontId="61" fillId="0" borderId="90" xfId="59" applyNumberFormat="1" applyFont="1" applyBorder="1" applyAlignment="1">
      <alignment horizontal="right" vertical="center"/>
      <protection/>
    </xf>
    <xf numFmtId="0" fontId="19" fillId="36" borderId="93" xfId="59" applyFont="1" applyFill="1" applyBorder="1">
      <alignment/>
      <protection/>
    </xf>
    <xf numFmtId="3" fontId="47" fillId="0" borderId="94" xfId="59" applyNumberFormat="1" applyFont="1" applyBorder="1" applyAlignment="1">
      <alignment horizontal="center"/>
      <protection/>
    </xf>
    <xf numFmtId="3" fontId="47" fillId="0" borderId="95" xfId="59" applyNumberFormat="1" applyFont="1" applyBorder="1">
      <alignment/>
      <protection/>
    </xf>
    <xf numFmtId="0" fontId="23" fillId="0" borderId="96" xfId="59" applyFont="1" applyBorder="1" applyAlignment="1">
      <alignment horizontal="left"/>
      <protection/>
    </xf>
    <xf numFmtId="0" fontId="19" fillId="0" borderId="96" xfId="59" applyFont="1" applyBorder="1">
      <alignment/>
      <protection/>
    </xf>
    <xf numFmtId="3" fontId="16" fillId="0" borderId="97" xfId="59" applyNumberFormat="1" applyFont="1" applyBorder="1">
      <alignment/>
      <protection/>
    </xf>
    <xf numFmtId="0" fontId="19" fillId="0" borderId="77" xfId="59" applyFont="1" applyBorder="1">
      <alignment/>
      <protection/>
    </xf>
    <xf numFmtId="3" fontId="47" fillId="0" borderId="94" xfId="59" applyNumberFormat="1" applyFont="1" applyBorder="1">
      <alignment/>
      <protection/>
    </xf>
    <xf numFmtId="3" fontId="47" fillId="0" borderId="98" xfId="59" applyNumberFormat="1" applyFont="1" applyBorder="1">
      <alignment/>
      <protection/>
    </xf>
    <xf numFmtId="0" fontId="23" fillId="0" borderId="49" xfId="59" applyFont="1" applyBorder="1">
      <alignment/>
      <protection/>
    </xf>
    <xf numFmtId="0" fontId="20" fillId="0" borderId="0" xfId="59" applyFont="1" applyAlignment="1">
      <alignment horizontal="center"/>
      <protection/>
    </xf>
    <xf numFmtId="0" fontId="20" fillId="0" borderId="0" xfId="59" applyFont="1" applyAlignment="1">
      <alignment horizontal="right"/>
      <protection/>
    </xf>
    <xf numFmtId="0" fontId="15" fillId="0" borderId="0" xfId="59" applyFont="1">
      <alignment/>
      <protection/>
    </xf>
    <xf numFmtId="0" fontId="20" fillId="0" borderId="0" xfId="59" applyFont="1" applyAlignment="1">
      <alignment horizontal="left"/>
      <protection/>
    </xf>
    <xf numFmtId="3" fontId="19" fillId="0" borderId="0" xfId="59" applyNumberFormat="1" applyFont="1">
      <alignment/>
      <protection/>
    </xf>
    <xf numFmtId="0" fontId="23" fillId="0" borderId="0" xfId="59" applyFont="1" applyFill="1" applyBorder="1">
      <alignment/>
      <protection/>
    </xf>
    <xf numFmtId="0" fontId="43" fillId="0" borderId="27" xfId="59" applyFont="1" applyBorder="1">
      <alignment/>
      <protection/>
    </xf>
    <xf numFmtId="3" fontId="19" fillId="0" borderId="27" xfId="59" applyNumberFormat="1" applyFont="1" applyBorder="1">
      <alignment/>
      <protection/>
    </xf>
    <xf numFmtId="0" fontId="19" fillId="0" borderId="27" xfId="59" applyFont="1" applyBorder="1">
      <alignment/>
      <protection/>
    </xf>
    <xf numFmtId="0" fontId="19" fillId="0" borderId="0" xfId="59" applyFont="1" applyAlignment="1">
      <alignment horizontal="right"/>
      <protection/>
    </xf>
    <xf numFmtId="0" fontId="19" fillId="0" borderId="0" xfId="59" applyFont="1" applyAlignment="1">
      <alignment/>
      <protection/>
    </xf>
    <xf numFmtId="0" fontId="19" fillId="0" borderId="0" xfId="0" applyFont="1" applyAlignment="1">
      <alignment horizontal="left"/>
    </xf>
    <xf numFmtId="0" fontId="20" fillId="0" borderId="0" xfId="59" applyFont="1">
      <alignment/>
      <protection/>
    </xf>
    <xf numFmtId="3" fontId="20" fillId="0" borderId="0" xfId="59" applyNumberFormat="1" applyFont="1">
      <alignment/>
      <protection/>
    </xf>
    <xf numFmtId="0" fontId="20" fillId="0" borderId="99" xfId="59" applyFont="1" applyBorder="1" applyAlignment="1">
      <alignment horizontal="center"/>
      <protection/>
    </xf>
    <xf numFmtId="0" fontId="20" fillId="0" borderId="91" xfId="59" applyFont="1" applyBorder="1" applyAlignment="1">
      <alignment horizontal="center" vertical="center"/>
      <protection/>
    </xf>
    <xf numFmtId="0" fontId="20" fillId="0" borderId="99" xfId="59" applyFont="1" applyBorder="1" applyAlignment="1">
      <alignment horizontal="center" vertical="center"/>
      <protection/>
    </xf>
    <xf numFmtId="49" fontId="27" fillId="0" borderId="21" xfId="0" applyNumberFormat="1" applyFont="1" applyBorder="1" applyAlignment="1">
      <alignment vertical="center" wrapText="1"/>
    </xf>
    <xf numFmtId="0" fontId="27" fillId="0" borderId="22" xfId="0" applyFont="1" applyBorder="1" applyAlignment="1">
      <alignment vertical="center"/>
    </xf>
    <xf numFmtId="0" fontId="22" fillId="5" borderId="22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3" fillId="0" borderId="69" xfId="59" applyFont="1" applyBorder="1" applyAlignment="1">
      <alignment horizontal="left" wrapText="1"/>
      <protection/>
    </xf>
    <xf numFmtId="0" fontId="62" fillId="0" borderId="69" xfId="59" applyFont="1" applyBorder="1" applyAlignment="1">
      <alignment horizontal="left" wrapText="1"/>
      <protection/>
    </xf>
    <xf numFmtId="0" fontId="62" fillId="0" borderId="0" xfId="59" applyFont="1" applyBorder="1" applyAlignment="1">
      <alignment horizontal="left" wrapText="1"/>
      <protection/>
    </xf>
    <xf numFmtId="3" fontId="20" fillId="36" borderId="74" xfId="59" applyNumberFormat="1" applyFont="1" applyFill="1" applyBorder="1" applyAlignment="1">
      <alignment horizontal="right"/>
      <protection/>
    </xf>
    <xf numFmtId="3" fontId="23" fillId="0" borderId="61" xfId="0" applyNumberFormat="1" applyFont="1" applyBorder="1" applyAlignment="1">
      <alignment/>
    </xf>
    <xf numFmtId="3" fontId="23" fillId="0" borderId="60" xfId="0" applyNumberFormat="1" applyFont="1" applyBorder="1" applyAlignment="1">
      <alignment/>
    </xf>
    <xf numFmtId="0" fontId="23" fillId="36" borderId="76" xfId="59" applyFont="1" applyFill="1" applyBorder="1" applyAlignment="1">
      <alignment horizontal="left"/>
      <protection/>
    </xf>
    <xf numFmtId="3" fontId="16" fillId="36" borderId="100" xfId="59" applyNumberFormat="1" applyFont="1" applyFill="1" applyBorder="1" applyAlignment="1">
      <alignment horizontal="right"/>
      <protection/>
    </xf>
    <xf numFmtId="3" fontId="16" fillId="36" borderId="101" xfId="59" applyNumberFormat="1" applyFont="1" applyFill="1" applyBorder="1" applyAlignment="1">
      <alignment horizontal="right"/>
      <protection/>
    </xf>
    <xf numFmtId="3" fontId="61" fillId="36" borderId="93" xfId="59" applyNumberFormat="1" applyFont="1" applyFill="1" applyBorder="1" applyAlignment="1">
      <alignment horizontal="right"/>
      <protection/>
    </xf>
    <xf numFmtId="3" fontId="61" fillId="36" borderId="102" xfId="59" applyNumberFormat="1" applyFont="1" applyFill="1" applyBorder="1" applyAlignment="1">
      <alignment horizontal="right" vertical="center"/>
      <protection/>
    </xf>
    <xf numFmtId="0" fontId="19" fillId="0" borderId="53" xfId="0" applyFont="1" applyBorder="1" applyAlignment="1">
      <alignment horizontal="right"/>
    </xf>
    <xf numFmtId="0" fontId="19" fillId="36" borderId="73" xfId="59" applyFont="1" applyFill="1" applyBorder="1" applyAlignment="1">
      <alignment vertical="center"/>
      <protection/>
    </xf>
    <xf numFmtId="3" fontId="16" fillId="36" borderId="100" xfId="59" applyNumberFormat="1" applyFont="1" applyFill="1" applyBorder="1" applyAlignment="1">
      <alignment vertical="center"/>
      <protection/>
    </xf>
    <xf numFmtId="0" fontId="19" fillId="36" borderId="93" xfId="59" applyFont="1" applyFill="1" applyBorder="1" applyAlignment="1">
      <alignment vertical="center"/>
      <protection/>
    </xf>
    <xf numFmtId="3" fontId="61" fillId="36" borderId="103" xfId="59" applyNumberFormat="1" applyFont="1" applyFill="1" applyBorder="1" applyAlignment="1">
      <alignment vertical="center"/>
      <protection/>
    </xf>
    <xf numFmtId="3" fontId="61" fillId="36" borderId="94" xfId="59" applyNumberFormat="1" applyFont="1" applyFill="1" applyBorder="1" applyAlignment="1">
      <alignment vertical="center"/>
      <protection/>
    </xf>
    <xf numFmtId="3" fontId="61" fillId="36" borderId="87" xfId="59" applyNumberFormat="1" applyFont="1" applyFill="1" applyBorder="1" applyAlignment="1">
      <alignment vertical="center"/>
      <protection/>
    </xf>
    <xf numFmtId="3" fontId="61" fillId="36" borderId="104" xfId="59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 vertical="center"/>
    </xf>
    <xf numFmtId="0" fontId="23" fillId="0" borderId="69" xfId="59" applyFont="1" applyBorder="1" applyAlignment="1">
      <alignment wrapText="1"/>
      <protection/>
    </xf>
    <xf numFmtId="0" fontId="23" fillId="0" borderId="0" xfId="59" applyFont="1" applyBorder="1" applyAlignment="1">
      <alignment wrapText="1"/>
      <protection/>
    </xf>
    <xf numFmtId="3" fontId="23" fillId="0" borderId="0" xfId="59" applyNumberFormat="1" applyFont="1" applyBorder="1" applyAlignment="1">
      <alignment horizontal="right" vertical="center"/>
      <protection/>
    </xf>
    <xf numFmtId="3" fontId="23" fillId="0" borderId="60" xfId="59" applyNumberFormat="1" applyFont="1" applyBorder="1" applyAlignment="1">
      <alignment/>
      <protection/>
    </xf>
    <xf numFmtId="3" fontId="23" fillId="0" borderId="60" xfId="59" applyNumberFormat="1" applyFont="1" applyBorder="1" applyAlignment="1">
      <alignment vertical="center"/>
      <protection/>
    </xf>
    <xf numFmtId="3" fontId="23" fillId="0" borderId="48" xfId="59" applyNumberFormat="1" applyFont="1" applyFill="1" applyBorder="1" applyAlignment="1">
      <alignment vertical="center"/>
      <protection/>
    </xf>
    <xf numFmtId="3" fontId="23" fillId="0" borderId="60" xfId="59" applyNumberFormat="1" applyFont="1" applyFill="1" applyBorder="1" applyAlignment="1">
      <alignment vertical="center"/>
      <protection/>
    </xf>
    <xf numFmtId="3" fontId="23" fillId="0" borderId="60" xfId="59" applyNumberFormat="1" applyFont="1" applyFill="1" applyBorder="1" applyAlignment="1">
      <alignment horizontal="right" vertical="center"/>
      <protection/>
    </xf>
    <xf numFmtId="3" fontId="23" fillId="0" borderId="0" xfId="59" applyNumberFormat="1" applyFont="1" applyBorder="1" applyAlignment="1">
      <alignment vertical="center"/>
      <protection/>
    </xf>
    <xf numFmtId="3" fontId="23" fillId="0" borderId="61" xfId="59" applyNumberFormat="1" applyFont="1" applyFill="1" applyBorder="1" applyAlignment="1">
      <alignment vertical="center"/>
      <protection/>
    </xf>
    <xf numFmtId="0" fontId="46" fillId="0" borderId="0" xfId="60" applyFont="1" applyFill="1" applyAlignment="1">
      <alignment vertical="center" wrapText="1"/>
      <protection/>
    </xf>
    <xf numFmtId="0" fontId="46" fillId="0" borderId="81" xfId="60" applyFont="1" applyFill="1" applyBorder="1" applyAlignment="1">
      <alignment vertical="center" wrapText="1"/>
      <protection/>
    </xf>
    <xf numFmtId="0" fontId="19" fillId="0" borderId="65" xfId="59" applyFont="1" applyBorder="1" applyAlignment="1">
      <alignment horizontal="right"/>
      <protection/>
    </xf>
    <xf numFmtId="3" fontId="23" fillId="0" borderId="105" xfId="0" applyNumberFormat="1" applyFont="1" applyBorder="1" applyAlignment="1">
      <alignment/>
    </xf>
    <xf numFmtId="3" fontId="24" fillId="0" borderId="106" xfId="60" applyNumberFormat="1" applyFont="1" applyFill="1" applyBorder="1" applyAlignment="1">
      <alignment horizontal="right" vertical="center"/>
      <protection/>
    </xf>
    <xf numFmtId="3" fontId="24" fillId="0" borderId="99" xfId="60" applyNumberFormat="1" applyFont="1" applyFill="1" applyBorder="1" applyAlignment="1">
      <alignment horizontal="right" vertical="center"/>
      <protection/>
    </xf>
    <xf numFmtId="3" fontId="61" fillId="0" borderId="41" xfId="60" applyNumberFormat="1" applyFont="1" applyFill="1" applyBorder="1" applyAlignment="1">
      <alignment vertical="center"/>
      <protection/>
    </xf>
    <xf numFmtId="3" fontId="23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43" fillId="0" borderId="0" xfId="0" applyFont="1" applyFill="1" applyAlignment="1">
      <alignment vertical="center"/>
    </xf>
    <xf numFmtId="49" fontId="43" fillId="0" borderId="0" xfId="0" applyNumberFormat="1" applyFont="1" applyFill="1" applyAlignment="1">
      <alignment vertical="center"/>
    </xf>
    <xf numFmtId="49" fontId="43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49" fontId="43" fillId="0" borderId="27" xfId="0" applyNumberFormat="1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3" fontId="44" fillId="0" borderId="38" xfId="0" applyNumberFormat="1" applyFont="1" applyFill="1" applyBorder="1" applyAlignment="1">
      <alignment horizontal="center" vertical="center"/>
    </xf>
    <xf numFmtId="0" fontId="44" fillId="0" borderId="107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49" fontId="43" fillId="0" borderId="37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vertical="center" wrapText="1"/>
    </xf>
    <xf numFmtId="3" fontId="59" fillId="0" borderId="24" xfId="0" applyNumberFormat="1" applyFont="1" applyFill="1" applyBorder="1" applyAlignment="1">
      <alignment vertical="center"/>
    </xf>
    <xf numFmtId="3" fontId="44" fillId="0" borderId="39" xfId="0" applyNumberFormat="1" applyFont="1" applyFill="1" applyBorder="1" applyAlignment="1">
      <alignment vertical="center"/>
    </xf>
    <xf numFmtId="3" fontId="44" fillId="0" borderId="38" xfId="0" applyNumberFormat="1" applyFont="1" applyFill="1" applyBorder="1" applyAlignment="1">
      <alignment vertical="center"/>
    </xf>
    <xf numFmtId="3" fontId="44" fillId="0" borderId="22" xfId="0" applyNumberFormat="1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49" fontId="43" fillId="0" borderId="21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 wrapText="1"/>
    </xf>
    <xf numFmtId="3" fontId="59" fillId="0" borderId="11" xfId="0" applyNumberFormat="1" applyFont="1" applyFill="1" applyBorder="1" applyAlignment="1">
      <alignment vertical="center"/>
    </xf>
    <xf numFmtId="3" fontId="44" fillId="0" borderId="17" xfId="0" applyNumberFormat="1" applyFont="1" applyFill="1" applyBorder="1" applyAlignment="1">
      <alignment vertical="center"/>
    </xf>
    <xf numFmtId="3" fontId="59" fillId="0" borderId="16" xfId="0" applyNumberFormat="1" applyFont="1" applyFill="1" applyBorder="1" applyAlignment="1">
      <alignment vertical="center"/>
    </xf>
    <xf numFmtId="3" fontId="43" fillId="0" borderId="0" xfId="0" applyNumberFormat="1" applyFont="1" applyFill="1" applyAlignment="1">
      <alignment vertical="center"/>
    </xf>
    <xf numFmtId="3" fontId="59" fillId="0" borderId="22" xfId="0" applyNumberFormat="1" applyFont="1" applyFill="1" applyBorder="1" applyAlignment="1">
      <alignment vertical="center"/>
    </xf>
    <xf numFmtId="3" fontId="59" fillId="0" borderId="22" xfId="0" applyNumberFormat="1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left" vertical="center" wrapText="1"/>
    </xf>
    <xf numFmtId="3" fontId="44" fillId="0" borderId="22" xfId="0" applyNumberFormat="1" applyFont="1" applyFill="1" applyBorder="1" applyAlignment="1">
      <alignment horizontal="right" vertical="center"/>
    </xf>
    <xf numFmtId="49" fontId="43" fillId="0" borderId="45" xfId="0" applyNumberFormat="1" applyFont="1" applyFill="1" applyBorder="1" applyAlignment="1">
      <alignment horizontal="center" vertical="center"/>
    </xf>
    <xf numFmtId="3" fontId="44" fillId="0" borderId="44" xfId="0" applyNumberFormat="1" applyFont="1" applyFill="1" applyBorder="1" applyAlignment="1">
      <alignment vertical="center"/>
    </xf>
    <xf numFmtId="3" fontId="59" fillId="0" borderId="15" xfId="0" applyNumberFormat="1" applyFont="1" applyFill="1" applyBorder="1" applyAlignment="1">
      <alignment vertical="center"/>
    </xf>
    <xf numFmtId="3" fontId="44" fillId="0" borderId="25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1" fillId="0" borderId="44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49" fontId="20" fillId="0" borderId="29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/>
    </xf>
    <xf numFmtId="3" fontId="66" fillId="0" borderId="34" xfId="0" applyNumberFormat="1" applyFont="1" applyFill="1" applyBorder="1" applyAlignment="1">
      <alignment vertical="center"/>
    </xf>
    <xf numFmtId="3" fontId="20" fillId="0" borderId="20" xfId="0" applyNumberFormat="1" applyFont="1" applyFill="1" applyBorder="1" applyAlignment="1">
      <alignment vertical="center"/>
    </xf>
    <xf numFmtId="3" fontId="20" fillId="0" borderId="34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56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3" fontId="59" fillId="0" borderId="0" xfId="0" applyNumberFormat="1" applyFont="1" applyFill="1" applyAlignment="1">
      <alignment vertical="center"/>
    </xf>
    <xf numFmtId="0" fontId="19" fillId="0" borderId="0" xfId="61" applyFont="1" applyAlignment="1">
      <alignment/>
      <protection/>
    </xf>
    <xf numFmtId="0" fontId="17" fillId="0" borderId="0" xfId="61" applyFont="1" applyAlignment="1">
      <alignment/>
      <protection/>
    </xf>
    <xf numFmtId="0" fontId="12" fillId="0" borderId="37" xfId="0" applyFont="1" applyFill="1" applyBorder="1" applyAlignment="1">
      <alignment horizontal="center" vertical="center"/>
    </xf>
    <xf numFmtId="4" fontId="22" fillId="0" borderId="21" xfId="61" applyNumberFormat="1" applyFont="1" applyBorder="1" applyAlignment="1">
      <alignment vertical="center"/>
      <protection/>
    </xf>
    <xf numFmtId="3" fontId="22" fillId="0" borderId="22" xfId="61" applyNumberFormat="1" applyFont="1" applyBorder="1" applyAlignment="1">
      <alignment vertical="center"/>
      <protection/>
    </xf>
    <xf numFmtId="3" fontId="22" fillId="0" borderId="23" xfId="61" applyNumberFormat="1" applyFont="1" applyBorder="1" applyAlignment="1">
      <alignment vertical="center"/>
      <protection/>
    </xf>
    <xf numFmtId="3" fontId="22" fillId="0" borderId="21" xfId="61" applyNumberFormat="1" applyFont="1" applyBorder="1" applyAlignment="1">
      <alignment vertical="center"/>
      <protection/>
    </xf>
    <xf numFmtId="3" fontId="22" fillId="0" borderId="17" xfId="61" applyNumberFormat="1" applyFont="1" applyBorder="1" applyAlignment="1">
      <alignment vertical="center"/>
      <protection/>
    </xf>
    <xf numFmtId="3" fontId="22" fillId="0" borderId="31" xfId="61" applyNumberFormat="1" applyFont="1" applyBorder="1" applyAlignment="1">
      <alignment vertical="center"/>
      <protection/>
    </xf>
    <xf numFmtId="3" fontId="14" fillId="0" borderId="21" xfId="61" applyNumberFormat="1" applyBorder="1" applyAlignment="1">
      <alignment vertical="center"/>
      <protection/>
    </xf>
    <xf numFmtId="3" fontId="14" fillId="0" borderId="22" xfId="61" applyNumberFormat="1" applyBorder="1" applyAlignment="1">
      <alignment vertical="center"/>
      <protection/>
    </xf>
    <xf numFmtId="3" fontId="14" fillId="0" borderId="23" xfId="61" applyNumberFormat="1" applyBorder="1" applyAlignment="1">
      <alignment vertical="center"/>
      <protection/>
    </xf>
    <xf numFmtId="3" fontId="14" fillId="0" borderId="17" xfId="61" applyNumberFormat="1" applyBorder="1" applyAlignment="1">
      <alignment vertical="center"/>
      <protection/>
    </xf>
    <xf numFmtId="3" fontId="14" fillId="0" borderId="31" xfId="61" applyNumberFormat="1" applyBorder="1" applyAlignment="1">
      <alignment vertical="center"/>
      <protection/>
    </xf>
    <xf numFmtId="3" fontId="14" fillId="33" borderId="21" xfId="61" applyNumberFormat="1" applyFill="1" applyBorder="1" applyAlignment="1">
      <alignment vertical="center"/>
      <protection/>
    </xf>
    <xf numFmtId="3" fontId="14" fillId="33" borderId="22" xfId="61" applyNumberFormat="1" applyFill="1" applyBorder="1" applyAlignment="1">
      <alignment vertical="center"/>
      <protection/>
    </xf>
    <xf numFmtId="3" fontId="14" fillId="33" borderId="17" xfId="61" applyNumberFormat="1" applyFill="1" applyBorder="1" applyAlignment="1">
      <alignment vertical="center"/>
      <protection/>
    </xf>
    <xf numFmtId="169" fontId="14" fillId="0" borderId="21" xfId="61" applyNumberFormat="1" applyBorder="1" applyAlignment="1">
      <alignment vertical="center"/>
      <protection/>
    </xf>
    <xf numFmtId="169" fontId="14" fillId="0" borderId="17" xfId="61" applyNumberFormat="1" applyBorder="1" applyAlignment="1">
      <alignment vertical="center"/>
      <protection/>
    </xf>
    <xf numFmtId="3" fontId="22" fillId="0" borderId="21" xfId="61" applyNumberFormat="1" applyFont="1" applyFill="1" applyBorder="1" applyAlignment="1">
      <alignment vertical="center"/>
      <protection/>
    </xf>
    <xf numFmtId="3" fontId="22" fillId="0" borderId="22" xfId="61" applyNumberFormat="1" applyFont="1" applyFill="1" applyBorder="1" applyAlignment="1">
      <alignment vertical="center"/>
      <protection/>
    </xf>
    <xf numFmtId="169" fontId="22" fillId="0" borderId="21" xfId="61" applyNumberFormat="1" applyFont="1" applyBorder="1" applyAlignment="1">
      <alignment vertical="center"/>
      <protection/>
    </xf>
    <xf numFmtId="169" fontId="22" fillId="0" borderId="17" xfId="61" applyNumberFormat="1" applyFont="1" applyBorder="1" applyAlignment="1">
      <alignment vertical="center"/>
      <protection/>
    </xf>
    <xf numFmtId="3" fontId="22" fillId="0" borderId="21" xfId="61" applyNumberFormat="1" applyFont="1" applyFill="1" applyBorder="1" applyAlignment="1">
      <alignment horizontal="center" vertical="center"/>
      <protection/>
    </xf>
    <xf numFmtId="3" fontId="22" fillId="0" borderId="22" xfId="61" applyNumberFormat="1" applyFont="1" applyFill="1" applyBorder="1" applyAlignment="1">
      <alignment horizontal="center" vertical="center"/>
      <protection/>
    </xf>
    <xf numFmtId="4" fontId="22" fillId="33" borderId="21" xfId="61" applyNumberFormat="1" applyFont="1" applyFill="1" applyBorder="1" applyAlignment="1">
      <alignment vertical="center"/>
      <protection/>
    </xf>
    <xf numFmtId="4" fontId="22" fillId="33" borderId="17" xfId="61" applyNumberFormat="1" applyFont="1" applyFill="1" applyBorder="1" applyAlignment="1">
      <alignment vertical="center"/>
      <protection/>
    </xf>
    <xf numFmtId="2" fontId="14" fillId="0" borderId="21" xfId="61" applyNumberFormat="1" applyBorder="1" applyAlignment="1">
      <alignment vertical="center"/>
      <protection/>
    </xf>
    <xf numFmtId="2" fontId="14" fillId="0" borderId="17" xfId="61" applyNumberFormat="1" applyBorder="1" applyAlignment="1">
      <alignment vertical="center"/>
      <protection/>
    </xf>
    <xf numFmtId="4" fontId="14" fillId="0" borderId="21" xfId="61" applyNumberFormat="1" applyBorder="1" applyAlignment="1">
      <alignment vertical="center"/>
      <protection/>
    </xf>
    <xf numFmtId="3" fontId="14" fillId="0" borderId="22" xfId="61" applyNumberFormat="1" applyFill="1" applyBorder="1" applyAlignment="1">
      <alignment vertical="center"/>
      <protection/>
    </xf>
    <xf numFmtId="3" fontId="14" fillId="0" borderId="31" xfId="61" applyNumberFormat="1" applyFont="1" applyBorder="1" applyAlignment="1">
      <alignment vertical="center"/>
      <protection/>
    </xf>
    <xf numFmtId="4" fontId="14" fillId="0" borderId="21" xfId="61" applyNumberFormat="1" applyFill="1" applyBorder="1" applyAlignment="1">
      <alignment vertical="center"/>
      <protection/>
    </xf>
    <xf numFmtId="3" fontId="14" fillId="0" borderId="17" xfId="61" applyNumberFormat="1" applyFill="1" applyBorder="1" applyAlignment="1">
      <alignment vertical="center"/>
      <protection/>
    </xf>
    <xf numFmtId="3" fontId="2" fillId="33" borderId="21" xfId="61" applyNumberFormat="1" applyFont="1" applyFill="1" applyBorder="1" applyAlignment="1">
      <alignment horizontal="center" vertical="center"/>
      <protection/>
    </xf>
    <xf numFmtId="3" fontId="2" fillId="33" borderId="22" xfId="61" applyNumberFormat="1" applyFont="1" applyFill="1" applyBorder="1" applyAlignment="1">
      <alignment horizontal="center" vertical="center"/>
      <protection/>
    </xf>
    <xf numFmtId="3" fontId="1" fillId="33" borderId="23" xfId="61" applyNumberFormat="1" applyFont="1" applyFill="1" applyBorder="1" applyAlignment="1">
      <alignment vertical="center"/>
      <protection/>
    </xf>
    <xf numFmtId="3" fontId="2" fillId="33" borderId="17" xfId="61" applyNumberFormat="1" applyFont="1" applyFill="1" applyBorder="1" applyAlignment="1">
      <alignment horizontal="center" vertical="center"/>
      <protection/>
    </xf>
    <xf numFmtId="3" fontId="22" fillId="33" borderId="31" xfId="61" applyNumberFormat="1" applyFont="1" applyFill="1" applyBorder="1" applyAlignment="1">
      <alignment vertical="center"/>
      <protection/>
    </xf>
    <xf numFmtId="0" fontId="14" fillId="0" borderId="0" xfId="61" applyAlignment="1">
      <alignment vertical="center"/>
      <protection/>
    </xf>
    <xf numFmtId="3" fontId="40" fillId="33" borderId="21" xfId="61" applyNumberFormat="1" applyFont="1" applyFill="1" applyBorder="1" applyAlignment="1">
      <alignment horizontal="center" vertical="center"/>
      <protection/>
    </xf>
    <xf numFmtId="3" fontId="40" fillId="33" borderId="22" xfId="61" applyNumberFormat="1" applyFont="1" applyFill="1" applyBorder="1" applyAlignment="1">
      <alignment horizontal="center" vertical="center"/>
      <protection/>
    </xf>
    <xf numFmtId="3" fontId="40" fillId="33" borderId="23" xfId="61" applyNumberFormat="1" applyFont="1" applyFill="1" applyBorder="1" applyAlignment="1">
      <alignment vertical="center"/>
      <protection/>
    </xf>
    <xf numFmtId="3" fontId="40" fillId="33" borderId="17" xfId="61" applyNumberFormat="1" applyFont="1" applyFill="1" applyBorder="1" applyAlignment="1">
      <alignment horizontal="center" vertical="center"/>
      <protection/>
    </xf>
    <xf numFmtId="3" fontId="41" fillId="33" borderId="31" xfId="61" applyNumberFormat="1" applyFont="1" applyFill="1" applyBorder="1" applyAlignment="1">
      <alignment vertical="center"/>
      <protection/>
    </xf>
    <xf numFmtId="0" fontId="43" fillId="0" borderId="22" xfId="0" applyFont="1" applyBorder="1" applyAlignment="1">
      <alignment horizontal="left"/>
    </xf>
    <xf numFmtId="49" fontId="67" fillId="34" borderId="21" xfId="0" applyNumberFormat="1" applyFont="1" applyFill="1" applyBorder="1" applyAlignment="1">
      <alignment vertical="center" wrapText="1"/>
    </xf>
    <xf numFmtId="0" fontId="67" fillId="34" borderId="22" xfId="0" applyFont="1" applyFill="1" applyBorder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Alignment="1">
      <alignment/>
    </xf>
    <xf numFmtId="0" fontId="17" fillId="0" borderId="0" xfId="0" applyFont="1" applyBorder="1" applyAlignment="1">
      <alignment/>
    </xf>
    <xf numFmtId="3" fontId="50" fillId="0" borderId="108" xfId="0" applyNumberFormat="1" applyFont="1" applyBorder="1" applyAlignment="1">
      <alignment/>
    </xf>
    <xf numFmtId="3" fontId="21" fillId="0" borderId="108" xfId="0" applyNumberFormat="1" applyFont="1" applyBorder="1" applyAlignment="1">
      <alignment/>
    </xf>
    <xf numFmtId="3" fontId="48" fillId="0" borderId="108" xfId="0" applyNumberFormat="1" applyFont="1" applyBorder="1" applyAlignment="1">
      <alignment/>
    </xf>
    <xf numFmtId="3" fontId="53" fillId="0" borderId="108" xfId="0" applyNumberFormat="1" applyFont="1" applyBorder="1" applyAlignment="1">
      <alignment/>
    </xf>
    <xf numFmtId="3" fontId="55" fillId="0" borderId="108" xfId="0" applyNumberFormat="1" applyFont="1" applyBorder="1" applyAlignment="1">
      <alignment/>
    </xf>
    <xf numFmtId="3" fontId="57" fillId="0" borderId="108" xfId="0" applyNumberFormat="1" applyFont="1" applyBorder="1" applyAlignment="1">
      <alignment/>
    </xf>
    <xf numFmtId="3" fontId="20" fillId="0" borderId="108" xfId="0" applyNumberFormat="1" applyFont="1" applyBorder="1" applyAlignment="1">
      <alignment/>
    </xf>
    <xf numFmtId="3" fontId="16" fillId="0" borderId="108" xfId="0" applyNumberFormat="1" applyFont="1" applyBorder="1" applyAlignment="1">
      <alignment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23" fillId="0" borderId="0" xfId="59" applyFont="1" applyBorder="1" applyAlignment="1">
      <alignment horizontal="left" wrapText="1"/>
      <protection/>
    </xf>
    <xf numFmtId="0" fontId="23" fillId="0" borderId="57" xfId="59" applyFont="1" applyBorder="1" applyAlignment="1">
      <alignment horizontal="left"/>
      <protection/>
    </xf>
    <xf numFmtId="0" fontId="23" fillId="0" borderId="56" xfId="59" applyFont="1" applyBorder="1" applyAlignment="1">
      <alignment horizontal="left"/>
      <protection/>
    </xf>
    <xf numFmtId="0" fontId="19" fillId="0" borderId="54" xfId="0" applyFont="1" applyBorder="1" applyAlignment="1">
      <alignment horizontal="right"/>
    </xf>
    <xf numFmtId="0" fontId="49" fillId="0" borderId="17" xfId="58" applyFont="1" applyBorder="1" applyAlignment="1">
      <alignment horizontal="left" wrapText="1"/>
      <protection/>
    </xf>
    <xf numFmtId="3" fontId="20" fillId="0" borderId="108" xfId="58" applyNumberFormat="1" applyFont="1" applyBorder="1">
      <alignment/>
      <protection/>
    </xf>
    <xf numFmtId="3" fontId="48" fillId="0" borderId="108" xfId="58" applyNumberFormat="1" applyFont="1" applyBorder="1">
      <alignment/>
      <protection/>
    </xf>
    <xf numFmtId="0" fontId="43" fillId="0" borderId="0" xfId="0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/>
    </xf>
    <xf numFmtId="0" fontId="44" fillId="0" borderId="54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17" fillId="0" borderId="21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 wrapText="1"/>
    </xf>
    <xf numFmtId="3" fontId="17" fillId="0" borderId="17" xfId="0" applyNumberFormat="1" applyFont="1" applyFill="1" applyBorder="1" applyAlignment="1">
      <alignment vertical="center"/>
    </xf>
    <xf numFmtId="3" fontId="17" fillId="0" borderId="22" xfId="0" applyNumberFormat="1" applyFont="1" applyFill="1" applyBorder="1" applyAlignment="1">
      <alignment vertical="center"/>
    </xf>
    <xf numFmtId="3" fontId="18" fillId="0" borderId="23" xfId="0" applyNumberFormat="1" applyFont="1" applyFill="1" applyBorder="1" applyAlignment="1">
      <alignment vertical="center"/>
    </xf>
    <xf numFmtId="49" fontId="17" fillId="0" borderId="45" xfId="0" applyNumberFormat="1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vertical="center" wrapText="1"/>
    </xf>
    <xf numFmtId="3" fontId="17" fillId="0" borderId="25" xfId="0" applyNumberFormat="1" applyFont="1" applyFill="1" applyBorder="1" applyAlignment="1">
      <alignment vertical="center"/>
    </xf>
    <xf numFmtId="3" fontId="18" fillId="0" borderId="43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8" fillId="0" borderId="41" xfId="0" applyNumberFormat="1" applyFont="1" applyFill="1" applyBorder="1" applyAlignment="1">
      <alignment horizontal="center" vertical="center"/>
    </xf>
    <xf numFmtId="0" fontId="18" fillId="0" borderId="99" xfId="0" applyFont="1" applyFill="1" applyBorder="1" applyAlignment="1">
      <alignment vertical="center"/>
    </xf>
    <xf numFmtId="3" fontId="18" fillId="0" borderId="109" xfId="0" applyNumberFormat="1" applyFont="1" applyFill="1" applyBorder="1" applyAlignment="1">
      <alignment vertical="center"/>
    </xf>
    <xf numFmtId="3" fontId="18" fillId="0" borderId="11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09" fillId="0" borderId="37" xfId="60" applyNumberFormat="1" applyFont="1" applyFill="1" applyBorder="1" applyAlignment="1">
      <alignment vertical="center" wrapText="1"/>
      <protection/>
    </xf>
    <xf numFmtId="3" fontId="109" fillId="0" borderId="38" xfId="60" applyNumberFormat="1" applyFont="1" applyFill="1" applyBorder="1" applyAlignment="1">
      <alignment vertical="center" wrapText="1"/>
      <protection/>
    </xf>
    <xf numFmtId="3" fontId="109" fillId="0" borderId="21" xfId="60" applyNumberFormat="1" applyFont="1" applyFill="1" applyBorder="1" applyAlignment="1">
      <alignment vertical="center" wrapText="1"/>
      <protection/>
    </xf>
    <xf numFmtId="3" fontId="109" fillId="0" borderId="22" xfId="60" applyNumberFormat="1" applyFont="1" applyFill="1" applyBorder="1" applyAlignment="1">
      <alignment vertical="center" wrapText="1"/>
      <protection/>
    </xf>
    <xf numFmtId="3" fontId="109" fillId="0" borderId="21" xfId="60" applyNumberFormat="1" applyFont="1" applyFill="1" applyBorder="1" applyAlignment="1">
      <alignment vertical="center"/>
      <protection/>
    </xf>
    <xf numFmtId="3" fontId="109" fillId="0" borderId="22" xfId="60" applyNumberFormat="1" applyFont="1" applyFill="1" applyBorder="1" applyAlignment="1">
      <alignment vertical="center"/>
      <protection/>
    </xf>
    <xf numFmtId="3" fontId="109" fillId="0" borderId="39" xfId="60" applyNumberFormat="1" applyFont="1" applyFill="1" applyBorder="1" applyAlignment="1">
      <alignment vertical="center" wrapText="1"/>
      <protection/>
    </xf>
    <xf numFmtId="3" fontId="109" fillId="0" borderId="17" xfId="60" applyNumberFormat="1" applyFont="1" applyFill="1" applyBorder="1" applyAlignment="1">
      <alignment vertical="center" wrapText="1"/>
      <protection/>
    </xf>
    <xf numFmtId="3" fontId="109" fillId="35" borderId="17" xfId="60" applyNumberFormat="1" applyFont="1" applyFill="1" applyBorder="1" applyAlignment="1">
      <alignment horizontal="right" vertical="center" wrapText="1"/>
      <protection/>
    </xf>
    <xf numFmtId="3" fontId="109" fillId="0" borderId="17" xfId="60" applyNumberFormat="1" applyFont="1" applyFill="1" applyBorder="1" applyAlignment="1">
      <alignment vertical="center"/>
      <protection/>
    </xf>
    <xf numFmtId="3" fontId="61" fillId="0" borderId="110" xfId="60" applyNumberFormat="1" applyFont="1" applyFill="1" applyBorder="1" applyAlignment="1">
      <alignment vertical="center"/>
      <protection/>
    </xf>
    <xf numFmtId="3" fontId="61" fillId="0" borderId="109" xfId="60" applyNumberFormat="1" applyFont="1" applyFill="1" applyBorder="1" applyAlignment="1">
      <alignment vertical="center"/>
      <protection/>
    </xf>
    <xf numFmtId="3" fontId="61" fillId="0" borderId="111" xfId="60" applyNumberFormat="1" applyFont="1" applyFill="1" applyBorder="1" applyAlignment="1">
      <alignment vertical="center"/>
      <protection/>
    </xf>
    <xf numFmtId="3" fontId="109" fillId="0" borderId="45" xfId="60" applyNumberFormat="1" applyFont="1" applyFill="1" applyBorder="1" applyAlignment="1">
      <alignment vertical="center"/>
      <protection/>
    </xf>
    <xf numFmtId="3" fontId="109" fillId="0" borderId="44" xfId="60" applyNumberFormat="1" applyFont="1" applyFill="1" applyBorder="1" applyAlignment="1">
      <alignment vertical="center"/>
      <protection/>
    </xf>
    <xf numFmtId="3" fontId="44" fillId="0" borderId="25" xfId="60" applyNumberFormat="1" applyFont="1" applyFill="1" applyBorder="1" applyAlignment="1">
      <alignment vertical="center"/>
      <protection/>
    </xf>
    <xf numFmtId="3" fontId="43" fillId="0" borderId="25" xfId="60" applyNumberFormat="1" applyFont="1" applyFill="1" applyBorder="1" applyAlignment="1">
      <alignment vertical="center"/>
      <protection/>
    </xf>
    <xf numFmtId="3" fontId="21" fillId="0" borderId="112" xfId="60" applyNumberFormat="1" applyFont="1" applyFill="1" applyBorder="1" applyAlignment="1">
      <alignment vertical="center"/>
      <protection/>
    </xf>
    <xf numFmtId="3" fontId="24" fillId="0" borderId="109" xfId="60" applyNumberFormat="1" applyFont="1" applyFill="1" applyBorder="1" applyAlignment="1">
      <alignment vertical="center"/>
      <protection/>
    </xf>
    <xf numFmtId="3" fontId="24" fillId="0" borderId="110" xfId="60" applyNumberFormat="1" applyFont="1" applyFill="1" applyBorder="1" applyAlignment="1">
      <alignment vertical="center"/>
      <protection/>
    </xf>
    <xf numFmtId="3" fontId="23" fillId="0" borderId="48" xfId="59" applyNumberFormat="1" applyFont="1" applyBorder="1" applyAlignment="1">
      <alignment vertical="center"/>
      <protection/>
    </xf>
    <xf numFmtId="3" fontId="47" fillId="0" borderId="87" xfId="59" applyNumberFormat="1" applyFont="1" applyBorder="1">
      <alignment/>
      <protection/>
    </xf>
    <xf numFmtId="164" fontId="6" fillId="0" borderId="40" xfId="0" applyNumberFormat="1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20" fillId="0" borderId="1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114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20" fillId="0" borderId="116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 wrapText="1"/>
    </xf>
    <xf numFmtId="0" fontId="20" fillId="0" borderId="11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/>
    </xf>
    <xf numFmtId="0" fontId="0" fillId="0" borderId="60" xfId="0" applyBorder="1" applyAlignment="1">
      <alignment/>
    </xf>
    <xf numFmtId="0" fontId="19" fillId="0" borderId="31" xfId="0" applyFont="1" applyBorder="1" applyAlignment="1">
      <alignment horizontal="center"/>
    </xf>
    <xf numFmtId="0" fontId="0" fillId="0" borderId="119" xfId="0" applyBorder="1" applyAlignment="1">
      <alignment/>
    </xf>
    <xf numFmtId="3" fontId="22" fillId="4" borderId="119" xfId="0" applyNumberFormat="1" applyFont="1" applyFill="1" applyBorder="1" applyAlignment="1">
      <alignment/>
    </xf>
    <xf numFmtId="3" fontId="0" fillId="0" borderId="36" xfId="0" applyNumberFormat="1" applyBorder="1" applyAlignment="1">
      <alignment/>
    </xf>
    <xf numFmtId="3" fontId="0" fillId="37" borderId="36" xfId="0" applyNumberFormat="1" applyFill="1" applyBorder="1" applyAlignment="1">
      <alignment/>
    </xf>
    <xf numFmtId="3" fontId="0" fillId="4" borderId="120" xfId="0" applyNumberFormat="1" applyFill="1" applyBorder="1" applyAlignment="1">
      <alignment/>
    </xf>
    <xf numFmtId="0" fontId="0" fillId="0" borderId="121" xfId="0" applyBorder="1" applyAlignment="1">
      <alignment/>
    </xf>
    <xf numFmtId="3" fontId="22" fillId="4" borderId="122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37" borderId="22" xfId="0" applyNumberFormat="1" applyFill="1" applyBorder="1" applyAlignment="1">
      <alignment/>
    </xf>
    <xf numFmtId="3" fontId="0" fillId="4" borderId="31" xfId="0" applyNumberFormat="1" applyFill="1" applyBorder="1" applyAlignment="1">
      <alignment/>
    </xf>
    <xf numFmtId="0" fontId="22" fillId="0" borderId="42" xfId="0" applyFont="1" applyBorder="1" applyAlignment="1">
      <alignment/>
    </xf>
    <xf numFmtId="3" fontId="22" fillId="4" borderId="46" xfId="0" applyNumberFormat="1" applyFont="1" applyFill="1" applyBorder="1" applyAlignment="1">
      <alignment/>
    </xf>
    <xf numFmtId="3" fontId="22" fillId="38" borderId="99" xfId="0" applyNumberFormat="1" applyFont="1" applyFill="1" applyBorder="1" applyAlignment="1">
      <alignment/>
    </xf>
    <xf numFmtId="3" fontId="22" fillId="37" borderId="99" xfId="0" applyNumberFormat="1" applyFont="1" applyFill="1" applyBorder="1" applyAlignment="1">
      <alignment/>
    </xf>
    <xf numFmtId="3" fontId="22" fillId="37" borderId="123" xfId="0" applyNumberFormat="1" applyFont="1" applyFill="1" applyBorder="1" applyAlignment="1">
      <alignment/>
    </xf>
    <xf numFmtId="3" fontId="22" fillId="37" borderId="110" xfId="0" applyNumberFormat="1" applyFont="1" applyFill="1" applyBorder="1" applyAlignment="1">
      <alignment/>
    </xf>
    <xf numFmtId="3" fontId="22" fillId="4" borderId="41" xfId="0" applyNumberFormat="1" applyFont="1" applyFill="1" applyBorder="1" applyAlignment="1">
      <alignment/>
    </xf>
    <xf numFmtId="0" fontId="19" fillId="0" borderId="112" xfId="0" applyFont="1" applyBorder="1" applyAlignment="1">
      <alignment horizontal="center"/>
    </xf>
    <xf numFmtId="0" fontId="0" fillId="0" borderId="37" xfId="0" applyBorder="1" applyAlignment="1">
      <alignment horizontal="left"/>
    </xf>
    <xf numFmtId="3" fontId="0" fillId="4" borderId="35" xfId="0" applyNumberFormat="1" applyFill="1" applyBorder="1" applyAlignment="1">
      <alignment/>
    </xf>
    <xf numFmtId="0" fontId="0" fillId="0" borderId="124" xfId="0" applyBorder="1" applyAlignment="1">
      <alignment horizontal="right"/>
    </xf>
    <xf numFmtId="0" fontId="0" fillId="0" borderId="45" xfId="0" applyBorder="1" applyAlignment="1">
      <alignment horizontal="left"/>
    </xf>
    <xf numFmtId="3" fontId="0" fillId="4" borderId="21" xfId="0" applyNumberFormat="1" applyFill="1" applyBorder="1" applyAlignment="1">
      <alignment/>
    </xf>
    <xf numFmtId="0" fontId="19" fillId="0" borderId="117" xfId="0" applyFont="1" applyBorder="1" applyAlignment="1">
      <alignment horizontal="center" vertical="center"/>
    </xf>
    <xf numFmtId="0" fontId="22" fillId="0" borderId="73" xfId="0" applyFont="1" applyBorder="1" applyAlignment="1">
      <alignment/>
    </xf>
    <xf numFmtId="3" fontId="22" fillId="4" borderId="73" xfId="0" applyNumberFormat="1" applyFont="1" applyFill="1" applyBorder="1" applyAlignment="1">
      <alignment/>
    </xf>
    <xf numFmtId="3" fontId="22" fillId="38" borderId="125" xfId="0" applyNumberFormat="1" applyFont="1" applyFill="1" applyBorder="1" applyAlignment="1">
      <alignment horizontal="right"/>
    </xf>
    <xf numFmtId="3" fontId="22" fillId="4" borderId="100" xfId="0" applyNumberFormat="1" applyFont="1" applyFill="1" applyBorder="1" applyAlignment="1">
      <alignment/>
    </xf>
    <xf numFmtId="0" fontId="19" fillId="0" borderId="113" xfId="0" applyFont="1" applyBorder="1" applyAlignment="1">
      <alignment horizontal="center" vertical="center"/>
    </xf>
    <xf numFmtId="3" fontId="14" fillId="4" borderId="35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 vertical="center"/>
    </xf>
    <xf numFmtId="0" fontId="19" fillId="0" borderId="31" xfId="0" applyFont="1" applyBorder="1" applyAlignment="1">
      <alignment horizontal="center" vertical="center"/>
    </xf>
    <xf numFmtId="3" fontId="14" fillId="4" borderId="45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9" fillId="0" borderId="21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19" fillId="0" borderId="117" xfId="0" applyFont="1" applyBorder="1" applyAlignment="1">
      <alignment horizontal="center"/>
    </xf>
    <xf numFmtId="0" fontId="22" fillId="0" borderId="100" xfId="0" applyFont="1" applyBorder="1" applyAlignment="1">
      <alignment/>
    </xf>
    <xf numFmtId="3" fontId="22" fillId="38" borderId="74" xfId="0" applyNumberFormat="1" applyFont="1" applyFill="1" applyBorder="1" applyAlignment="1">
      <alignment/>
    </xf>
    <xf numFmtId="0" fontId="19" fillId="0" borderId="113" xfId="0" applyFont="1" applyBorder="1" applyAlignment="1">
      <alignment horizontal="center"/>
    </xf>
    <xf numFmtId="3" fontId="0" fillId="0" borderId="124" xfId="0" applyNumberFormat="1" applyBorder="1" applyAlignment="1">
      <alignment/>
    </xf>
    <xf numFmtId="3" fontId="0" fillId="37" borderId="78" xfId="0" applyNumberFormat="1" applyFill="1" applyBorder="1" applyAlignment="1">
      <alignment/>
    </xf>
    <xf numFmtId="3" fontId="0" fillId="37" borderId="18" xfId="0" applyNumberFormat="1" applyFill="1" applyBorder="1" applyAlignment="1">
      <alignment/>
    </xf>
    <xf numFmtId="3" fontId="0" fillId="37" borderId="34" xfId="0" applyNumberFormat="1" applyFill="1" applyBorder="1" applyAlignment="1">
      <alignment/>
    </xf>
    <xf numFmtId="0" fontId="0" fillId="0" borderId="126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127" xfId="0" applyBorder="1" applyAlignment="1">
      <alignment/>
    </xf>
    <xf numFmtId="3" fontId="0" fillId="4" borderId="29" xfId="0" applyNumberFormat="1" applyFill="1" applyBorder="1" applyAlignment="1">
      <alignment/>
    </xf>
    <xf numFmtId="3" fontId="0" fillId="37" borderId="99" xfId="0" applyNumberFormat="1" applyFill="1" applyBorder="1" applyAlignment="1">
      <alignment/>
    </xf>
    <xf numFmtId="3" fontId="0" fillId="37" borderId="110" xfId="0" applyNumberFormat="1" applyFill="1" applyBorder="1" applyAlignment="1">
      <alignment/>
    </xf>
    <xf numFmtId="3" fontId="0" fillId="37" borderId="74" xfId="0" applyNumberFormat="1" applyFill="1" applyBorder="1" applyAlignment="1">
      <alignment/>
    </xf>
    <xf numFmtId="3" fontId="0" fillId="37" borderId="128" xfId="0" applyNumberFormat="1" applyFill="1" applyBorder="1" applyAlignment="1">
      <alignment/>
    </xf>
    <xf numFmtId="0" fontId="15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120" xfId="0" applyBorder="1" applyAlignment="1">
      <alignment/>
    </xf>
    <xf numFmtId="3" fontId="23" fillId="0" borderId="61" xfId="59" applyNumberFormat="1" applyFont="1" applyBorder="1" applyAlignment="1">
      <alignment vertical="center"/>
      <protection/>
    </xf>
    <xf numFmtId="3" fontId="23" fillId="0" borderId="105" xfId="59" applyNumberFormat="1" applyFont="1" applyBorder="1" applyAlignment="1">
      <alignment vertical="center"/>
      <protection/>
    </xf>
    <xf numFmtId="3" fontId="23" fillId="0" borderId="129" xfId="59" applyNumberFormat="1" applyFont="1" applyBorder="1" applyAlignment="1">
      <alignment vertical="center"/>
      <protection/>
    </xf>
    <xf numFmtId="3" fontId="23" fillId="0" borderId="0" xfId="59" applyNumberFormat="1" applyFont="1" applyFill="1" applyBorder="1" applyAlignment="1">
      <alignment vertical="center"/>
      <protection/>
    </xf>
    <xf numFmtId="0" fontId="23" fillId="36" borderId="73" xfId="59" applyFont="1" applyFill="1" applyBorder="1" applyAlignment="1">
      <alignment horizontal="left" vertical="center" wrapText="1"/>
      <protection/>
    </xf>
    <xf numFmtId="3" fontId="20" fillId="36" borderId="74" xfId="59" applyNumberFormat="1" applyFont="1" applyFill="1" applyBorder="1" applyAlignment="1">
      <alignment horizontal="right" vertical="center"/>
      <protection/>
    </xf>
    <xf numFmtId="3" fontId="20" fillId="36" borderId="93" xfId="59" applyNumberFormat="1" applyFont="1" applyFill="1" applyBorder="1" applyAlignment="1">
      <alignment vertical="center"/>
      <protection/>
    </xf>
    <xf numFmtId="3" fontId="20" fillId="36" borderId="102" xfId="59" applyNumberFormat="1" applyFont="1" applyFill="1" applyBorder="1" applyAlignment="1">
      <alignment vertical="center"/>
      <protection/>
    </xf>
    <xf numFmtId="0" fontId="23" fillId="36" borderId="76" xfId="59" applyFont="1" applyFill="1" applyBorder="1" applyAlignment="1">
      <alignment horizontal="left" vertical="center"/>
      <protection/>
    </xf>
    <xf numFmtId="3" fontId="16" fillId="36" borderId="100" xfId="59" applyNumberFormat="1" applyFont="1" applyFill="1" applyBorder="1" applyAlignment="1">
      <alignment horizontal="right" vertical="center"/>
      <protection/>
    </xf>
    <xf numFmtId="3" fontId="16" fillId="36" borderId="101" xfId="59" applyNumberFormat="1" applyFont="1" applyFill="1" applyBorder="1" applyAlignment="1">
      <alignment horizontal="right" vertical="center"/>
      <protection/>
    </xf>
    <xf numFmtId="3" fontId="61" fillId="36" borderId="93" xfId="59" applyNumberFormat="1" applyFont="1" applyFill="1" applyBorder="1" applyAlignment="1">
      <alignment horizontal="right" vertical="center"/>
      <protection/>
    </xf>
    <xf numFmtId="3" fontId="61" fillId="36" borderId="74" xfId="59" applyNumberFormat="1" applyFont="1" applyFill="1" applyBorder="1" applyAlignment="1">
      <alignment horizontal="right" vertical="center"/>
      <protection/>
    </xf>
    <xf numFmtId="3" fontId="61" fillId="36" borderId="75" xfId="59" applyNumberFormat="1" applyFont="1" applyFill="1" applyBorder="1" applyAlignment="1">
      <alignment vertical="center"/>
      <protection/>
    </xf>
    <xf numFmtId="3" fontId="61" fillId="36" borderId="76" xfId="59" applyNumberFormat="1" applyFont="1" applyFill="1" applyBorder="1" applyAlignment="1">
      <alignment vertical="center"/>
      <protection/>
    </xf>
    <xf numFmtId="3" fontId="61" fillId="36" borderId="74" xfId="59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 horizontal="center"/>
    </xf>
    <xf numFmtId="0" fontId="20" fillId="0" borderId="130" xfId="59" applyFont="1" applyBorder="1" applyAlignment="1">
      <alignment horizontal="center" vertical="center"/>
      <protection/>
    </xf>
    <xf numFmtId="3" fontId="16" fillId="0" borderId="96" xfId="59" applyNumberFormat="1" applyFont="1" applyBorder="1">
      <alignment/>
      <protection/>
    </xf>
    <xf numFmtId="3" fontId="47" fillId="0" borderId="103" xfId="59" applyNumberFormat="1" applyFont="1" applyBorder="1">
      <alignment/>
      <protection/>
    </xf>
    <xf numFmtId="3" fontId="61" fillId="0" borderId="72" xfId="59" applyNumberFormat="1" applyFont="1" applyBorder="1" applyAlignment="1">
      <alignment horizontal="right" vertical="center"/>
      <protection/>
    </xf>
    <xf numFmtId="0" fontId="16" fillId="0" borderId="131" xfId="59" applyFont="1" applyBorder="1" applyAlignment="1">
      <alignment horizontal="right" vertical="center"/>
      <protection/>
    </xf>
    <xf numFmtId="3" fontId="61" fillId="0" borderId="132" xfId="59" applyNumberFormat="1" applyFont="1" applyBorder="1" applyAlignment="1">
      <alignment horizontal="right" vertical="center"/>
      <protection/>
    </xf>
    <xf numFmtId="0" fontId="20" fillId="0" borderId="50" xfId="59" applyFont="1" applyBorder="1" applyAlignment="1">
      <alignment horizontal="center" vertical="center"/>
      <protection/>
    </xf>
    <xf numFmtId="0" fontId="20" fillId="0" borderId="133" xfId="60" applyFont="1" applyFill="1" applyBorder="1" applyAlignment="1">
      <alignment horizontal="center" vertical="center" wrapText="1"/>
      <protection/>
    </xf>
    <xf numFmtId="0" fontId="20" fillId="0" borderId="46" xfId="59" applyFont="1" applyBorder="1" applyAlignment="1">
      <alignment horizontal="center" vertical="center"/>
      <protection/>
    </xf>
    <xf numFmtId="0" fontId="20" fillId="0" borderId="123" xfId="59" applyFont="1" applyBorder="1" applyAlignment="1">
      <alignment horizontal="center" vertical="center"/>
      <protection/>
    </xf>
    <xf numFmtId="0" fontId="24" fillId="0" borderId="80" xfId="59" applyFont="1" applyBorder="1" applyAlignment="1">
      <alignment horizontal="right" vertical="center"/>
      <protection/>
    </xf>
    <xf numFmtId="3" fontId="20" fillId="0" borderId="82" xfId="59" applyNumberFormat="1" applyFont="1" applyBorder="1" applyAlignment="1">
      <alignment horizontal="right" vertical="center"/>
      <protection/>
    </xf>
    <xf numFmtId="3" fontId="20" fillId="0" borderId="81" xfId="59" applyNumberFormat="1" applyFont="1" applyBorder="1" applyAlignment="1">
      <alignment vertical="center"/>
      <protection/>
    </xf>
    <xf numFmtId="3" fontId="20" fillId="0" borderId="68" xfId="59" applyNumberFormat="1" applyFont="1" applyBorder="1" applyAlignment="1">
      <alignment vertical="center"/>
      <protection/>
    </xf>
    <xf numFmtId="3" fontId="62" fillId="0" borderId="81" xfId="59" applyNumberFormat="1" applyFont="1" applyBorder="1" applyAlignment="1">
      <alignment vertical="center"/>
      <protection/>
    </xf>
    <xf numFmtId="3" fontId="24" fillId="0" borderId="81" xfId="59" applyNumberFormat="1" applyFont="1" applyFill="1" applyBorder="1" applyAlignment="1">
      <alignment vertical="center"/>
      <protection/>
    </xf>
    <xf numFmtId="3" fontId="16" fillId="0" borderId="84" xfId="59" applyNumberFormat="1" applyFont="1" applyBorder="1" applyAlignment="1">
      <alignment vertical="center"/>
      <protection/>
    </xf>
    <xf numFmtId="3" fontId="61" fillId="0" borderId="80" xfId="59" applyNumberFormat="1" applyFont="1" applyBorder="1" applyAlignment="1">
      <alignment vertical="center"/>
      <protection/>
    </xf>
    <xf numFmtId="3" fontId="61" fillId="0" borderId="82" xfId="59" applyNumberFormat="1" applyFont="1" applyBorder="1" applyAlignment="1">
      <alignment vertical="center"/>
      <protection/>
    </xf>
    <xf numFmtId="3" fontId="61" fillId="0" borderId="86" xfId="59" applyNumberFormat="1" applyFont="1" applyBorder="1" applyAlignment="1">
      <alignment vertical="center"/>
      <protection/>
    </xf>
    <xf numFmtId="0" fontId="20" fillId="0" borderId="106" xfId="59" applyFont="1" applyBorder="1" applyAlignment="1">
      <alignment horizontal="center"/>
      <protection/>
    </xf>
    <xf numFmtId="0" fontId="20" fillId="0" borderId="106" xfId="59" applyFont="1" applyBorder="1" applyAlignment="1">
      <alignment horizontal="center" vertical="center"/>
      <protection/>
    </xf>
    <xf numFmtId="3" fontId="20" fillId="36" borderId="100" xfId="59" applyNumberFormat="1" applyFont="1" applyFill="1" applyBorder="1" applyAlignment="1">
      <alignment horizontal="right" vertical="center"/>
      <protection/>
    </xf>
    <xf numFmtId="3" fontId="61" fillId="36" borderId="76" xfId="59" applyNumberFormat="1" applyFont="1" applyFill="1" applyBorder="1" applyAlignment="1">
      <alignment horizontal="right" vertical="center"/>
      <protection/>
    </xf>
    <xf numFmtId="3" fontId="61" fillId="36" borderId="102" xfId="59" applyNumberFormat="1" applyFont="1" applyFill="1" applyBorder="1" applyAlignment="1">
      <alignment vertical="center"/>
      <protection/>
    </xf>
    <xf numFmtId="3" fontId="14" fillId="0" borderId="21" xfId="61" applyNumberFormat="1" applyFont="1" applyFill="1" applyBorder="1" applyAlignment="1">
      <alignment vertical="center"/>
      <protection/>
    </xf>
    <xf numFmtId="3" fontId="14" fillId="0" borderId="22" xfId="61" applyNumberFormat="1" applyFont="1" applyFill="1" applyBorder="1" applyAlignment="1">
      <alignment vertical="center"/>
      <protection/>
    </xf>
    <xf numFmtId="3" fontId="14" fillId="0" borderId="23" xfId="61" applyNumberFormat="1" applyFont="1" applyBorder="1" applyAlignment="1">
      <alignment vertical="center"/>
      <protection/>
    </xf>
    <xf numFmtId="0" fontId="23" fillId="0" borderId="69" xfId="59" applyFont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3" fontId="14" fillId="35" borderId="23" xfId="61" applyNumberFormat="1" applyFill="1" applyBorder="1" applyAlignment="1">
      <alignment vertical="center"/>
      <protection/>
    </xf>
    <xf numFmtId="49" fontId="17" fillId="0" borderId="126" xfId="0" applyNumberFormat="1" applyFont="1" applyFill="1" applyBorder="1" applyAlignment="1">
      <alignment horizontal="center" vertical="center"/>
    </xf>
    <xf numFmtId="3" fontId="17" fillId="0" borderId="54" xfId="0" applyNumberFormat="1" applyFont="1" applyFill="1" applyBorder="1" applyAlignment="1">
      <alignment vertical="center"/>
    </xf>
    <xf numFmtId="3" fontId="18" fillId="0" borderId="134" xfId="0" applyNumberFormat="1" applyFont="1" applyFill="1" applyBorder="1" applyAlignment="1">
      <alignment vertical="center"/>
    </xf>
    <xf numFmtId="3" fontId="18" fillId="0" borderId="111" xfId="0" applyNumberFormat="1" applyFont="1" applyFill="1" applyBorder="1" applyAlignment="1">
      <alignment vertical="center"/>
    </xf>
    <xf numFmtId="0" fontId="23" fillId="0" borderId="0" xfId="59" applyFont="1" applyBorder="1" applyAlignment="1">
      <alignment horizontal="left" vertical="center" wrapText="1"/>
      <protection/>
    </xf>
    <xf numFmtId="3" fontId="16" fillId="0" borderId="135" xfId="59" applyNumberFormat="1" applyFont="1" applyBorder="1" applyAlignment="1">
      <alignment horizontal="right" vertical="center"/>
      <protection/>
    </xf>
    <xf numFmtId="3" fontId="16" fillId="0" borderId="136" xfId="59" applyNumberFormat="1" applyFont="1" applyBorder="1" applyAlignment="1">
      <alignment horizontal="right" vertical="center"/>
      <protection/>
    </xf>
    <xf numFmtId="0" fontId="6" fillId="0" borderId="22" xfId="0" applyFont="1" applyFill="1" applyBorder="1" applyAlignment="1">
      <alignment horizontal="left" vertical="center" wrapText="1"/>
    </xf>
    <xf numFmtId="3" fontId="44" fillId="35" borderId="17" xfId="60" applyNumberFormat="1" applyFont="1" applyFill="1" applyBorder="1" applyAlignment="1">
      <alignment horizontal="right" vertical="center" wrapText="1"/>
      <protection/>
    </xf>
    <xf numFmtId="3" fontId="44" fillId="0" borderId="45" xfId="60" applyNumberFormat="1" applyFont="1" applyFill="1" applyBorder="1" applyAlignment="1">
      <alignment vertical="center"/>
      <protection/>
    </xf>
    <xf numFmtId="3" fontId="44" fillId="0" borderId="44" xfId="60" applyNumberFormat="1" applyFont="1" applyFill="1" applyBorder="1" applyAlignment="1">
      <alignment vertical="center"/>
      <protection/>
    </xf>
    <xf numFmtId="49" fontId="43" fillId="0" borderId="29" xfId="60" applyNumberFormat="1" applyFont="1" applyFill="1" applyBorder="1" applyAlignment="1">
      <alignment horizontal="center" vertical="center"/>
      <protection/>
    </xf>
    <xf numFmtId="3" fontId="19" fillId="0" borderId="28" xfId="59" applyNumberFormat="1" applyFont="1" applyBorder="1">
      <alignment/>
      <protection/>
    </xf>
    <xf numFmtId="0" fontId="23" fillId="0" borderId="28" xfId="59" applyFont="1" applyBorder="1" applyAlignment="1">
      <alignment horizontal="left"/>
      <protection/>
    </xf>
    <xf numFmtId="0" fontId="23" fillId="0" borderId="28" xfId="0" applyFont="1" applyFill="1" applyBorder="1" applyAlignment="1">
      <alignment/>
    </xf>
    <xf numFmtId="3" fontId="16" fillId="0" borderId="137" xfId="59" applyNumberFormat="1" applyFont="1" applyBorder="1" applyAlignment="1">
      <alignment horizontal="right" vertical="center"/>
      <protection/>
    </xf>
    <xf numFmtId="0" fontId="23" fillId="0" borderId="122" xfId="59" applyFont="1" applyBorder="1" applyAlignment="1">
      <alignment horizontal="left" vertical="center" wrapText="1"/>
      <protection/>
    </xf>
    <xf numFmtId="0" fontId="23" fillId="0" borderId="28" xfId="59" applyFont="1" applyBorder="1" applyAlignment="1">
      <alignment horizontal="left" vertical="center" wrapText="1"/>
      <protection/>
    </xf>
    <xf numFmtId="3" fontId="23" fillId="0" borderId="13" xfId="59" applyNumberFormat="1" applyFont="1" applyBorder="1" applyAlignment="1">
      <alignment vertical="center"/>
      <protection/>
    </xf>
    <xf numFmtId="3" fontId="23" fillId="0" borderId="28" xfId="59" applyNumberFormat="1" applyFont="1" applyBorder="1" applyAlignment="1">
      <alignment vertical="center"/>
      <protection/>
    </xf>
    <xf numFmtId="3" fontId="16" fillId="0" borderId="138" xfId="59" applyNumberFormat="1" applyFont="1" applyBorder="1" applyAlignment="1">
      <alignment horizontal="right" vertical="center"/>
      <protection/>
    </xf>
    <xf numFmtId="3" fontId="61" fillId="0" borderId="28" xfId="59" applyNumberFormat="1" applyFont="1" applyBorder="1" applyAlignment="1">
      <alignment horizontal="right" vertical="center"/>
      <protection/>
    </xf>
    <xf numFmtId="3" fontId="61" fillId="0" borderId="18" xfId="59" applyNumberFormat="1" applyFont="1" applyBorder="1" applyAlignment="1">
      <alignment horizontal="right" vertical="center"/>
      <protection/>
    </xf>
    <xf numFmtId="3" fontId="23" fillId="0" borderId="139" xfId="59" applyNumberFormat="1" applyFont="1" applyBorder="1">
      <alignment/>
      <protection/>
    </xf>
    <xf numFmtId="3" fontId="23" fillId="0" borderId="140" xfId="59" applyNumberFormat="1" applyFont="1" applyBorder="1">
      <alignment/>
      <protection/>
    </xf>
    <xf numFmtId="3" fontId="23" fillId="0" borderId="18" xfId="59" applyNumberFormat="1" applyFont="1" applyBorder="1">
      <alignment/>
      <protection/>
    </xf>
    <xf numFmtId="3" fontId="61" fillId="0" borderId="141" xfId="59" applyNumberFormat="1" applyFont="1" applyBorder="1" applyAlignment="1">
      <alignment horizontal="right" vertical="center"/>
      <protection/>
    </xf>
    <xf numFmtId="3" fontId="20" fillId="0" borderId="18" xfId="59" applyNumberFormat="1" applyFont="1" applyBorder="1" applyAlignment="1">
      <alignment horizontal="right"/>
      <protection/>
    </xf>
    <xf numFmtId="3" fontId="20" fillId="0" borderId="141" xfId="59" applyNumberFormat="1" applyFont="1" applyBorder="1">
      <alignment/>
      <protection/>
    </xf>
    <xf numFmtId="0" fontId="19" fillId="0" borderId="72" xfId="59" applyFont="1" applyBorder="1">
      <alignment/>
      <protection/>
    </xf>
    <xf numFmtId="0" fontId="19" fillId="39" borderId="97" xfId="0" applyFont="1" applyFill="1" applyBorder="1" applyAlignment="1">
      <alignment horizontal="center"/>
    </xf>
    <xf numFmtId="0" fontId="19" fillId="0" borderId="142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105" xfId="0" applyBorder="1" applyAlignment="1">
      <alignment vertical="center"/>
    </xf>
    <xf numFmtId="3" fontId="0" fillId="4" borderId="113" xfId="0" applyNumberFormat="1" applyFill="1" applyBorder="1" applyAlignment="1">
      <alignment/>
    </xf>
    <xf numFmtId="0" fontId="19" fillId="0" borderId="97" xfId="0" applyFont="1" applyBorder="1" applyAlignment="1">
      <alignment horizontal="center" vertical="center"/>
    </xf>
    <xf numFmtId="3" fontId="0" fillId="37" borderId="36" xfId="0" applyNumberFormat="1" applyFill="1" applyBorder="1" applyAlignment="1">
      <alignment horizontal="right" vertical="center"/>
    </xf>
    <xf numFmtId="3" fontId="0" fillId="37" borderId="17" xfId="0" applyNumberFormat="1" applyFill="1" applyBorder="1" applyAlignment="1">
      <alignment/>
    </xf>
    <xf numFmtId="3" fontId="0" fillId="37" borderId="143" xfId="0" applyNumberFormat="1" applyFill="1" applyBorder="1" applyAlignment="1">
      <alignment horizontal="right" vertical="center"/>
    </xf>
    <xf numFmtId="3" fontId="0" fillId="4" borderId="121" xfId="0" applyNumberFormat="1" applyFill="1" applyBorder="1" applyAlignment="1">
      <alignment/>
    </xf>
    <xf numFmtId="3" fontId="0" fillId="37" borderId="14" xfId="0" applyNumberFormat="1" applyFill="1" applyBorder="1" applyAlignment="1">
      <alignment/>
    </xf>
    <xf numFmtId="0" fontId="0" fillId="0" borderId="31" xfId="0" applyBorder="1" applyAlignment="1">
      <alignment horizontal="left"/>
    </xf>
    <xf numFmtId="3" fontId="0" fillId="4" borderId="127" xfId="0" applyNumberFormat="1" applyFill="1" applyBorder="1" applyAlignment="1">
      <alignment/>
    </xf>
    <xf numFmtId="3" fontId="22" fillId="37" borderId="14" xfId="0" applyNumberFormat="1" applyFont="1" applyFill="1" applyBorder="1" applyAlignment="1">
      <alignment/>
    </xf>
    <xf numFmtId="0" fontId="0" fillId="0" borderId="137" xfId="0" applyBorder="1" applyAlignment="1">
      <alignment horizontal="left"/>
    </xf>
    <xf numFmtId="3" fontId="0" fillId="37" borderId="144" xfId="0" applyNumberFormat="1" applyFill="1" applyBorder="1" applyAlignment="1">
      <alignment horizontal="right" vertical="center"/>
    </xf>
    <xf numFmtId="3" fontId="0" fillId="0" borderId="20" xfId="0" applyNumberFormat="1" applyBorder="1" applyAlignment="1">
      <alignment/>
    </xf>
    <xf numFmtId="3" fontId="0" fillId="4" borderId="137" xfId="0" applyNumberFormat="1" applyFill="1" applyBorder="1" applyAlignment="1">
      <alignment/>
    </xf>
    <xf numFmtId="3" fontId="0" fillId="4" borderId="145" xfId="0" applyNumberFormat="1" applyFill="1" applyBorder="1" applyAlignment="1">
      <alignment/>
    </xf>
    <xf numFmtId="3" fontId="0" fillId="4" borderId="37" xfId="0" applyNumberFormat="1" applyFill="1" applyBorder="1" applyAlignment="1">
      <alignment/>
    </xf>
    <xf numFmtId="0" fontId="22" fillId="0" borderId="69" xfId="0" applyFont="1" applyBorder="1" applyAlignment="1">
      <alignment/>
    </xf>
    <xf numFmtId="3" fontId="22" fillId="4" borderId="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22" fillId="38" borderId="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 horizontal="center"/>
    </xf>
    <xf numFmtId="3" fontId="22" fillId="4" borderId="60" xfId="0" applyNumberFormat="1" applyFont="1" applyFill="1" applyBorder="1" applyAlignment="1">
      <alignment/>
    </xf>
    <xf numFmtId="3" fontId="0" fillId="35" borderId="36" xfId="0" applyNumberFormat="1" applyFill="1" applyBorder="1" applyAlignment="1">
      <alignment/>
    </xf>
    <xf numFmtId="0" fontId="22" fillId="0" borderId="84" xfId="0" applyFont="1" applyBorder="1" applyAlignment="1">
      <alignment/>
    </xf>
    <xf numFmtId="3" fontId="22" fillId="35" borderId="81" xfId="0" applyNumberFormat="1" applyFont="1" applyFill="1" applyBorder="1" applyAlignment="1">
      <alignment/>
    </xf>
    <xf numFmtId="3" fontId="0" fillId="35" borderId="81" xfId="0" applyNumberFormat="1" applyFill="1" applyBorder="1" applyAlignment="1">
      <alignment/>
    </xf>
    <xf numFmtId="3" fontId="0" fillId="35" borderId="81" xfId="0" applyNumberFormat="1" applyFill="1" applyBorder="1" applyAlignment="1">
      <alignment horizontal="center"/>
    </xf>
    <xf numFmtId="3" fontId="22" fillId="35" borderId="129" xfId="0" applyNumberFormat="1" applyFont="1" applyFill="1" applyBorder="1" applyAlignment="1">
      <alignment/>
    </xf>
    <xf numFmtId="3" fontId="0" fillId="35" borderId="78" xfId="0" applyNumberFormat="1" applyFill="1" applyBorder="1" applyAlignment="1">
      <alignment/>
    </xf>
    <xf numFmtId="3" fontId="0" fillId="35" borderId="18" xfId="0" applyNumberFormat="1" applyFill="1" applyBorder="1" applyAlignment="1">
      <alignment/>
    </xf>
    <xf numFmtId="3" fontId="0" fillId="35" borderId="34" xfId="0" applyNumberFormat="1" applyFill="1" applyBorder="1" applyAlignment="1">
      <alignment/>
    </xf>
    <xf numFmtId="3" fontId="0" fillId="35" borderId="38" xfId="0" applyNumberFormat="1" applyFill="1" applyBorder="1" applyAlignment="1">
      <alignment/>
    </xf>
    <xf numFmtId="3" fontId="0" fillId="35" borderId="22" xfId="0" applyNumberFormat="1" applyFill="1" applyBorder="1" applyAlignment="1">
      <alignment/>
    </xf>
    <xf numFmtId="0" fontId="22" fillId="35" borderId="84" xfId="0" applyFont="1" applyFill="1" applyBorder="1" applyAlignment="1">
      <alignment/>
    </xf>
    <xf numFmtId="0" fontId="19" fillId="39" borderId="97" xfId="0" applyFont="1" applyFill="1" applyBorder="1" applyAlignment="1">
      <alignment horizontal="center" vertical="center"/>
    </xf>
    <xf numFmtId="0" fontId="0" fillId="0" borderId="146" xfId="0" applyBorder="1" applyAlignment="1">
      <alignment vertical="center"/>
    </xf>
    <xf numFmtId="3" fontId="14" fillId="4" borderId="37" xfId="0" applyNumberFormat="1" applyFont="1" applyFill="1" applyBorder="1" applyAlignment="1">
      <alignment horizontal="right"/>
    </xf>
    <xf numFmtId="3" fontId="0" fillId="37" borderId="38" xfId="0" applyNumberFormat="1" applyFill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0" fillId="4" borderId="30" xfId="0" applyNumberFormat="1" applyFill="1" applyBorder="1" applyAlignment="1">
      <alignment/>
    </xf>
    <xf numFmtId="3" fontId="0" fillId="0" borderId="38" xfId="0" applyNumberFormat="1" applyBorder="1" applyAlignment="1">
      <alignment/>
    </xf>
    <xf numFmtId="0" fontId="19" fillId="0" borderId="147" xfId="0" applyFont="1" applyBorder="1" applyAlignment="1">
      <alignment horizontal="center"/>
    </xf>
    <xf numFmtId="3" fontId="0" fillId="37" borderId="108" xfId="0" applyNumberFormat="1" applyFill="1" applyBorder="1" applyAlignment="1">
      <alignment horizontal="right" vertical="center"/>
    </xf>
    <xf numFmtId="3" fontId="0" fillId="0" borderId="39" xfId="0" applyNumberFormat="1" applyBorder="1" applyAlignment="1">
      <alignment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/>
    </xf>
    <xf numFmtId="3" fontId="0" fillId="35" borderId="17" xfId="0" applyNumberFormat="1" applyFill="1" applyBorder="1" applyAlignment="1">
      <alignment/>
    </xf>
    <xf numFmtId="3" fontId="0" fillId="35" borderId="54" xfId="0" applyNumberFormat="1" applyFill="1" applyBorder="1" applyAlignment="1">
      <alignment/>
    </xf>
    <xf numFmtId="3" fontId="0" fillId="0" borderId="22" xfId="0" applyNumberFormat="1" applyBorder="1" applyAlignment="1">
      <alignment horizontal="right"/>
    </xf>
    <xf numFmtId="0" fontId="0" fillId="0" borderId="0" xfId="0" applyFont="1" applyAlignment="1">
      <alignment/>
    </xf>
    <xf numFmtId="0" fontId="21" fillId="35" borderId="14" xfId="60" applyFont="1" applyFill="1" applyBorder="1" applyAlignment="1">
      <alignment horizontal="left" vertical="center" wrapText="1"/>
      <protection/>
    </xf>
    <xf numFmtId="3" fontId="0" fillId="4" borderId="126" xfId="0" applyNumberFormat="1" applyFill="1" applyBorder="1" applyAlignment="1">
      <alignment/>
    </xf>
    <xf numFmtId="3" fontId="0" fillId="37" borderId="32" xfId="0" applyNumberFormat="1" applyFill="1" applyBorder="1" applyAlignment="1">
      <alignment/>
    </xf>
    <xf numFmtId="3" fontId="0" fillId="37" borderId="108" xfId="0" applyNumberFormat="1" applyFill="1" applyBorder="1" applyAlignment="1">
      <alignment/>
    </xf>
    <xf numFmtId="0" fontId="0" fillId="0" borderId="127" xfId="0" applyBorder="1" applyAlignment="1">
      <alignment wrapText="1"/>
    </xf>
    <xf numFmtId="3" fontId="61" fillId="0" borderId="131" xfId="59" applyNumberFormat="1" applyFont="1" applyBorder="1" applyAlignment="1">
      <alignment horizontal="right" vertical="center"/>
      <protection/>
    </xf>
    <xf numFmtId="3" fontId="20" fillId="0" borderId="78" xfId="59" applyNumberFormat="1" applyFont="1" applyBorder="1" applyAlignment="1">
      <alignment horizontal="right" vertical="center"/>
      <protection/>
    </xf>
    <xf numFmtId="3" fontId="20" fillId="0" borderId="58" xfId="59" applyNumberFormat="1" applyFont="1" applyBorder="1" applyAlignment="1">
      <alignment horizontal="right" vertical="center"/>
      <protection/>
    </xf>
    <xf numFmtId="3" fontId="16" fillId="0" borderId="88" xfId="59" applyNumberFormat="1" applyFont="1" applyBorder="1" applyAlignment="1">
      <alignment horizontal="right" vertical="center"/>
      <protection/>
    </xf>
    <xf numFmtId="3" fontId="16" fillId="0" borderId="148" xfId="59" applyNumberFormat="1" applyFont="1" applyBorder="1" applyAlignment="1">
      <alignment horizontal="right" vertical="center"/>
      <protection/>
    </xf>
    <xf numFmtId="3" fontId="61" fillId="0" borderId="131" xfId="59" applyNumberFormat="1" applyFont="1" applyBorder="1" applyAlignment="1">
      <alignment horizontal="center" vertical="center"/>
      <protection/>
    </xf>
    <xf numFmtId="3" fontId="23" fillId="0" borderId="48" xfId="59" applyNumberFormat="1" applyFont="1" applyBorder="1" applyAlignment="1">
      <alignment/>
      <protection/>
    </xf>
    <xf numFmtId="3" fontId="20" fillId="36" borderId="74" xfId="59" applyNumberFormat="1" applyFont="1" applyFill="1" applyBorder="1" applyAlignment="1">
      <alignment vertical="center"/>
      <protection/>
    </xf>
    <xf numFmtId="3" fontId="20" fillId="36" borderId="149" xfId="59" applyNumberFormat="1" applyFont="1" applyFill="1" applyBorder="1" applyAlignment="1">
      <alignment vertical="center"/>
      <protection/>
    </xf>
    <xf numFmtId="3" fontId="20" fillId="36" borderId="128" xfId="59" applyNumberFormat="1" applyFont="1" applyFill="1" applyBorder="1" applyAlignment="1">
      <alignment vertical="center"/>
      <protection/>
    </xf>
    <xf numFmtId="3" fontId="61" fillId="0" borderId="102" xfId="59" applyNumberFormat="1" applyFont="1" applyBorder="1" applyAlignment="1">
      <alignment horizontal="right" vertical="center"/>
      <protection/>
    </xf>
    <xf numFmtId="0" fontId="23" fillId="0" borderId="69" xfId="59" applyFont="1" applyBorder="1" applyAlignment="1">
      <alignment horizontal="left" vertical="center" wrapText="1"/>
      <protection/>
    </xf>
    <xf numFmtId="3" fontId="23" fillId="0" borderId="0" xfId="0" applyNumberFormat="1" applyFont="1" applyBorder="1" applyAlignment="1">
      <alignment/>
    </xf>
    <xf numFmtId="3" fontId="110" fillId="0" borderId="22" xfId="58" applyNumberFormat="1" applyFont="1" applyBorder="1">
      <alignment/>
      <protection/>
    </xf>
    <xf numFmtId="3" fontId="111" fillId="0" borderId="22" xfId="58" applyNumberFormat="1" applyFont="1" applyBorder="1">
      <alignment/>
      <protection/>
    </xf>
    <xf numFmtId="0" fontId="43" fillId="0" borderId="22" xfId="0" applyFont="1" applyBorder="1" applyAlignment="1">
      <alignment horizontal="left"/>
    </xf>
    <xf numFmtId="0" fontId="47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3" fillId="0" borderId="22" xfId="0" applyFont="1" applyBorder="1" applyAlignment="1">
      <alignment horizontal="left" wrapText="1"/>
    </xf>
    <xf numFmtId="0" fontId="44" fillId="0" borderId="22" xfId="0" applyFont="1" applyBorder="1" applyAlignment="1">
      <alignment horizontal="left" wrapText="1"/>
    </xf>
    <xf numFmtId="0" fontId="16" fillId="0" borderId="22" xfId="0" applyFont="1" applyBorder="1" applyAlignment="1">
      <alignment horizontal="left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3" fillId="0" borderId="22" xfId="58" applyFont="1" applyBorder="1" applyAlignment="1">
      <alignment horizontal="left"/>
      <protection/>
    </xf>
    <xf numFmtId="0" fontId="20" fillId="0" borderId="14" xfId="58" applyFont="1" applyBorder="1" applyAlignment="1">
      <alignment horizontal="left"/>
      <protection/>
    </xf>
    <xf numFmtId="0" fontId="20" fillId="0" borderId="16" xfId="58" applyFont="1" applyBorder="1" applyAlignment="1">
      <alignment horizontal="left"/>
      <protection/>
    </xf>
    <xf numFmtId="0" fontId="20" fillId="0" borderId="17" xfId="58" applyFont="1" applyBorder="1" applyAlignment="1">
      <alignment horizontal="left"/>
      <protection/>
    </xf>
    <xf numFmtId="0" fontId="16" fillId="0" borderId="14" xfId="58" applyFont="1" applyBorder="1" applyAlignment="1">
      <alignment horizontal="left"/>
      <protection/>
    </xf>
    <xf numFmtId="0" fontId="16" fillId="0" borderId="16" xfId="58" applyFont="1" applyBorder="1" applyAlignment="1">
      <alignment horizontal="left"/>
      <protection/>
    </xf>
    <xf numFmtId="0" fontId="16" fillId="0" borderId="17" xfId="58" applyFont="1" applyBorder="1" applyAlignment="1">
      <alignment horizontal="left"/>
      <protection/>
    </xf>
    <xf numFmtId="0" fontId="43" fillId="0" borderId="14" xfId="58" applyFont="1" applyBorder="1" applyAlignment="1">
      <alignment horizontal="left" wrapText="1"/>
      <protection/>
    </xf>
    <xf numFmtId="0" fontId="43" fillId="0" borderId="17" xfId="58" applyFont="1" applyBorder="1" applyAlignment="1">
      <alignment horizontal="left" wrapText="1"/>
      <protection/>
    </xf>
    <xf numFmtId="0" fontId="44" fillId="0" borderId="14" xfId="58" applyFont="1" applyBorder="1" applyAlignment="1">
      <alignment horizontal="left" wrapText="1"/>
      <protection/>
    </xf>
    <xf numFmtId="0" fontId="44" fillId="0" borderId="17" xfId="58" applyFont="1" applyBorder="1" applyAlignment="1">
      <alignment horizontal="left" wrapText="1"/>
      <protection/>
    </xf>
    <xf numFmtId="0" fontId="20" fillId="0" borderId="22" xfId="58" applyFont="1" applyBorder="1" applyAlignment="1">
      <alignment horizontal="left"/>
      <protection/>
    </xf>
    <xf numFmtId="0" fontId="43" fillId="0" borderId="14" xfId="58" applyFont="1" applyBorder="1" applyAlignment="1">
      <alignment horizontal="left" vertical="center" wrapText="1"/>
      <protection/>
    </xf>
    <xf numFmtId="0" fontId="43" fillId="0" borderId="17" xfId="58" applyFont="1" applyBorder="1" applyAlignment="1">
      <alignment horizontal="left" vertical="center" wrapText="1"/>
      <protection/>
    </xf>
    <xf numFmtId="0" fontId="19" fillId="0" borderId="0" xfId="58" applyFont="1" applyAlignment="1">
      <alignment horizontal="right" vertical="center"/>
      <protection/>
    </xf>
    <xf numFmtId="0" fontId="46" fillId="0" borderId="0" xfId="58" applyFont="1" applyFill="1" applyAlignment="1">
      <alignment horizontal="center" vertical="center"/>
      <protection/>
    </xf>
    <xf numFmtId="0" fontId="47" fillId="0" borderId="14" xfId="58" applyFont="1" applyFill="1" applyBorder="1" applyAlignment="1">
      <alignment horizontal="center" vertical="center" wrapText="1"/>
      <protection/>
    </xf>
    <xf numFmtId="0" fontId="20" fillId="0" borderId="16" xfId="58" applyFont="1" applyFill="1" applyBorder="1" applyAlignment="1">
      <alignment horizontal="center" vertical="center" wrapText="1"/>
      <protection/>
    </xf>
    <xf numFmtId="0" fontId="20" fillId="0" borderId="17" xfId="58" applyFont="1" applyFill="1" applyBorder="1" applyAlignment="1">
      <alignment horizontal="center" vertical="center" wrapText="1"/>
      <protection/>
    </xf>
    <xf numFmtId="0" fontId="17" fillId="0" borderId="14" xfId="58" applyFont="1" applyFill="1" applyBorder="1" applyAlignment="1">
      <alignment horizontal="center" vertical="center" wrapText="1"/>
      <protection/>
    </xf>
    <xf numFmtId="0" fontId="17" fillId="0" borderId="16" xfId="58" applyFont="1" applyBorder="1" applyAlignment="1">
      <alignment horizontal="center" vertical="center" wrapText="1"/>
      <protection/>
    </xf>
    <xf numFmtId="0" fontId="17" fillId="0" borderId="17" xfId="58" applyFont="1" applyBorder="1" applyAlignment="1">
      <alignment horizontal="center" vertical="center" wrapText="1"/>
      <protection/>
    </xf>
    <xf numFmtId="0" fontId="43" fillId="0" borderId="14" xfId="58" applyFont="1" applyBorder="1" applyAlignment="1">
      <alignment horizontal="left"/>
      <protection/>
    </xf>
    <xf numFmtId="0" fontId="43" fillId="0" borderId="16" xfId="58" applyFont="1" applyBorder="1" applyAlignment="1">
      <alignment horizontal="left"/>
      <protection/>
    </xf>
    <xf numFmtId="0" fontId="43" fillId="0" borderId="17" xfId="58" applyFont="1" applyBorder="1" applyAlignment="1">
      <alignment horizontal="left"/>
      <protection/>
    </xf>
    <xf numFmtId="0" fontId="21" fillId="0" borderId="14" xfId="57" applyFont="1" applyBorder="1" applyAlignment="1">
      <alignment horizontal="center" vertical="center" wrapText="1"/>
      <protection/>
    </xf>
    <xf numFmtId="0" fontId="21" fillId="0" borderId="16" xfId="57" applyFont="1" applyBorder="1" applyAlignment="1">
      <alignment horizontal="center" vertical="center" wrapText="1"/>
      <protection/>
    </xf>
    <xf numFmtId="0" fontId="21" fillId="0" borderId="17" xfId="5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 vertical="center"/>
    </xf>
    <xf numFmtId="0" fontId="42" fillId="0" borderId="0" xfId="0" applyFont="1" applyAlignment="1">
      <alignment horizontal="right"/>
    </xf>
    <xf numFmtId="0" fontId="16" fillId="0" borderId="0" xfId="57" applyFont="1" applyAlignment="1">
      <alignment horizontal="center"/>
      <protection/>
    </xf>
    <xf numFmtId="0" fontId="16" fillId="0" borderId="22" xfId="57" applyFont="1" applyBorder="1" applyAlignment="1">
      <alignment horizontal="center" vertical="center"/>
      <protection/>
    </xf>
    <xf numFmtId="0" fontId="21" fillId="0" borderId="22" xfId="57" applyFont="1" applyBorder="1" applyAlignment="1">
      <alignment horizontal="center" vertic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0" fontId="18" fillId="0" borderId="14" xfId="57" applyFont="1" applyBorder="1" applyAlignment="1">
      <alignment horizontal="right" vertical="center"/>
      <protection/>
    </xf>
    <xf numFmtId="0" fontId="18" fillId="0" borderId="16" xfId="57" applyFont="1" applyBorder="1" applyAlignment="1">
      <alignment horizontal="right" vertical="center"/>
      <protection/>
    </xf>
    <xf numFmtId="49" fontId="44" fillId="0" borderId="21" xfId="0" applyNumberFormat="1" applyFont="1" applyFill="1" applyBorder="1" applyAlignment="1">
      <alignment horizontal="center" textRotation="90"/>
    </xf>
    <xf numFmtId="0" fontId="48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18" fillId="0" borderId="0" xfId="0" applyFont="1" applyFill="1" applyAlignment="1">
      <alignment horizontal="center" vertical="center"/>
    </xf>
    <xf numFmtId="49" fontId="21" fillId="0" borderId="145" xfId="0" applyNumberFormat="1" applyFont="1" applyFill="1" applyBorder="1" applyAlignment="1">
      <alignment horizontal="center" vertical="center"/>
    </xf>
    <xf numFmtId="49" fontId="21" fillId="0" borderId="126" xfId="0" applyNumberFormat="1" applyFont="1" applyFill="1" applyBorder="1" applyAlignment="1">
      <alignment horizontal="center" vertical="center"/>
    </xf>
    <xf numFmtId="49" fontId="21" fillId="0" borderId="37" xfId="0" applyNumberFormat="1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65" fillId="0" borderId="143" xfId="0" applyFont="1" applyFill="1" applyBorder="1" applyAlignment="1">
      <alignment horizontal="center" vertical="center" wrapText="1"/>
    </xf>
    <xf numFmtId="0" fontId="65" fillId="0" borderId="108" xfId="0" applyFont="1" applyFill="1" applyBorder="1" applyAlignment="1">
      <alignment horizontal="center" vertical="center" wrapText="1"/>
    </xf>
    <xf numFmtId="0" fontId="65" fillId="0" borderId="107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21" fillId="0" borderId="150" xfId="0" applyFont="1" applyFill="1" applyBorder="1" applyAlignment="1">
      <alignment horizontal="center" vertical="center"/>
    </xf>
    <xf numFmtId="0" fontId="21" fillId="0" borderId="151" xfId="0" applyFont="1" applyFill="1" applyBorder="1" applyAlignment="1">
      <alignment horizontal="center" vertical="center"/>
    </xf>
    <xf numFmtId="0" fontId="21" fillId="0" borderId="124" xfId="0" applyFont="1" applyFill="1" applyBorder="1" applyAlignment="1">
      <alignment horizontal="center" vertical="center"/>
    </xf>
    <xf numFmtId="0" fontId="21" fillId="0" borderId="152" xfId="0" applyFont="1" applyFill="1" applyBorder="1" applyAlignment="1">
      <alignment horizontal="center" vertical="center" wrapText="1"/>
    </xf>
    <xf numFmtId="0" fontId="21" fillId="0" borderId="134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9" fontId="47" fillId="0" borderId="121" xfId="0" applyNumberFormat="1" applyFont="1" applyFill="1" applyBorder="1" applyAlignment="1">
      <alignment horizontal="left" vertical="center"/>
    </xf>
    <xf numFmtId="49" fontId="47" fillId="0" borderId="16" xfId="0" applyNumberFormat="1" applyFont="1" applyFill="1" applyBorder="1" applyAlignment="1">
      <alignment horizontal="left" vertical="center"/>
    </xf>
    <xf numFmtId="49" fontId="47" fillId="0" borderId="11" xfId="0" applyNumberFormat="1" applyFont="1" applyFill="1" applyBorder="1" applyAlignment="1">
      <alignment horizontal="left" vertical="center"/>
    </xf>
    <xf numFmtId="49" fontId="47" fillId="0" borderId="127" xfId="0" applyNumberFormat="1" applyFont="1" applyFill="1" applyBorder="1" applyAlignment="1">
      <alignment horizontal="left" vertical="center"/>
    </xf>
    <xf numFmtId="49" fontId="47" fillId="0" borderId="27" xfId="0" applyNumberFormat="1" applyFont="1" applyFill="1" applyBorder="1" applyAlignment="1">
      <alignment horizontal="left" vertical="center"/>
    </xf>
    <xf numFmtId="49" fontId="47" fillId="0" borderId="24" xfId="0" applyNumberFormat="1" applyFont="1" applyFill="1" applyBorder="1" applyAlignment="1">
      <alignment horizontal="left" vertical="center"/>
    </xf>
    <xf numFmtId="49" fontId="47" fillId="0" borderId="119" xfId="0" applyNumberFormat="1" applyFont="1" applyFill="1" applyBorder="1" applyAlignment="1">
      <alignment horizontal="left" vertical="center"/>
    </xf>
    <xf numFmtId="49" fontId="47" fillId="0" borderId="151" xfId="0" applyNumberFormat="1" applyFont="1" applyFill="1" applyBorder="1" applyAlignment="1">
      <alignment horizontal="left" vertical="center"/>
    </xf>
    <xf numFmtId="49" fontId="47" fillId="0" borderId="153" xfId="0" applyNumberFormat="1" applyFont="1" applyFill="1" applyBorder="1" applyAlignment="1">
      <alignment horizontal="left" vertical="center"/>
    </xf>
    <xf numFmtId="0" fontId="19" fillId="0" borderId="0" xfId="60" applyFont="1" applyFill="1" applyAlignment="1">
      <alignment horizontal="right" vertical="center"/>
      <protection/>
    </xf>
    <xf numFmtId="0" fontId="19" fillId="0" borderId="0" xfId="60" applyFont="1" applyAlignment="1">
      <alignment horizontal="right"/>
      <protection/>
    </xf>
    <xf numFmtId="0" fontId="18" fillId="0" borderId="136" xfId="60" applyFont="1" applyFill="1" applyBorder="1" applyAlignment="1">
      <alignment horizontal="center" vertical="center" wrapText="1"/>
      <protection/>
    </xf>
    <xf numFmtId="0" fontId="18" fillId="0" borderId="113" xfId="60" applyFont="1" applyFill="1" applyBorder="1" applyAlignment="1">
      <alignment horizontal="center" vertical="center" wrapText="1"/>
      <protection/>
    </xf>
    <xf numFmtId="0" fontId="18" fillId="0" borderId="135" xfId="60" applyFont="1" applyFill="1" applyBorder="1" applyAlignment="1">
      <alignment horizontal="center" vertical="center" wrapText="1"/>
      <protection/>
    </xf>
    <xf numFmtId="0" fontId="16" fillId="0" borderId="0" xfId="60" applyFont="1" applyFill="1" applyAlignment="1">
      <alignment horizontal="center" vertical="center" wrapText="1"/>
      <protection/>
    </xf>
    <xf numFmtId="0" fontId="21" fillId="0" borderId="61" xfId="60" applyFont="1" applyFill="1" applyBorder="1" applyAlignment="1">
      <alignment horizontal="center" vertical="center" wrapText="1"/>
      <protection/>
    </xf>
    <xf numFmtId="0" fontId="21" fillId="0" borderId="60" xfId="60" applyFont="1" applyFill="1" applyBorder="1" applyAlignment="1">
      <alignment horizontal="center" vertical="center" wrapText="1"/>
      <protection/>
    </xf>
    <xf numFmtId="0" fontId="21" fillId="0" borderId="48" xfId="60" applyFont="1" applyFill="1" applyBorder="1" applyAlignment="1">
      <alignment horizontal="center" vertical="center" wrapText="1"/>
      <protection/>
    </xf>
    <xf numFmtId="0" fontId="21" fillId="0" borderId="39" xfId="60" applyFont="1" applyFill="1" applyBorder="1" applyAlignment="1">
      <alignment horizontal="center" vertical="center" wrapText="1"/>
      <protection/>
    </xf>
    <xf numFmtId="0" fontId="21" fillId="0" borderId="38" xfId="60" applyFont="1" applyFill="1" applyBorder="1" applyAlignment="1">
      <alignment horizontal="center" vertical="center" wrapText="1"/>
      <protection/>
    </xf>
    <xf numFmtId="0" fontId="21" fillId="0" borderId="40" xfId="60" applyFont="1" applyFill="1" applyBorder="1" applyAlignment="1">
      <alignment horizontal="center" vertical="center" wrapText="1"/>
      <protection/>
    </xf>
    <xf numFmtId="0" fontId="21" fillId="0" borderId="17" xfId="60" applyFont="1" applyFill="1" applyBorder="1" applyAlignment="1">
      <alignment horizontal="center" vertical="center" wrapText="1"/>
      <protection/>
    </xf>
    <xf numFmtId="0" fontId="21" fillId="0" borderId="22" xfId="60" applyFont="1" applyFill="1" applyBorder="1" applyAlignment="1">
      <alignment horizontal="center" vertical="center" wrapText="1"/>
      <protection/>
    </xf>
    <xf numFmtId="0" fontId="21" fillId="0" borderId="23" xfId="60" applyFont="1" applyFill="1" applyBorder="1" applyAlignment="1">
      <alignment horizontal="center" vertical="center" wrapText="1"/>
      <protection/>
    </xf>
    <xf numFmtId="0" fontId="61" fillId="0" borderId="122" xfId="60" applyFont="1" applyFill="1" applyBorder="1" applyAlignment="1">
      <alignment horizontal="left" vertical="center"/>
      <protection/>
    </xf>
    <xf numFmtId="0" fontId="61" fillId="0" borderId="28" xfId="60" applyFont="1" applyFill="1" applyBorder="1" applyAlignment="1">
      <alignment horizontal="left" vertical="center"/>
      <protection/>
    </xf>
    <xf numFmtId="0" fontId="61" fillId="0" borderId="13" xfId="60" applyFont="1" applyFill="1" applyBorder="1" applyAlignment="1">
      <alignment horizontal="left" vertical="center"/>
      <protection/>
    </xf>
    <xf numFmtId="0" fontId="24" fillId="0" borderId="46" xfId="60" applyFont="1" applyFill="1" applyBorder="1" applyAlignment="1">
      <alignment horizontal="left" vertical="center"/>
      <protection/>
    </xf>
    <xf numFmtId="0" fontId="24" fillId="0" borderId="106" xfId="60" applyFont="1" applyFill="1" applyBorder="1" applyAlignment="1">
      <alignment horizontal="left" vertical="center"/>
      <protection/>
    </xf>
    <xf numFmtId="0" fontId="24" fillId="0" borderId="111" xfId="60" applyFont="1" applyFill="1" applyBorder="1" applyAlignment="1">
      <alignment horizontal="left" vertical="center"/>
      <protection/>
    </xf>
    <xf numFmtId="0" fontId="24" fillId="0" borderId="46" xfId="60" applyFont="1" applyFill="1" applyBorder="1" applyAlignment="1">
      <alignment horizontal="left" vertical="center" wrapText="1"/>
      <protection/>
    </xf>
    <xf numFmtId="0" fontId="24" fillId="0" borderId="106" xfId="60" applyFont="1" applyFill="1" applyBorder="1" applyAlignment="1">
      <alignment horizontal="left" vertical="center" wrapText="1"/>
      <protection/>
    </xf>
    <xf numFmtId="0" fontId="24" fillId="0" borderId="111" xfId="60" applyFont="1" applyFill="1" applyBorder="1" applyAlignment="1">
      <alignment horizontal="left" vertical="center" wrapText="1"/>
      <protection/>
    </xf>
    <xf numFmtId="0" fontId="21" fillId="0" borderId="78" xfId="60" applyFont="1" applyFill="1" applyBorder="1" applyAlignment="1">
      <alignment horizontal="center" vertical="center"/>
      <protection/>
    </xf>
    <xf numFmtId="0" fontId="21" fillId="0" borderId="32" xfId="60" applyFont="1" applyFill="1" applyBorder="1" applyAlignment="1">
      <alignment horizontal="center" vertical="center"/>
      <protection/>
    </xf>
    <xf numFmtId="0" fontId="21" fillId="0" borderId="92" xfId="60" applyFont="1" applyFill="1" applyBorder="1" applyAlignment="1">
      <alignment horizontal="center" vertical="center"/>
      <protection/>
    </xf>
    <xf numFmtId="49" fontId="21" fillId="0" borderId="145" xfId="60" applyNumberFormat="1" applyFont="1" applyFill="1" applyBorder="1" applyAlignment="1">
      <alignment horizontal="center" vertical="center"/>
      <protection/>
    </xf>
    <xf numFmtId="49" fontId="21" fillId="0" borderId="126" xfId="60" applyNumberFormat="1" applyFont="1" applyFill="1" applyBorder="1" applyAlignment="1">
      <alignment horizontal="center" vertical="center"/>
      <protection/>
    </xf>
    <xf numFmtId="49" fontId="21" fillId="0" borderId="154" xfId="60" applyNumberFormat="1" applyFont="1" applyFill="1" applyBorder="1" applyAlignment="1">
      <alignment horizontal="center" vertical="center"/>
      <protection/>
    </xf>
    <xf numFmtId="0" fontId="16" fillId="0" borderId="106" xfId="60" applyFont="1" applyFill="1" applyBorder="1" applyAlignment="1">
      <alignment horizontal="center" vertical="center"/>
      <protection/>
    </xf>
    <xf numFmtId="0" fontId="16" fillId="0" borderId="111" xfId="60" applyFont="1" applyFill="1" applyBorder="1" applyAlignment="1">
      <alignment horizontal="center" vertical="center"/>
      <protection/>
    </xf>
    <xf numFmtId="0" fontId="23" fillId="0" borderId="88" xfId="59" applyFont="1" applyBorder="1" applyAlignment="1">
      <alignment horizontal="left" vertical="center" wrapText="1"/>
      <protection/>
    </xf>
    <xf numFmtId="0" fontId="23" fillId="0" borderId="56" xfId="59" applyFont="1" applyBorder="1" applyAlignment="1">
      <alignment horizontal="left" vertical="center" wrapText="1"/>
      <protection/>
    </xf>
    <xf numFmtId="0" fontId="24" fillId="0" borderId="57" xfId="59" applyFont="1" applyBorder="1" applyAlignment="1">
      <alignment horizontal="right" vertical="center"/>
      <protection/>
    </xf>
    <xf numFmtId="0" fontId="24" fillId="0" borderId="56" xfId="59" applyFont="1" applyBorder="1" applyAlignment="1">
      <alignment horizontal="right" vertical="center"/>
      <protection/>
    </xf>
    <xf numFmtId="0" fontId="24" fillId="0" borderId="53" xfId="59" applyFont="1" applyBorder="1" applyAlignment="1">
      <alignment horizontal="right" vertical="center"/>
      <protection/>
    </xf>
    <xf numFmtId="0" fontId="23" fillId="0" borderId="69" xfId="59" applyFont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3" fontId="16" fillId="0" borderId="136" xfId="59" applyNumberFormat="1" applyFont="1" applyBorder="1" applyAlignment="1">
      <alignment horizontal="right" vertical="center"/>
      <protection/>
    </xf>
    <xf numFmtId="3" fontId="16" fillId="0" borderId="113" xfId="59" applyNumberFormat="1" applyFont="1" applyBorder="1" applyAlignment="1">
      <alignment horizontal="right" vertical="center"/>
      <protection/>
    </xf>
    <xf numFmtId="0" fontId="16" fillId="36" borderId="76" xfId="59" applyFont="1" applyFill="1" applyBorder="1" applyAlignment="1">
      <alignment horizontal="right" vertical="center" wrapText="1"/>
      <protection/>
    </xf>
    <xf numFmtId="0" fontId="19" fillId="36" borderId="93" xfId="0" applyFont="1" applyFill="1" applyBorder="1" applyAlignment="1">
      <alignment horizontal="right" vertical="center" wrapText="1"/>
    </xf>
    <xf numFmtId="0" fontId="19" fillId="36" borderId="149" xfId="0" applyFont="1" applyFill="1" applyBorder="1" applyAlignment="1">
      <alignment horizontal="right" vertical="center" wrapText="1"/>
    </xf>
    <xf numFmtId="0" fontId="16" fillId="36" borderId="93" xfId="59" applyFont="1" applyFill="1" applyBorder="1" applyAlignment="1">
      <alignment vertical="center"/>
      <protection/>
    </xf>
    <xf numFmtId="0" fontId="16" fillId="36" borderId="93" xfId="0" applyFont="1" applyFill="1" applyBorder="1" applyAlignment="1">
      <alignment vertical="center"/>
    </xf>
    <xf numFmtId="0" fontId="16" fillId="36" borderId="155" xfId="0" applyFont="1" applyFill="1" applyBorder="1" applyAlignment="1">
      <alignment vertical="center"/>
    </xf>
    <xf numFmtId="0" fontId="61" fillId="36" borderId="93" xfId="59" applyFont="1" applyFill="1" applyBorder="1" applyAlignment="1">
      <alignment vertical="center"/>
      <protection/>
    </xf>
    <xf numFmtId="0" fontId="61" fillId="36" borderId="155" xfId="59" applyFont="1" applyFill="1" applyBorder="1" applyAlignment="1">
      <alignment vertical="center"/>
      <protection/>
    </xf>
    <xf numFmtId="0" fontId="61" fillId="0" borderId="65" xfId="59" applyFont="1" applyBorder="1" applyAlignment="1">
      <alignment horizontal="center" vertical="center" wrapText="1"/>
      <protection/>
    </xf>
    <xf numFmtId="0" fontId="19" fillId="0" borderId="49" xfId="0" applyFont="1" applyBorder="1" applyAlignment="1">
      <alignment vertical="center"/>
    </xf>
    <xf numFmtId="0" fontId="19" fillId="0" borderId="62" xfId="0" applyFont="1" applyBorder="1" applyAlignment="1">
      <alignment vertical="center"/>
    </xf>
    <xf numFmtId="0" fontId="19" fillId="0" borderId="91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6" fillId="0" borderId="156" xfId="60" applyFont="1" applyFill="1" applyBorder="1" applyAlignment="1">
      <alignment horizontal="center" vertical="center" wrapText="1"/>
      <protection/>
    </xf>
    <xf numFmtId="0" fontId="19" fillId="0" borderId="157" xfId="0" applyFont="1" applyBorder="1" applyAlignment="1">
      <alignment horizontal="center" vertical="center" wrapText="1"/>
    </xf>
    <xf numFmtId="0" fontId="19" fillId="0" borderId="158" xfId="0" applyFont="1" applyBorder="1" applyAlignment="1">
      <alignment horizontal="center" vertical="center" wrapText="1"/>
    </xf>
    <xf numFmtId="0" fontId="23" fillId="0" borderId="69" xfId="59" applyFont="1" applyBorder="1" applyAlignment="1">
      <alignment horizontal="left" vertical="center" wrapText="1"/>
      <protection/>
    </xf>
    <xf numFmtId="0" fontId="23" fillId="0" borderId="0" xfId="59" applyFont="1" applyBorder="1" applyAlignment="1">
      <alignment horizontal="left" vertical="center" wrapText="1"/>
      <protection/>
    </xf>
    <xf numFmtId="3" fontId="16" fillId="0" borderId="88" xfId="59" applyNumberFormat="1" applyFont="1" applyBorder="1" applyAlignment="1">
      <alignment horizontal="right" vertical="center"/>
      <protection/>
    </xf>
    <xf numFmtId="3" fontId="16" fillId="0" borderId="69" xfId="59" applyNumberFormat="1" applyFont="1" applyBorder="1" applyAlignment="1">
      <alignment horizontal="right" vertical="center"/>
      <protection/>
    </xf>
    <xf numFmtId="0" fontId="61" fillId="36" borderId="93" xfId="59" applyFont="1" applyFill="1" applyBorder="1" applyAlignment="1">
      <alignment/>
      <protection/>
    </xf>
    <xf numFmtId="0" fontId="61" fillId="36" borderId="155" xfId="59" applyFont="1" applyFill="1" applyBorder="1" applyAlignment="1">
      <alignment/>
      <protection/>
    </xf>
    <xf numFmtId="3" fontId="16" fillId="0" borderId="135" xfId="59" applyNumberFormat="1" applyFont="1" applyBorder="1" applyAlignment="1">
      <alignment horizontal="right" vertical="center"/>
      <protection/>
    </xf>
    <xf numFmtId="0" fontId="23" fillId="0" borderId="52" xfId="59" applyFont="1" applyBorder="1" applyAlignment="1">
      <alignment horizontal="left" wrapText="1"/>
      <protection/>
    </xf>
    <xf numFmtId="0" fontId="23" fillId="0" borderId="0" xfId="59" applyFont="1" applyBorder="1" applyAlignment="1">
      <alignment horizontal="left" wrapText="1"/>
      <protection/>
    </xf>
    <xf numFmtId="0" fontId="23" fillId="0" borderId="88" xfId="59" applyFont="1" applyBorder="1" applyAlignment="1">
      <alignment horizontal="left" wrapText="1"/>
      <protection/>
    </xf>
    <xf numFmtId="0" fontId="23" fillId="0" borderId="56" xfId="59" applyFont="1" applyBorder="1" applyAlignment="1">
      <alignment horizontal="left" wrapText="1"/>
      <protection/>
    </xf>
    <xf numFmtId="0" fontId="23" fillId="0" borderId="69" xfId="59" applyFont="1" applyBorder="1" applyAlignment="1">
      <alignment horizontal="left" wrapText="1"/>
      <protection/>
    </xf>
    <xf numFmtId="3" fontId="23" fillId="0" borderId="61" xfId="59" applyNumberFormat="1" applyFont="1" applyBorder="1" applyAlignment="1">
      <alignment horizontal="right" vertical="center"/>
      <protection/>
    </xf>
    <xf numFmtId="3" fontId="23" fillId="0" borderId="60" xfId="59" applyNumberFormat="1" applyFont="1" applyBorder="1" applyAlignment="1">
      <alignment horizontal="right" vertical="center"/>
      <protection/>
    </xf>
    <xf numFmtId="0" fontId="19" fillId="0" borderId="0" xfId="59" applyFont="1" applyAlignment="1">
      <alignment horizontal="center"/>
      <protection/>
    </xf>
    <xf numFmtId="0" fontId="61" fillId="0" borderId="64" xfId="60" applyFont="1" applyFill="1" applyBorder="1" applyAlignment="1">
      <alignment horizontal="center" vertical="center" wrapText="1"/>
      <protection/>
    </xf>
    <xf numFmtId="0" fontId="19" fillId="0" borderId="49" xfId="0" applyFont="1" applyBorder="1" applyAlignment="1">
      <alignment/>
    </xf>
    <xf numFmtId="0" fontId="19" fillId="0" borderId="105" xfId="0" applyFont="1" applyBorder="1" applyAlignment="1">
      <alignment/>
    </xf>
    <xf numFmtId="0" fontId="19" fillId="0" borderId="159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48" xfId="0" applyFont="1" applyBorder="1" applyAlignment="1">
      <alignment/>
    </xf>
    <xf numFmtId="0" fontId="24" fillId="0" borderId="52" xfId="59" applyFont="1" applyBorder="1" applyAlignment="1">
      <alignment horizontal="right"/>
      <protection/>
    </xf>
    <xf numFmtId="0" fontId="24" fillId="0" borderId="0" xfId="59" applyFont="1" applyBorder="1" applyAlignment="1">
      <alignment horizontal="right"/>
      <protection/>
    </xf>
    <xf numFmtId="0" fontId="24" fillId="0" borderId="54" xfId="59" applyFont="1" applyBorder="1" applyAlignment="1">
      <alignment horizontal="right"/>
      <protection/>
    </xf>
    <xf numFmtId="0" fontId="62" fillId="0" borderId="69" xfId="59" applyFont="1" applyBorder="1" applyAlignment="1">
      <alignment horizontal="left"/>
      <protection/>
    </xf>
    <xf numFmtId="0" fontId="62" fillId="0" borderId="0" xfId="59" applyFont="1" applyBorder="1" applyAlignment="1">
      <alignment horizontal="left"/>
      <protection/>
    </xf>
    <xf numFmtId="0" fontId="24" fillId="0" borderId="140" xfId="59" applyFont="1" applyBorder="1" applyAlignment="1">
      <alignment horizontal="right"/>
      <protection/>
    </xf>
    <xf numFmtId="0" fontId="24" fillId="0" borderId="28" xfId="59" applyFont="1" applyBorder="1" applyAlignment="1">
      <alignment horizontal="right"/>
      <protection/>
    </xf>
    <xf numFmtId="0" fontId="24" fillId="0" borderId="20" xfId="59" applyFont="1" applyBorder="1" applyAlignment="1">
      <alignment horizontal="right"/>
      <protection/>
    </xf>
    <xf numFmtId="0" fontId="23" fillId="0" borderId="57" xfId="59" applyFont="1" applyBorder="1" applyAlignment="1">
      <alignment horizontal="left"/>
      <protection/>
    </xf>
    <xf numFmtId="0" fontId="23" fillId="0" borderId="56" xfId="59" applyFont="1" applyBorder="1" applyAlignment="1">
      <alignment horizontal="left"/>
      <protection/>
    </xf>
    <xf numFmtId="0" fontId="16" fillId="0" borderId="71" xfId="60" applyFont="1" applyFill="1" applyBorder="1" applyAlignment="1">
      <alignment horizontal="center" vertical="center" wrapText="1"/>
      <protection/>
    </xf>
    <xf numFmtId="0" fontId="19" fillId="0" borderId="67" xfId="0" applyFont="1" applyBorder="1" applyAlignment="1">
      <alignment/>
    </xf>
    <xf numFmtId="0" fontId="61" fillId="0" borderId="65" xfId="59" applyFont="1" applyBorder="1" applyAlignment="1">
      <alignment horizontal="center" vertical="center"/>
      <protection/>
    </xf>
    <xf numFmtId="0" fontId="61" fillId="0" borderId="49" xfId="59" applyFont="1" applyBorder="1" applyAlignment="1">
      <alignment horizontal="center" vertical="center"/>
      <protection/>
    </xf>
    <xf numFmtId="0" fontId="61" fillId="0" borderId="105" xfId="59" applyFont="1" applyBorder="1" applyAlignment="1">
      <alignment horizontal="center" vertical="center"/>
      <protection/>
    </xf>
    <xf numFmtId="0" fontId="61" fillId="0" borderId="91" xfId="59" applyFont="1" applyBorder="1" applyAlignment="1">
      <alignment horizontal="center" vertical="center"/>
      <protection/>
    </xf>
    <xf numFmtId="0" fontId="61" fillId="0" borderId="33" xfId="59" applyFont="1" applyBorder="1" applyAlignment="1">
      <alignment horizontal="center" vertical="center"/>
      <protection/>
    </xf>
    <xf numFmtId="0" fontId="61" fillId="0" borderId="48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/>
      <protection/>
    </xf>
    <xf numFmtId="0" fontId="19" fillId="0" borderId="0" xfId="0" applyFont="1" applyAlignment="1">
      <alignment/>
    </xf>
    <xf numFmtId="3" fontId="16" fillId="0" borderId="136" xfId="59" applyNumberFormat="1" applyFont="1" applyBorder="1" applyAlignment="1">
      <alignment horizontal="center" vertical="center"/>
      <protection/>
    </xf>
    <xf numFmtId="3" fontId="16" fillId="0" borderId="113" xfId="59" applyNumberFormat="1" applyFont="1" applyBorder="1" applyAlignment="1">
      <alignment horizontal="center" vertical="center"/>
      <protection/>
    </xf>
    <xf numFmtId="0" fontId="23" fillId="0" borderId="159" xfId="59" applyFont="1" applyBorder="1" applyAlignment="1">
      <alignment horizontal="left" wrapText="1"/>
      <protection/>
    </xf>
    <xf numFmtId="0" fontId="23" fillId="0" borderId="33" xfId="59" applyFont="1" applyBorder="1" applyAlignment="1">
      <alignment horizontal="left" wrapText="1"/>
      <protection/>
    </xf>
    <xf numFmtId="3" fontId="16" fillId="0" borderId="148" xfId="59" applyNumberFormat="1" applyFont="1" applyBorder="1" applyAlignment="1">
      <alignment horizontal="right" vertical="center"/>
      <protection/>
    </xf>
    <xf numFmtId="3" fontId="16" fillId="0" borderId="160" xfId="59" applyNumberFormat="1" applyFont="1" applyBorder="1" applyAlignment="1">
      <alignment horizontal="right" vertical="center"/>
      <protection/>
    </xf>
    <xf numFmtId="0" fontId="61" fillId="0" borderId="81" xfId="59" applyFont="1" applyBorder="1" applyAlignment="1">
      <alignment/>
      <protection/>
    </xf>
    <xf numFmtId="0" fontId="61" fillId="0" borderId="129" xfId="59" applyFont="1" applyBorder="1" applyAlignment="1">
      <alignment/>
      <protection/>
    </xf>
    <xf numFmtId="0" fontId="23" fillId="0" borderId="52" xfId="59" applyFont="1" applyBorder="1" applyAlignment="1">
      <alignment horizontal="left" vertical="center" wrapText="1"/>
      <protection/>
    </xf>
    <xf numFmtId="0" fontId="61" fillId="0" borderId="49" xfId="60" applyFont="1" applyFill="1" applyBorder="1" applyAlignment="1">
      <alignment horizontal="center" vertical="center" wrapText="1"/>
      <protection/>
    </xf>
    <xf numFmtId="0" fontId="61" fillId="0" borderId="105" xfId="60" applyFont="1" applyFill="1" applyBorder="1" applyAlignment="1">
      <alignment horizontal="center" vertical="center" wrapText="1"/>
      <protection/>
    </xf>
    <xf numFmtId="0" fontId="61" fillId="0" borderId="159" xfId="60" applyFont="1" applyFill="1" applyBorder="1" applyAlignment="1">
      <alignment horizontal="center" vertical="center" wrapText="1"/>
      <protection/>
    </xf>
    <xf numFmtId="0" fontId="61" fillId="0" borderId="33" xfId="60" applyFont="1" applyFill="1" applyBorder="1" applyAlignment="1">
      <alignment horizontal="center" vertical="center" wrapText="1"/>
      <protection/>
    </xf>
    <xf numFmtId="0" fontId="61" fillId="0" borderId="48" xfId="60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right"/>
    </xf>
    <xf numFmtId="0" fontId="19" fillId="0" borderId="54" xfId="0" applyFont="1" applyBorder="1" applyAlignment="1">
      <alignment horizontal="right"/>
    </xf>
    <xf numFmtId="0" fontId="61" fillId="36" borderId="76" xfId="59" applyFont="1" applyFill="1" applyBorder="1" applyAlignment="1">
      <alignment vertical="center" wrapText="1"/>
      <protection/>
    </xf>
    <xf numFmtId="0" fontId="15" fillId="36" borderId="93" xfId="0" applyFont="1" applyFill="1" applyBorder="1" applyAlignment="1">
      <alignment vertical="center" wrapText="1"/>
    </xf>
    <xf numFmtId="0" fontId="15" fillId="36" borderId="149" xfId="0" applyFont="1" applyFill="1" applyBorder="1" applyAlignment="1">
      <alignment vertical="center" wrapText="1"/>
    </xf>
    <xf numFmtId="0" fontId="61" fillId="0" borderId="67" xfId="60" applyFont="1" applyFill="1" applyBorder="1" applyAlignment="1">
      <alignment horizontal="center" vertical="center" wrapText="1"/>
      <protection/>
    </xf>
    <xf numFmtId="0" fontId="61" fillId="0" borderId="79" xfId="60" applyFont="1" applyFill="1" applyBorder="1" applyAlignment="1">
      <alignment horizontal="center" vertical="center" wrapText="1"/>
      <protection/>
    </xf>
    <xf numFmtId="0" fontId="61" fillId="0" borderId="65" xfId="59" applyFont="1" applyBorder="1" applyAlignment="1">
      <alignment horizontal="center" wrapText="1"/>
      <protection/>
    </xf>
    <xf numFmtId="0" fontId="61" fillId="0" borderId="49" xfId="59" applyFont="1" applyBorder="1" applyAlignment="1">
      <alignment horizontal="center" wrapText="1"/>
      <protection/>
    </xf>
    <xf numFmtId="0" fontId="61" fillId="0" borderId="91" xfId="59" applyFont="1" applyBorder="1" applyAlignment="1">
      <alignment horizontal="center" wrapText="1"/>
      <protection/>
    </xf>
    <xf numFmtId="0" fontId="61" fillId="0" borderId="33" xfId="59" applyFont="1" applyBorder="1" applyAlignment="1">
      <alignment horizontal="center" wrapText="1"/>
      <protection/>
    </xf>
    <xf numFmtId="0" fontId="16" fillId="0" borderId="81" xfId="59" applyFont="1" applyBorder="1" applyAlignment="1">
      <alignment/>
      <protection/>
    </xf>
    <xf numFmtId="0" fontId="16" fillId="0" borderId="81" xfId="0" applyFont="1" applyBorder="1" applyAlignment="1">
      <alignment/>
    </xf>
    <xf numFmtId="0" fontId="16" fillId="0" borderId="129" xfId="0" applyFont="1" applyBorder="1" applyAlignment="1">
      <alignment/>
    </xf>
    <xf numFmtId="0" fontId="23" fillId="0" borderId="57" xfId="59" applyFont="1" applyBorder="1" applyAlignment="1">
      <alignment horizontal="left" vertical="center" wrapText="1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/>
      <protection/>
    </xf>
    <xf numFmtId="0" fontId="23" fillId="0" borderId="0" xfId="59" applyFont="1" applyBorder="1" applyAlignment="1">
      <alignment horizontal="left"/>
      <protection/>
    </xf>
    <xf numFmtId="0" fontId="23" fillId="0" borderId="91" xfId="59" applyFont="1" applyBorder="1" applyAlignment="1">
      <alignment horizontal="left" vertical="center" wrapText="1"/>
      <protection/>
    </xf>
    <xf numFmtId="0" fontId="23" fillId="0" borderId="33" xfId="59" applyFont="1" applyBorder="1" applyAlignment="1">
      <alignment horizontal="left" vertical="center" wrapText="1"/>
      <protection/>
    </xf>
    <xf numFmtId="0" fontId="19" fillId="0" borderId="91" xfId="0" applyFont="1" applyBorder="1" applyAlignment="1">
      <alignment/>
    </xf>
    <xf numFmtId="0" fontId="19" fillId="0" borderId="0" xfId="0" applyFont="1" applyBorder="1" applyAlignment="1">
      <alignment/>
    </xf>
    <xf numFmtId="0" fontId="47" fillId="0" borderId="161" xfId="59" applyFont="1" applyBorder="1" applyAlignment="1">
      <alignment horizontal="center"/>
      <protection/>
    </xf>
    <xf numFmtId="0" fontId="19" fillId="0" borderId="77" xfId="0" applyFont="1" applyBorder="1" applyAlignment="1">
      <alignment horizontal="center"/>
    </xf>
    <xf numFmtId="0" fontId="19" fillId="0" borderId="104" xfId="0" applyFont="1" applyBorder="1" applyAlignment="1">
      <alignment horizontal="center"/>
    </xf>
    <xf numFmtId="0" fontId="47" fillId="0" borderId="49" xfId="59" applyFont="1" applyBorder="1" applyAlignment="1">
      <alignment horizontal="center"/>
      <protection/>
    </xf>
    <xf numFmtId="0" fontId="19" fillId="0" borderId="49" xfId="0" applyFont="1" applyBorder="1" applyAlignment="1">
      <alignment horizontal="center"/>
    </xf>
    <xf numFmtId="0" fontId="23" fillId="0" borderId="57" xfId="59" applyFont="1" applyBorder="1" applyAlignment="1">
      <alignment horizontal="left" wrapText="1"/>
      <protection/>
    </xf>
    <xf numFmtId="0" fontId="62" fillId="0" borderId="69" xfId="59" applyFont="1" applyBorder="1" applyAlignment="1">
      <alignment horizontal="left" wrapText="1"/>
      <protection/>
    </xf>
    <xf numFmtId="0" fontId="62" fillId="0" borderId="0" xfId="59" applyFont="1" applyBorder="1" applyAlignment="1">
      <alignment horizontal="left" wrapText="1"/>
      <protection/>
    </xf>
    <xf numFmtId="0" fontId="16" fillId="0" borderId="64" xfId="60" applyFont="1" applyFill="1" applyBorder="1" applyAlignment="1">
      <alignment horizontal="center" vertical="center" wrapText="1"/>
      <protection/>
    </xf>
    <xf numFmtId="0" fontId="19" fillId="0" borderId="49" xfId="0" applyFont="1" applyBorder="1" applyAlignment="1">
      <alignment horizontal="center" vertical="center" wrapText="1"/>
    </xf>
    <xf numFmtId="0" fontId="16" fillId="36" borderId="76" xfId="59" applyFont="1" applyFill="1" applyBorder="1" applyAlignment="1">
      <alignment horizontal="right"/>
      <protection/>
    </xf>
    <xf numFmtId="0" fontId="19" fillId="36" borderId="93" xfId="0" applyFont="1" applyFill="1" applyBorder="1" applyAlignment="1">
      <alignment horizontal="right"/>
    </xf>
    <xf numFmtId="0" fontId="19" fillId="36" borderId="149" xfId="0" applyFont="1" applyFill="1" applyBorder="1" applyAlignment="1">
      <alignment horizontal="right"/>
    </xf>
    <xf numFmtId="0" fontId="16" fillId="36" borderId="93" xfId="59" applyFont="1" applyFill="1" applyBorder="1" applyAlignment="1">
      <alignment/>
      <protection/>
    </xf>
    <xf numFmtId="0" fontId="16" fillId="36" borderId="93" xfId="0" applyFont="1" applyFill="1" applyBorder="1" applyAlignment="1">
      <alignment/>
    </xf>
    <xf numFmtId="0" fontId="16" fillId="36" borderId="155" xfId="0" applyFont="1" applyFill="1" applyBorder="1" applyAlignment="1">
      <alignment/>
    </xf>
    <xf numFmtId="3" fontId="16" fillId="0" borderId="61" xfId="59" applyNumberFormat="1" applyFont="1" applyBorder="1" applyAlignment="1">
      <alignment horizontal="right" vertical="center"/>
      <protection/>
    </xf>
    <xf numFmtId="0" fontId="23" fillId="0" borderId="57" xfId="59" applyFont="1" applyBorder="1" applyAlignment="1">
      <alignment horizontal="center" vertical="center"/>
      <protection/>
    </xf>
    <xf numFmtId="0" fontId="23" fillId="0" borderId="56" xfId="59" applyFont="1" applyBorder="1" applyAlignment="1">
      <alignment horizontal="center" vertical="center"/>
      <protection/>
    </xf>
    <xf numFmtId="0" fontId="23" fillId="0" borderId="52" xfId="59" applyFont="1" applyBorder="1" applyAlignment="1">
      <alignment horizontal="center" vertical="center"/>
      <protection/>
    </xf>
    <xf numFmtId="0" fontId="23" fillId="0" borderId="0" xfId="59" applyFont="1" applyBorder="1" applyAlignment="1">
      <alignment horizontal="center" vertical="center"/>
      <protection/>
    </xf>
    <xf numFmtId="3" fontId="23" fillId="0" borderId="61" xfId="0" applyNumberFormat="1" applyFont="1" applyBorder="1" applyAlignment="1">
      <alignment horizontal="center" vertical="center"/>
    </xf>
    <xf numFmtId="3" fontId="23" fillId="0" borderId="60" xfId="0" applyNumberFormat="1" applyFont="1" applyBorder="1" applyAlignment="1">
      <alignment horizontal="center" vertical="center"/>
    </xf>
    <xf numFmtId="0" fontId="23" fillId="0" borderId="64" xfId="59" applyFont="1" applyBorder="1" applyAlignment="1">
      <alignment horizontal="left" vertical="center"/>
      <protection/>
    </xf>
    <xf numFmtId="0" fontId="23" fillId="0" borderId="49" xfId="59" applyFont="1" applyBorder="1" applyAlignment="1">
      <alignment horizontal="left" vertical="center"/>
      <protection/>
    </xf>
    <xf numFmtId="0" fontId="19" fillId="0" borderId="79" xfId="0" applyFont="1" applyBorder="1" applyAlignment="1">
      <alignment/>
    </xf>
    <xf numFmtId="0" fontId="24" fillId="0" borderId="81" xfId="59" applyFont="1" applyBorder="1" applyAlignment="1">
      <alignment horizontal="right" vertical="center"/>
      <protection/>
    </xf>
    <xf numFmtId="0" fontId="24" fillId="0" borderId="162" xfId="59" applyFont="1" applyBorder="1" applyAlignment="1">
      <alignment horizontal="right" vertical="center"/>
      <protection/>
    </xf>
    <xf numFmtId="0" fontId="16" fillId="36" borderId="76" xfId="59" applyFont="1" applyFill="1" applyBorder="1" applyAlignment="1">
      <alignment horizontal="right" vertical="center"/>
      <protection/>
    </xf>
    <xf numFmtId="0" fontId="19" fillId="36" borderId="93" xfId="0" applyFont="1" applyFill="1" applyBorder="1" applyAlignment="1">
      <alignment horizontal="right" vertical="center"/>
    </xf>
    <xf numFmtId="0" fontId="19" fillId="36" borderId="149" xfId="0" applyFont="1" applyFill="1" applyBorder="1" applyAlignment="1">
      <alignment horizontal="right" vertical="center"/>
    </xf>
    <xf numFmtId="0" fontId="17" fillId="0" borderId="0" xfId="60" applyFont="1" applyFill="1" applyAlignment="1">
      <alignment horizontal="right" vertical="center"/>
      <protection/>
    </xf>
    <xf numFmtId="0" fontId="17" fillId="0" borderId="0" xfId="60" applyFont="1" applyAlignment="1">
      <alignment horizontal="right"/>
      <protection/>
    </xf>
    <xf numFmtId="0" fontId="17" fillId="0" borderId="0" xfId="0" applyFont="1" applyAlignment="1">
      <alignment/>
    </xf>
    <xf numFmtId="0" fontId="16" fillId="0" borderId="65" xfId="60" applyFont="1" applyFill="1" applyBorder="1" applyAlignment="1">
      <alignment horizontal="center" vertical="center" wrapText="1"/>
      <protection/>
    </xf>
    <xf numFmtId="3" fontId="16" fillId="0" borderId="148" xfId="59" applyNumberFormat="1" applyFont="1" applyBorder="1" applyAlignment="1">
      <alignment horizontal="center" vertical="center"/>
      <protection/>
    </xf>
    <xf numFmtId="3" fontId="16" fillId="0" borderId="160" xfId="59" applyNumberFormat="1" applyFont="1" applyBorder="1" applyAlignment="1">
      <alignment horizontal="center" vertical="center"/>
      <protection/>
    </xf>
    <xf numFmtId="3" fontId="16" fillId="0" borderId="64" xfId="59" applyNumberFormat="1" applyFont="1" applyBorder="1" applyAlignment="1">
      <alignment horizontal="right" vertical="center"/>
      <protection/>
    </xf>
    <xf numFmtId="3" fontId="16" fillId="0" borderId="159" xfId="59" applyNumberFormat="1" applyFont="1" applyBorder="1" applyAlignment="1">
      <alignment horizontal="right" vertical="center"/>
      <protection/>
    </xf>
    <xf numFmtId="0" fontId="19" fillId="0" borderId="49" xfId="59" applyFont="1" applyBorder="1" applyAlignment="1">
      <alignment horizontal="center" vertical="center"/>
      <protection/>
    </xf>
    <xf numFmtId="0" fontId="19" fillId="0" borderId="105" xfId="59" applyFont="1" applyBorder="1" applyAlignment="1">
      <alignment horizontal="center" vertical="center"/>
      <protection/>
    </xf>
    <xf numFmtId="0" fontId="19" fillId="0" borderId="91" xfId="59" applyFont="1" applyBorder="1" applyAlignment="1">
      <alignment horizontal="center" vertical="center"/>
      <protection/>
    </xf>
    <xf numFmtId="0" fontId="19" fillId="0" borderId="33" xfId="59" applyFont="1" applyBorder="1" applyAlignment="1">
      <alignment horizontal="center" vertical="center"/>
      <protection/>
    </xf>
    <xf numFmtId="0" fontId="19" fillId="0" borderId="48" xfId="59" applyFont="1" applyBorder="1" applyAlignment="1">
      <alignment horizontal="center" vertical="center"/>
      <protection/>
    </xf>
    <xf numFmtId="0" fontId="46" fillId="0" borderId="0" xfId="60" applyFont="1" applyFill="1" applyAlignment="1">
      <alignment horizontal="center" vertical="center" wrapText="1"/>
      <protection/>
    </xf>
    <xf numFmtId="0" fontId="23" fillId="0" borderId="88" xfId="59" applyFont="1" applyBorder="1" applyAlignment="1">
      <alignment horizontal="left"/>
      <protection/>
    </xf>
    <xf numFmtId="3" fontId="16" fillId="0" borderId="163" xfId="59" applyNumberFormat="1" applyFont="1" applyBorder="1" applyAlignment="1">
      <alignment horizontal="right" vertical="center"/>
      <protection/>
    </xf>
    <xf numFmtId="3" fontId="16" fillId="0" borderId="83" xfId="59" applyNumberFormat="1" applyFont="1" applyBorder="1" applyAlignment="1">
      <alignment horizontal="right" vertical="center"/>
      <protection/>
    </xf>
    <xf numFmtId="0" fontId="23" fillId="0" borderId="84" xfId="59" applyFont="1" applyBorder="1" applyAlignment="1">
      <alignment horizontal="left" vertical="center"/>
      <protection/>
    </xf>
    <xf numFmtId="0" fontId="23" fillId="0" borderId="81" xfId="59" applyFont="1" applyBorder="1" applyAlignment="1">
      <alignment horizontal="left" vertical="center"/>
      <protection/>
    </xf>
    <xf numFmtId="0" fontId="23" fillId="0" borderId="69" xfId="59" applyFont="1" applyBorder="1" applyAlignment="1">
      <alignment horizontal="left"/>
      <protection/>
    </xf>
    <xf numFmtId="0" fontId="23" fillId="0" borderId="65" xfId="59" applyFont="1" applyBorder="1" applyAlignment="1">
      <alignment horizontal="left"/>
      <protection/>
    </xf>
    <xf numFmtId="0" fontId="23" fillId="0" borderId="49" xfId="59" applyFont="1" applyBorder="1" applyAlignment="1">
      <alignment horizontal="left"/>
      <protection/>
    </xf>
    <xf numFmtId="0" fontId="23" fillId="0" borderId="88" xfId="59" applyFont="1" applyBorder="1" applyAlignment="1">
      <alignment horizontal="left" vertical="center"/>
      <protection/>
    </xf>
    <xf numFmtId="0" fontId="23" fillId="0" borderId="56" xfId="59" applyFont="1" applyBorder="1" applyAlignment="1">
      <alignment horizontal="left" vertical="center"/>
      <protection/>
    </xf>
    <xf numFmtId="0" fontId="62" fillId="0" borderId="80" xfId="59" applyFont="1" applyBorder="1" applyAlignment="1">
      <alignment horizontal="left" vertical="center"/>
      <protection/>
    </xf>
    <xf numFmtId="0" fontId="62" fillId="0" borderId="81" xfId="59" applyFont="1" applyBorder="1" applyAlignment="1">
      <alignment horizontal="left" vertical="center"/>
      <protection/>
    </xf>
    <xf numFmtId="3" fontId="16" fillId="0" borderId="136" xfId="59" applyNumberFormat="1" applyFont="1" applyBorder="1" applyAlignment="1">
      <alignment horizontal="right" vertical="center" wrapText="1"/>
      <protection/>
    </xf>
    <xf numFmtId="3" fontId="16" fillId="0" borderId="113" xfId="59" applyNumberFormat="1" applyFont="1" applyBorder="1" applyAlignment="1">
      <alignment horizontal="right" vertical="center" wrapText="1"/>
      <protection/>
    </xf>
    <xf numFmtId="0" fontId="23" fillId="0" borderId="122" xfId="59" applyFont="1" applyBorder="1" applyAlignment="1">
      <alignment horizontal="left" vertical="center"/>
      <protection/>
    </xf>
    <xf numFmtId="0" fontId="23" fillId="0" borderId="28" xfId="59" applyFont="1" applyBorder="1" applyAlignment="1">
      <alignment horizontal="left" vertical="center"/>
      <protection/>
    </xf>
    <xf numFmtId="0" fontId="22" fillId="0" borderId="0" xfId="0" applyFont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64" fillId="0" borderId="0" xfId="0" applyFont="1" applyFill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" fillId="33" borderId="22" xfId="61" applyFont="1" applyFill="1" applyBorder="1" applyAlignment="1">
      <alignment horizontal="right"/>
      <protection/>
    </xf>
    <xf numFmtId="0" fontId="2" fillId="33" borderId="14" xfId="61" applyFont="1" applyFill="1" applyBorder="1" applyAlignment="1">
      <alignment horizontal="right"/>
      <protection/>
    </xf>
    <xf numFmtId="0" fontId="40" fillId="33" borderId="22" xfId="61" applyFont="1" applyFill="1" applyBorder="1" applyAlignment="1">
      <alignment horizontal="left"/>
      <protection/>
    </xf>
    <xf numFmtId="0" fontId="40" fillId="33" borderId="14" xfId="61" applyFont="1" applyFill="1" applyBorder="1" applyAlignment="1">
      <alignment horizontal="left"/>
      <protection/>
    </xf>
    <xf numFmtId="0" fontId="1" fillId="0" borderId="136" xfId="61" applyFont="1" applyBorder="1" applyAlignment="1">
      <alignment horizontal="center" vertical="center" wrapText="1"/>
      <protection/>
    </xf>
    <xf numFmtId="0" fontId="14" fillId="0" borderId="30" xfId="6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25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/>
      <protection/>
    </xf>
    <xf numFmtId="0" fontId="1" fillId="0" borderId="36" xfId="61" applyFont="1" applyBorder="1" applyAlignment="1">
      <alignment horizontal="center" vertical="center"/>
      <protection/>
    </xf>
    <xf numFmtId="0" fontId="1" fillId="0" borderId="150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 wrapText="1"/>
      <protection/>
    </xf>
    <xf numFmtId="0" fontId="1" fillId="0" borderId="124" xfId="61" applyFont="1" applyBorder="1" applyAlignment="1">
      <alignment horizontal="center" vertical="center" wrapText="1"/>
      <protection/>
    </xf>
    <xf numFmtId="0" fontId="1" fillId="0" borderId="36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right" vertical="center"/>
    </xf>
    <xf numFmtId="0" fontId="47" fillId="0" borderId="0" xfId="0" applyFont="1" applyAlignment="1">
      <alignment horizontal="center" wrapText="1"/>
    </xf>
    <xf numFmtId="0" fontId="20" fillId="0" borderId="136" xfId="0" applyFont="1" applyBorder="1" applyAlignment="1">
      <alignment horizontal="center" vertical="center" wrapText="1"/>
    </xf>
    <xf numFmtId="0" fontId="20" fillId="0" borderId="113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67" fillId="0" borderId="88" xfId="0" applyFont="1" applyBorder="1" applyAlignment="1">
      <alignment horizontal="center" vertical="center"/>
    </xf>
    <xf numFmtId="0" fontId="67" fillId="0" borderId="69" xfId="0" applyFont="1" applyBorder="1" applyAlignment="1">
      <alignment horizontal="center" vertical="center"/>
    </xf>
    <xf numFmtId="0" fontId="67" fillId="0" borderId="127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150" xfId="0" applyFont="1" applyBorder="1" applyAlignment="1">
      <alignment horizontal="center" vertical="center" wrapText="1"/>
    </xf>
    <xf numFmtId="0" fontId="68" fillId="0" borderId="136" xfId="0" applyFont="1" applyBorder="1" applyAlignment="1">
      <alignment horizontal="center" vertical="center" wrapText="1"/>
    </xf>
    <xf numFmtId="0" fontId="68" fillId="0" borderId="113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3" fontId="0" fillId="37" borderId="136" xfId="0" applyNumberFormat="1" applyFill="1" applyBorder="1" applyAlignment="1">
      <alignment horizontal="center"/>
    </xf>
    <xf numFmtId="3" fontId="0" fillId="37" borderId="113" xfId="0" applyNumberFormat="1" applyFill="1" applyBorder="1" applyAlignment="1">
      <alignment horizontal="center"/>
    </xf>
    <xf numFmtId="3" fontId="0" fillId="37" borderId="83" xfId="0" applyNumberFormat="1" applyFill="1" applyBorder="1" applyAlignment="1">
      <alignment horizontal="center"/>
    </xf>
    <xf numFmtId="0" fontId="69" fillId="40" borderId="96" xfId="0" applyFont="1" applyFill="1" applyBorder="1" applyAlignment="1">
      <alignment horizontal="center" vertical="center"/>
    </xf>
    <xf numFmtId="0" fontId="69" fillId="40" borderId="77" xfId="0" applyFont="1" applyFill="1" applyBorder="1" applyAlignment="1">
      <alignment horizontal="center" vertical="center"/>
    </xf>
    <xf numFmtId="0" fontId="69" fillId="40" borderId="164" xfId="0" applyFont="1" applyFill="1" applyBorder="1" applyAlignment="1">
      <alignment horizontal="center" vertical="center"/>
    </xf>
    <xf numFmtId="0" fontId="70" fillId="0" borderId="165" xfId="0" applyFont="1" applyBorder="1" applyAlignment="1">
      <alignment horizontal="left" vertical="center"/>
    </xf>
    <xf numFmtId="0" fontId="70" fillId="0" borderId="166" xfId="0" applyFont="1" applyBorder="1" applyAlignment="1">
      <alignment horizontal="left" vertical="center"/>
    </xf>
    <xf numFmtId="0" fontId="70" fillId="0" borderId="167" xfId="0" applyFont="1" applyBorder="1" applyAlignment="1">
      <alignment horizontal="left" vertical="center"/>
    </xf>
    <xf numFmtId="3" fontId="0" fillId="37" borderId="135" xfId="0" applyNumberForma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1" xfId="0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105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0" xfId="0" applyBorder="1" applyAlignment="1">
      <alignment horizontal="center"/>
    </xf>
    <xf numFmtId="0" fontId="70" fillId="0" borderId="165" xfId="0" applyFont="1" applyBorder="1" applyAlignment="1">
      <alignment horizontal="left" vertical="center" wrapText="1"/>
    </xf>
    <xf numFmtId="0" fontId="70" fillId="0" borderId="166" xfId="0" applyFont="1" applyBorder="1" applyAlignment="1">
      <alignment horizontal="left" vertical="center" wrapText="1"/>
    </xf>
    <xf numFmtId="0" fontId="70" fillId="0" borderId="167" xfId="0" applyFont="1" applyBorder="1" applyAlignment="1">
      <alignment horizontal="left" vertical="center" wrapText="1"/>
    </xf>
    <xf numFmtId="3" fontId="0" fillId="37" borderId="61" xfId="0" applyNumberFormat="1" applyFill="1" applyBorder="1" applyAlignment="1">
      <alignment horizontal="center"/>
    </xf>
    <xf numFmtId="3" fontId="0" fillId="37" borderId="60" xfId="0" applyNumberFormat="1" applyFill="1" applyBorder="1" applyAlignment="1">
      <alignment horizontal="center"/>
    </xf>
    <xf numFmtId="0" fontId="0" fillId="35" borderId="96" xfId="0" applyFill="1" applyBorder="1" applyAlignment="1">
      <alignment horizontal="center"/>
    </xf>
    <xf numFmtId="0" fontId="0" fillId="35" borderId="77" xfId="0" applyFill="1" applyBorder="1" applyAlignment="1">
      <alignment horizontal="center"/>
    </xf>
    <xf numFmtId="0" fontId="0" fillId="35" borderId="164" xfId="0" applyFill="1" applyBorder="1" applyAlignment="1">
      <alignment horizontal="center"/>
    </xf>
    <xf numFmtId="0" fontId="70" fillId="0" borderId="168" xfId="0" applyFont="1" applyBorder="1" applyAlignment="1">
      <alignment horizontal="left" vertical="center" wrapText="1"/>
    </xf>
    <xf numFmtId="0" fontId="70" fillId="0" borderId="157" xfId="0" applyFont="1" applyBorder="1" applyAlignment="1">
      <alignment horizontal="left" vertical="center" wrapText="1"/>
    </xf>
    <xf numFmtId="3" fontId="0" fillId="4" borderId="145" xfId="0" applyNumberFormat="1" applyFill="1" applyBorder="1" applyAlignment="1">
      <alignment horizontal="right" vertical="center"/>
    </xf>
    <xf numFmtId="3" fontId="0" fillId="4" borderId="37" xfId="0" applyNumberFormat="1" applyFill="1" applyBorder="1" applyAlignment="1">
      <alignment horizontal="right" vertical="center"/>
    </xf>
    <xf numFmtId="3" fontId="22" fillId="35" borderId="161" xfId="0" applyNumberFormat="1" applyFont="1" applyFill="1" applyBorder="1" applyAlignment="1">
      <alignment horizontal="center"/>
    </xf>
    <xf numFmtId="3" fontId="22" fillId="35" borderId="77" xfId="0" applyNumberFormat="1" applyFont="1" applyFill="1" applyBorder="1" applyAlignment="1">
      <alignment horizontal="center"/>
    </xf>
    <xf numFmtId="3" fontId="22" fillId="35" borderId="98" xfId="0" applyNumberFormat="1" applyFont="1" applyFill="1" applyBorder="1" applyAlignment="1">
      <alignment horizontal="center"/>
    </xf>
    <xf numFmtId="0" fontId="70" fillId="0" borderId="64" xfId="0" applyFont="1" applyBorder="1" applyAlignment="1">
      <alignment horizontal="left" vertical="center" wrapText="1"/>
    </xf>
    <xf numFmtId="0" fontId="70" fillId="0" borderId="49" xfId="0" applyFont="1" applyBorder="1" applyAlignment="1">
      <alignment horizontal="left" vertical="center" wrapText="1"/>
    </xf>
    <xf numFmtId="0" fontId="70" fillId="0" borderId="105" xfId="0" applyFont="1" applyBorder="1" applyAlignment="1">
      <alignment horizontal="left" vertical="center" wrapText="1"/>
    </xf>
    <xf numFmtId="0" fontId="44" fillId="0" borderId="22" xfId="0" applyFont="1" applyBorder="1" applyAlignment="1">
      <alignment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200"/>
  <sheetViews>
    <sheetView tabSelected="1" zoomScalePageLayoutView="0" workbookViewId="0" topLeftCell="B1">
      <selection activeCell="C3" sqref="C3"/>
    </sheetView>
  </sheetViews>
  <sheetFormatPr defaultColWidth="9.00390625" defaultRowHeight="12.75"/>
  <cols>
    <col min="1" max="1" width="5.125" style="191" customWidth="1"/>
    <col min="2" max="3" width="9.125" style="191" customWidth="1"/>
    <col min="4" max="4" width="5.875" style="191" customWidth="1"/>
    <col min="5" max="5" width="49.875" style="191" customWidth="1"/>
    <col min="6" max="6" width="16.125" style="191" bestFit="1" customWidth="1"/>
    <col min="7" max="7" width="13.625" style="191" customWidth="1"/>
    <col min="8" max="9" width="15.125" style="191" customWidth="1"/>
    <col min="10" max="10" width="15.875" style="191" bestFit="1" customWidth="1"/>
    <col min="11" max="11" width="9.125" style="326" customWidth="1"/>
    <col min="12" max="16384" width="9.125" style="191" customWidth="1"/>
  </cols>
  <sheetData>
    <row r="1" spans="1:10" ht="12.75">
      <c r="A1" s="95"/>
      <c r="B1" s="218"/>
      <c r="C1" s="218"/>
      <c r="D1" s="218"/>
      <c r="E1" s="219"/>
      <c r="F1" s="952" t="s">
        <v>1063</v>
      </c>
      <c r="G1" s="953"/>
      <c r="H1" s="953"/>
      <c r="I1" s="953"/>
      <c r="J1" s="953"/>
    </row>
    <row r="2" spans="1:10" ht="15.75">
      <c r="A2" s="957" t="s">
        <v>888</v>
      </c>
      <c r="B2" s="957"/>
      <c r="C2" s="957"/>
      <c r="D2" s="957"/>
      <c r="E2" s="957"/>
      <c r="F2" s="957"/>
      <c r="G2" s="957"/>
      <c r="H2" s="957"/>
      <c r="I2" s="957"/>
      <c r="J2" s="957"/>
    </row>
    <row r="3" spans="1:10" ht="12.75">
      <c r="A3" s="95"/>
      <c r="B3" s="95"/>
      <c r="C3" s="95"/>
      <c r="D3" s="95"/>
      <c r="E3" s="95"/>
      <c r="F3" s="218"/>
      <c r="G3" s="218"/>
      <c r="H3" s="218"/>
      <c r="I3" s="218"/>
      <c r="J3" s="218"/>
    </row>
    <row r="4" spans="1:10" ht="12.75">
      <c r="A4" s="95"/>
      <c r="B4" s="218"/>
      <c r="C4" s="218"/>
      <c r="D4" s="218"/>
      <c r="E4" s="218"/>
      <c r="F4" s="218"/>
      <c r="G4" s="218"/>
      <c r="H4" s="218"/>
      <c r="I4" s="218"/>
      <c r="J4" s="219" t="s">
        <v>656</v>
      </c>
    </row>
    <row r="5" spans="1:10" ht="60">
      <c r="A5" s="943" t="s">
        <v>0</v>
      </c>
      <c r="B5" s="944"/>
      <c r="C5" s="944"/>
      <c r="D5" s="944"/>
      <c r="E5" s="945"/>
      <c r="F5" s="198" t="s">
        <v>87</v>
      </c>
      <c r="G5" s="198" t="s">
        <v>380</v>
      </c>
      <c r="H5" s="198" t="s">
        <v>785</v>
      </c>
      <c r="I5" s="198" t="s">
        <v>856</v>
      </c>
      <c r="J5" s="198" t="s">
        <v>373</v>
      </c>
    </row>
    <row r="6" spans="1:11" s="202" customFormat="1" ht="15">
      <c r="A6" s="220" t="s">
        <v>442</v>
      </c>
      <c r="B6" s="954" t="s">
        <v>443</v>
      </c>
      <c r="C6" s="955"/>
      <c r="D6" s="955"/>
      <c r="E6" s="956"/>
      <c r="F6" s="221" t="s">
        <v>444</v>
      </c>
      <c r="G6" s="221" t="s">
        <v>445</v>
      </c>
      <c r="H6" s="221" t="s">
        <v>446</v>
      </c>
      <c r="I6" s="221" t="s">
        <v>447</v>
      </c>
      <c r="J6" s="221" t="s">
        <v>449</v>
      </c>
      <c r="K6" s="651"/>
    </row>
    <row r="7" spans="1:11" s="224" customFormat="1" ht="12.75">
      <c r="A7" s="222" t="s">
        <v>214</v>
      </c>
      <c r="B7" s="946" t="s">
        <v>215</v>
      </c>
      <c r="C7" s="946"/>
      <c r="D7" s="946"/>
      <c r="E7" s="946"/>
      <c r="F7" s="223">
        <f>SUM(F8+F15+F16+F17+F28+F29)</f>
        <v>588463777</v>
      </c>
      <c r="G7" s="223">
        <f>SUM(G8+G15+G16+G17+G28+G29)</f>
        <v>0</v>
      </c>
      <c r="H7" s="223">
        <f>SUM(H8+H15+H16+H17+H28+H29)</f>
        <v>0</v>
      </c>
      <c r="I7" s="223">
        <f>SUM(I8+I15+I16+I17+I28+I29)</f>
        <v>22502900</v>
      </c>
      <c r="J7" s="223">
        <f>SUM(F7:I7)</f>
        <v>610966677</v>
      </c>
      <c r="K7" s="652"/>
    </row>
    <row r="8" spans="1:11" ht="12.75">
      <c r="A8" s="225"/>
      <c r="B8" s="225" t="s">
        <v>216</v>
      </c>
      <c r="C8" s="942" t="s">
        <v>217</v>
      </c>
      <c r="D8" s="942"/>
      <c r="E8" s="942"/>
      <c r="F8" s="226">
        <f>SUM(F9:F14)</f>
        <v>474324803</v>
      </c>
      <c r="G8" s="226">
        <f>SUM(G9:G14)</f>
        <v>0</v>
      </c>
      <c r="H8" s="226">
        <f>SUM(H9:H14)</f>
        <v>0</v>
      </c>
      <c r="I8" s="226">
        <f>SUM(I9:I14)</f>
        <v>0</v>
      </c>
      <c r="J8" s="227">
        <f aca="true" t="shared" si="0" ref="J8:J72">SUM(F8:I8)</f>
        <v>474324803</v>
      </c>
      <c r="K8" s="653"/>
    </row>
    <row r="9" spans="1:11" ht="12.75">
      <c r="A9" s="228"/>
      <c r="B9" s="228"/>
      <c r="C9" s="228" t="s">
        <v>218</v>
      </c>
      <c r="D9" s="228"/>
      <c r="E9" s="228" t="s">
        <v>678</v>
      </c>
      <c r="F9" s="229">
        <v>187405500</v>
      </c>
      <c r="G9" s="229">
        <v>0</v>
      </c>
      <c r="H9" s="229">
        <v>0</v>
      </c>
      <c r="I9" s="229">
        <v>0</v>
      </c>
      <c r="J9" s="230">
        <f t="shared" si="0"/>
        <v>187405500</v>
      </c>
      <c r="K9" s="654"/>
    </row>
    <row r="10" spans="1:11" ht="12.75">
      <c r="A10" s="228"/>
      <c r="B10" s="231"/>
      <c r="C10" s="228" t="s">
        <v>219</v>
      </c>
      <c r="D10" s="228"/>
      <c r="E10" s="228" t="s">
        <v>684</v>
      </c>
      <c r="F10" s="229">
        <v>113053183</v>
      </c>
      <c r="G10" s="229">
        <v>0</v>
      </c>
      <c r="H10" s="229">
        <v>0</v>
      </c>
      <c r="I10" s="229">
        <v>0</v>
      </c>
      <c r="J10" s="230">
        <f t="shared" si="0"/>
        <v>113053183</v>
      </c>
      <c r="K10" s="654"/>
    </row>
    <row r="11" spans="1:11" ht="12.75">
      <c r="A11" s="228"/>
      <c r="B11" s="228"/>
      <c r="C11" s="228" t="s">
        <v>220</v>
      </c>
      <c r="D11" s="228"/>
      <c r="E11" s="228" t="s">
        <v>657</v>
      </c>
      <c r="F11" s="229">
        <v>163358480</v>
      </c>
      <c r="G11" s="229">
        <v>0</v>
      </c>
      <c r="H11" s="229">
        <v>0</v>
      </c>
      <c r="I11" s="229">
        <v>0</v>
      </c>
      <c r="J11" s="230">
        <f t="shared" si="0"/>
        <v>163358480</v>
      </c>
      <c r="K11" s="654"/>
    </row>
    <row r="12" spans="1:11" ht="12.75">
      <c r="A12" s="228"/>
      <c r="B12" s="228"/>
      <c r="C12" s="228" t="s">
        <v>221</v>
      </c>
      <c r="D12" s="228"/>
      <c r="E12" s="228" t="s">
        <v>685</v>
      </c>
      <c r="F12" s="229">
        <v>10507640</v>
      </c>
      <c r="G12" s="229">
        <v>0</v>
      </c>
      <c r="H12" s="229">
        <v>0</v>
      </c>
      <c r="I12" s="229">
        <v>0</v>
      </c>
      <c r="J12" s="230">
        <f t="shared" si="0"/>
        <v>10507640</v>
      </c>
      <c r="K12" s="654"/>
    </row>
    <row r="13" spans="1:11" ht="12.75" hidden="1">
      <c r="A13" s="228"/>
      <c r="B13" s="228"/>
      <c r="C13" s="228" t="s">
        <v>222</v>
      </c>
      <c r="D13" s="228"/>
      <c r="E13" s="228" t="s">
        <v>679</v>
      </c>
      <c r="F13" s="229">
        <v>0</v>
      </c>
      <c r="G13" s="229">
        <v>0</v>
      </c>
      <c r="H13" s="229">
        <v>0</v>
      </c>
      <c r="I13" s="229">
        <v>0</v>
      </c>
      <c r="J13" s="230">
        <f t="shared" si="0"/>
        <v>0</v>
      </c>
      <c r="K13" s="654"/>
    </row>
    <row r="14" spans="1:11" ht="12.75" hidden="1">
      <c r="A14" s="232"/>
      <c r="B14" s="232"/>
      <c r="C14" s="228" t="s">
        <v>223</v>
      </c>
      <c r="D14" s="232"/>
      <c r="E14" s="228" t="s">
        <v>563</v>
      </c>
      <c r="F14" s="229">
        <v>0</v>
      </c>
      <c r="G14" s="229">
        <v>0</v>
      </c>
      <c r="H14" s="229">
        <v>0</v>
      </c>
      <c r="I14" s="229">
        <v>0</v>
      </c>
      <c r="J14" s="230">
        <f t="shared" si="0"/>
        <v>0</v>
      </c>
      <c r="K14" s="654"/>
    </row>
    <row r="15" spans="1:11" ht="12.75">
      <c r="A15" s="225"/>
      <c r="B15" s="225" t="s">
        <v>224</v>
      </c>
      <c r="C15" s="942" t="s">
        <v>225</v>
      </c>
      <c r="D15" s="942"/>
      <c r="E15" s="942"/>
      <c r="F15" s="226">
        <v>0</v>
      </c>
      <c r="G15" s="226">
        <v>0</v>
      </c>
      <c r="H15" s="226">
        <v>0</v>
      </c>
      <c r="I15" s="226">
        <v>0</v>
      </c>
      <c r="J15" s="227">
        <f t="shared" si="0"/>
        <v>0</v>
      </c>
      <c r="K15" s="653"/>
    </row>
    <row r="16" spans="1:11" ht="12.75">
      <c r="A16" s="225"/>
      <c r="B16" s="225" t="s">
        <v>226</v>
      </c>
      <c r="C16" s="942" t="s">
        <v>680</v>
      </c>
      <c r="D16" s="942"/>
      <c r="E16" s="942"/>
      <c r="F16" s="226">
        <v>0</v>
      </c>
      <c r="G16" s="226">
        <v>0</v>
      </c>
      <c r="H16" s="226">
        <v>0</v>
      </c>
      <c r="I16" s="226">
        <v>0</v>
      </c>
      <c r="J16" s="227">
        <f t="shared" si="0"/>
        <v>0</v>
      </c>
      <c r="K16" s="653"/>
    </row>
    <row r="17" spans="1:11" ht="12.75">
      <c r="A17" s="225"/>
      <c r="B17" s="225" t="s">
        <v>227</v>
      </c>
      <c r="C17" s="942" t="s">
        <v>681</v>
      </c>
      <c r="D17" s="942"/>
      <c r="E17" s="942"/>
      <c r="F17" s="226">
        <f>SUM(F18:F27)</f>
        <v>0</v>
      </c>
      <c r="G17" s="226">
        <f>SUM(G18:G27)</f>
        <v>0</v>
      </c>
      <c r="H17" s="226">
        <f>SUM(H18:H27)</f>
        <v>0</v>
      </c>
      <c r="I17" s="226">
        <f>SUM(I18:I27)</f>
        <v>0</v>
      </c>
      <c r="J17" s="227">
        <f t="shared" si="0"/>
        <v>0</v>
      </c>
      <c r="K17" s="653"/>
    </row>
    <row r="18" spans="1:11" ht="12.75" hidden="1">
      <c r="A18" s="233"/>
      <c r="B18" s="233"/>
      <c r="C18" s="234" t="s">
        <v>2</v>
      </c>
      <c r="D18" s="234" t="s">
        <v>152</v>
      </c>
      <c r="E18" s="234" t="s">
        <v>153</v>
      </c>
      <c r="F18" s="235">
        <v>0</v>
      </c>
      <c r="G18" s="235">
        <v>0</v>
      </c>
      <c r="H18" s="235">
        <v>0</v>
      </c>
      <c r="I18" s="235">
        <v>0</v>
      </c>
      <c r="J18" s="236">
        <f t="shared" si="0"/>
        <v>0</v>
      </c>
      <c r="K18" s="655"/>
    </row>
    <row r="19" spans="1:11" ht="12.75" hidden="1">
      <c r="A19" s="233"/>
      <c r="B19" s="233"/>
      <c r="C19" s="234"/>
      <c r="D19" s="234" t="s">
        <v>154</v>
      </c>
      <c r="E19" s="234" t="s">
        <v>155</v>
      </c>
      <c r="F19" s="235">
        <v>0</v>
      </c>
      <c r="G19" s="235">
        <v>0</v>
      </c>
      <c r="H19" s="235">
        <v>0</v>
      </c>
      <c r="I19" s="235">
        <v>0</v>
      </c>
      <c r="J19" s="236">
        <f t="shared" si="0"/>
        <v>0</v>
      </c>
      <c r="K19" s="655"/>
    </row>
    <row r="20" spans="1:11" ht="12.75" hidden="1">
      <c r="A20" s="233"/>
      <c r="B20" s="233"/>
      <c r="C20" s="234"/>
      <c r="D20" s="234" t="s">
        <v>156</v>
      </c>
      <c r="E20" s="234" t="s">
        <v>228</v>
      </c>
      <c r="F20" s="235">
        <v>0</v>
      </c>
      <c r="G20" s="235">
        <v>0</v>
      </c>
      <c r="H20" s="235">
        <v>0</v>
      </c>
      <c r="I20" s="235">
        <v>0</v>
      </c>
      <c r="J20" s="236">
        <f t="shared" si="0"/>
        <v>0</v>
      </c>
      <c r="K20" s="655"/>
    </row>
    <row r="21" spans="1:11" ht="12.75" hidden="1">
      <c r="A21" s="233"/>
      <c r="B21" s="233"/>
      <c r="C21" s="234"/>
      <c r="D21" s="234" t="s">
        <v>158</v>
      </c>
      <c r="E21" s="234" t="s">
        <v>159</v>
      </c>
      <c r="F21" s="235">
        <v>0</v>
      </c>
      <c r="G21" s="235">
        <v>0</v>
      </c>
      <c r="H21" s="235">
        <v>0</v>
      </c>
      <c r="I21" s="235">
        <v>0</v>
      </c>
      <c r="J21" s="236">
        <f t="shared" si="0"/>
        <v>0</v>
      </c>
      <c r="K21" s="655"/>
    </row>
    <row r="22" spans="1:11" ht="12.75" hidden="1">
      <c r="A22" s="233"/>
      <c r="B22" s="233"/>
      <c r="C22" s="234"/>
      <c r="D22" s="234" t="s">
        <v>160</v>
      </c>
      <c r="E22" s="234" t="s">
        <v>161</v>
      </c>
      <c r="F22" s="235">
        <v>0</v>
      </c>
      <c r="G22" s="235">
        <v>0</v>
      </c>
      <c r="H22" s="235">
        <v>0</v>
      </c>
      <c r="I22" s="235">
        <v>0</v>
      </c>
      <c r="J22" s="236">
        <f t="shared" si="0"/>
        <v>0</v>
      </c>
      <c r="K22" s="655"/>
    </row>
    <row r="23" spans="1:11" ht="12.75" hidden="1">
      <c r="A23" s="233"/>
      <c r="B23" s="233"/>
      <c r="C23" s="234"/>
      <c r="D23" s="234" t="s">
        <v>162</v>
      </c>
      <c r="E23" s="234" t="s">
        <v>163</v>
      </c>
      <c r="F23" s="235">
        <v>0</v>
      </c>
      <c r="G23" s="235">
        <v>0</v>
      </c>
      <c r="H23" s="235">
        <v>0</v>
      </c>
      <c r="I23" s="235">
        <v>0</v>
      </c>
      <c r="J23" s="236">
        <f t="shared" si="0"/>
        <v>0</v>
      </c>
      <c r="K23" s="655"/>
    </row>
    <row r="24" spans="1:11" ht="12.75" hidden="1">
      <c r="A24" s="233"/>
      <c r="B24" s="233"/>
      <c r="C24" s="234"/>
      <c r="D24" s="234" t="s">
        <v>164</v>
      </c>
      <c r="E24" s="234" t="s">
        <v>165</v>
      </c>
      <c r="F24" s="235">
        <v>0</v>
      </c>
      <c r="G24" s="235">
        <v>0</v>
      </c>
      <c r="H24" s="235">
        <v>0</v>
      </c>
      <c r="I24" s="235">
        <v>0</v>
      </c>
      <c r="J24" s="236">
        <f t="shared" si="0"/>
        <v>0</v>
      </c>
      <c r="K24" s="655"/>
    </row>
    <row r="25" spans="1:11" ht="12.75" hidden="1">
      <c r="A25" s="233"/>
      <c r="B25" s="233"/>
      <c r="C25" s="234"/>
      <c r="D25" s="234" t="s">
        <v>166</v>
      </c>
      <c r="E25" s="234" t="s">
        <v>167</v>
      </c>
      <c r="F25" s="235"/>
      <c r="G25" s="235">
        <v>0</v>
      </c>
      <c r="H25" s="235">
        <v>0</v>
      </c>
      <c r="I25" s="235">
        <v>0</v>
      </c>
      <c r="J25" s="236">
        <f t="shared" si="0"/>
        <v>0</v>
      </c>
      <c r="K25" s="655"/>
    </row>
    <row r="26" spans="1:11" ht="12.75" hidden="1">
      <c r="A26" s="233"/>
      <c r="B26" s="233"/>
      <c r="C26" s="234"/>
      <c r="D26" s="234" t="s">
        <v>168</v>
      </c>
      <c r="E26" s="234" t="s">
        <v>169</v>
      </c>
      <c r="F26" s="235">
        <v>0</v>
      </c>
      <c r="G26" s="235">
        <v>0</v>
      </c>
      <c r="H26" s="235">
        <v>0</v>
      </c>
      <c r="I26" s="235">
        <v>0</v>
      </c>
      <c r="J26" s="236">
        <f t="shared" si="0"/>
        <v>0</v>
      </c>
      <c r="K26" s="655"/>
    </row>
    <row r="27" spans="1:11" ht="12.75" hidden="1">
      <c r="A27" s="233"/>
      <c r="B27" s="233"/>
      <c r="C27" s="234"/>
      <c r="D27" s="234" t="s">
        <v>170</v>
      </c>
      <c r="E27" s="234" t="s">
        <v>171</v>
      </c>
      <c r="F27" s="235">
        <v>0</v>
      </c>
      <c r="G27" s="235">
        <v>0</v>
      </c>
      <c r="H27" s="235">
        <v>0</v>
      </c>
      <c r="I27" s="235">
        <v>0</v>
      </c>
      <c r="J27" s="236">
        <f t="shared" si="0"/>
        <v>0</v>
      </c>
      <c r="K27" s="655"/>
    </row>
    <row r="28" spans="1:11" ht="12.75">
      <c r="A28" s="225"/>
      <c r="B28" s="225" t="s">
        <v>229</v>
      </c>
      <c r="C28" s="942" t="s">
        <v>682</v>
      </c>
      <c r="D28" s="942"/>
      <c r="E28" s="942"/>
      <c r="F28" s="226">
        <v>0</v>
      </c>
      <c r="G28" s="226">
        <v>0</v>
      </c>
      <c r="H28" s="226">
        <v>0</v>
      </c>
      <c r="I28" s="226">
        <v>0</v>
      </c>
      <c r="J28" s="227">
        <f t="shared" si="0"/>
        <v>0</v>
      </c>
      <c r="K28" s="653"/>
    </row>
    <row r="29" spans="1:11" ht="12.75">
      <c r="A29" s="225"/>
      <c r="B29" s="225" t="s">
        <v>230</v>
      </c>
      <c r="C29" s="942" t="s">
        <v>683</v>
      </c>
      <c r="D29" s="942"/>
      <c r="E29" s="942"/>
      <c r="F29" s="226">
        <f>SUM(F30:F39)</f>
        <v>114138974</v>
      </c>
      <c r="G29" s="226">
        <f>SUM(G30:G39)</f>
        <v>0</v>
      </c>
      <c r="H29" s="226">
        <f>SUM(H30:H39)</f>
        <v>0</v>
      </c>
      <c r="I29" s="226">
        <f>SUM(I30:I39)</f>
        <v>22502900</v>
      </c>
      <c r="J29" s="227">
        <f t="shared" si="0"/>
        <v>136641874</v>
      </c>
      <c r="K29" s="653"/>
    </row>
    <row r="30" spans="1:11" ht="12.75" hidden="1">
      <c r="A30" s="233"/>
      <c r="B30" s="233"/>
      <c r="C30" s="234" t="s">
        <v>2</v>
      </c>
      <c r="D30" s="234" t="s">
        <v>152</v>
      </c>
      <c r="E30" s="234" t="s">
        <v>153</v>
      </c>
      <c r="F30" s="235">
        <v>0</v>
      </c>
      <c r="G30" s="235">
        <v>0</v>
      </c>
      <c r="H30" s="235">
        <v>0</v>
      </c>
      <c r="I30" s="235">
        <v>0</v>
      </c>
      <c r="J30" s="236">
        <f t="shared" si="0"/>
        <v>0</v>
      </c>
      <c r="K30" s="655"/>
    </row>
    <row r="31" spans="1:11" ht="12.75" hidden="1">
      <c r="A31" s="233"/>
      <c r="B31" s="233"/>
      <c r="C31" s="234"/>
      <c r="D31" s="234" t="s">
        <v>154</v>
      </c>
      <c r="E31" s="234" t="s">
        <v>155</v>
      </c>
      <c r="F31" s="235">
        <v>0</v>
      </c>
      <c r="G31" s="235">
        <v>0</v>
      </c>
      <c r="H31" s="235">
        <v>0</v>
      </c>
      <c r="I31" s="235">
        <v>0</v>
      </c>
      <c r="J31" s="236">
        <f t="shared" si="0"/>
        <v>0</v>
      </c>
      <c r="K31" s="655"/>
    </row>
    <row r="32" spans="1:11" ht="12.75">
      <c r="A32" s="237"/>
      <c r="B32" s="237"/>
      <c r="C32" s="234" t="s">
        <v>2</v>
      </c>
      <c r="D32" s="238"/>
      <c r="E32" s="238" t="s">
        <v>686</v>
      </c>
      <c r="F32" s="235">
        <v>52411853</v>
      </c>
      <c r="G32" s="235">
        <v>0</v>
      </c>
      <c r="H32" s="235">
        <v>0</v>
      </c>
      <c r="I32" s="235">
        <v>22502900</v>
      </c>
      <c r="J32" s="236">
        <f t="shared" si="0"/>
        <v>74914753</v>
      </c>
      <c r="K32" s="655"/>
    </row>
    <row r="33" spans="1:11" ht="12.75">
      <c r="A33" s="233"/>
      <c r="B33" s="233"/>
      <c r="C33" s="234"/>
      <c r="D33" s="234"/>
      <c r="E33" s="234" t="s">
        <v>159</v>
      </c>
      <c r="F33" s="235">
        <v>15675115</v>
      </c>
      <c r="G33" s="235">
        <v>0</v>
      </c>
      <c r="H33" s="235">
        <v>0</v>
      </c>
      <c r="I33" s="235">
        <v>0</v>
      </c>
      <c r="J33" s="236">
        <f t="shared" si="0"/>
        <v>15675115</v>
      </c>
      <c r="K33" s="655"/>
    </row>
    <row r="34" spans="1:11" ht="12.75">
      <c r="A34" s="233"/>
      <c r="B34" s="233"/>
      <c r="C34" s="234"/>
      <c r="D34" s="234"/>
      <c r="E34" s="234" t="s">
        <v>161</v>
      </c>
      <c r="F34" s="235">
        <v>21228000</v>
      </c>
      <c r="G34" s="235">
        <v>0</v>
      </c>
      <c r="H34" s="235">
        <v>0</v>
      </c>
      <c r="I34" s="235">
        <v>0</v>
      </c>
      <c r="J34" s="236">
        <f t="shared" si="0"/>
        <v>21228000</v>
      </c>
      <c r="K34" s="655"/>
    </row>
    <row r="35" spans="1:11" ht="12.75">
      <c r="A35" s="233"/>
      <c r="B35" s="233"/>
      <c r="C35" s="234"/>
      <c r="D35" s="234"/>
      <c r="E35" s="234" t="s">
        <v>163</v>
      </c>
      <c r="F35" s="235">
        <v>23113977</v>
      </c>
      <c r="G35" s="235"/>
      <c r="H35" s="235">
        <v>0</v>
      </c>
      <c r="I35" s="235">
        <v>0</v>
      </c>
      <c r="J35" s="236">
        <f t="shared" si="0"/>
        <v>23113977</v>
      </c>
      <c r="K35" s="655"/>
    </row>
    <row r="36" spans="1:11" ht="12.75">
      <c r="A36" s="233"/>
      <c r="B36" s="233"/>
      <c r="C36" s="234"/>
      <c r="D36" s="234"/>
      <c r="E36" s="234" t="s">
        <v>165</v>
      </c>
      <c r="F36" s="235">
        <v>1710029</v>
      </c>
      <c r="G36" s="235">
        <v>0</v>
      </c>
      <c r="H36" s="235">
        <v>0</v>
      </c>
      <c r="I36" s="235">
        <v>0</v>
      </c>
      <c r="J36" s="236">
        <f t="shared" si="0"/>
        <v>1710029</v>
      </c>
      <c r="K36" s="655"/>
    </row>
    <row r="37" spans="1:11" ht="12.75" hidden="1">
      <c r="A37" s="233"/>
      <c r="B37" s="233"/>
      <c r="C37" s="234"/>
      <c r="D37" s="234"/>
      <c r="E37" s="234" t="s">
        <v>167</v>
      </c>
      <c r="F37" s="235">
        <v>0</v>
      </c>
      <c r="G37" s="235">
        <v>0</v>
      </c>
      <c r="H37" s="235">
        <v>0</v>
      </c>
      <c r="I37" s="235">
        <v>0</v>
      </c>
      <c r="J37" s="236">
        <f t="shared" si="0"/>
        <v>0</v>
      </c>
      <c r="K37" s="655"/>
    </row>
    <row r="38" spans="1:11" ht="12.75" hidden="1">
      <c r="A38" s="233"/>
      <c r="B38" s="233"/>
      <c r="C38" s="234"/>
      <c r="D38" s="234"/>
      <c r="E38" s="234" t="s">
        <v>687</v>
      </c>
      <c r="F38" s="235">
        <v>0</v>
      </c>
      <c r="G38" s="235">
        <v>0</v>
      </c>
      <c r="H38" s="235">
        <v>0</v>
      </c>
      <c r="I38" s="235">
        <v>0</v>
      </c>
      <c r="J38" s="236">
        <f t="shared" si="0"/>
        <v>0</v>
      </c>
      <c r="K38" s="655"/>
    </row>
    <row r="39" spans="1:11" ht="12.75" hidden="1">
      <c r="A39" s="233"/>
      <c r="B39" s="233"/>
      <c r="C39" s="234"/>
      <c r="D39" s="234"/>
      <c r="E39" s="234" t="s">
        <v>688</v>
      </c>
      <c r="F39" s="235">
        <v>0</v>
      </c>
      <c r="G39" s="235">
        <v>0</v>
      </c>
      <c r="H39" s="235">
        <v>0</v>
      </c>
      <c r="I39" s="235">
        <v>0</v>
      </c>
      <c r="J39" s="236">
        <f t="shared" si="0"/>
        <v>0</v>
      </c>
      <c r="K39" s="655"/>
    </row>
    <row r="40" spans="1:11" s="224" customFormat="1" ht="12.75">
      <c r="A40" s="222" t="s">
        <v>231</v>
      </c>
      <c r="B40" s="946" t="s">
        <v>694</v>
      </c>
      <c r="C40" s="946"/>
      <c r="D40" s="946"/>
      <c r="E40" s="946"/>
      <c r="F40" s="223">
        <f>SUM(F41:F45)</f>
        <v>25170171</v>
      </c>
      <c r="G40" s="223">
        <f>SUM(G41:G45)</f>
        <v>0</v>
      </c>
      <c r="H40" s="223">
        <f>SUM(H41:H45)</f>
        <v>0</v>
      </c>
      <c r="I40" s="223">
        <f>SUM(I41:I45)</f>
        <v>2497100</v>
      </c>
      <c r="J40" s="223">
        <f t="shared" si="0"/>
        <v>27667271</v>
      </c>
      <c r="K40" s="652"/>
    </row>
    <row r="41" spans="1:11" ht="12.75" hidden="1">
      <c r="A41" s="225"/>
      <c r="B41" s="225" t="s">
        <v>232</v>
      </c>
      <c r="C41" s="942" t="s">
        <v>689</v>
      </c>
      <c r="D41" s="942"/>
      <c r="E41" s="942"/>
      <c r="F41" s="226">
        <v>0</v>
      </c>
      <c r="G41" s="226">
        <v>0</v>
      </c>
      <c r="H41" s="226">
        <v>0</v>
      </c>
      <c r="I41" s="226">
        <v>0</v>
      </c>
      <c r="J41" s="227">
        <f t="shared" si="0"/>
        <v>0</v>
      </c>
      <c r="K41" s="653"/>
    </row>
    <row r="42" spans="1:11" ht="12.75" hidden="1">
      <c r="A42" s="225"/>
      <c r="B42" s="225" t="s">
        <v>233</v>
      </c>
      <c r="C42" s="942" t="s">
        <v>690</v>
      </c>
      <c r="D42" s="942"/>
      <c r="E42" s="942"/>
      <c r="F42" s="226">
        <v>0</v>
      </c>
      <c r="G42" s="226">
        <v>0</v>
      </c>
      <c r="H42" s="226">
        <v>0</v>
      </c>
      <c r="I42" s="226">
        <v>0</v>
      </c>
      <c r="J42" s="227">
        <f t="shared" si="0"/>
        <v>0</v>
      </c>
      <c r="K42" s="653"/>
    </row>
    <row r="43" spans="1:11" ht="12.75" hidden="1">
      <c r="A43" s="225"/>
      <c r="B43" s="225" t="s">
        <v>234</v>
      </c>
      <c r="C43" s="942" t="s">
        <v>691</v>
      </c>
      <c r="D43" s="942"/>
      <c r="E43" s="942"/>
      <c r="F43" s="226">
        <v>0</v>
      </c>
      <c r="G43" s="226">
        <v>0</v>
      </c>
      <c r="H43" s="226">
        <v>0</v>
      </c>
      <c r="I43" s="226">
        <v>0</v>
      </c>
      <c r="J43" s="227">
        <f t="shared" si="0"/>
        <v>0</v>
      </c>
      <c r="K43" s="653"/>
    </row>
    <row r="44" spans="1:11" ht="12.75" hidden="1">
      <c r="A44" s="225"/>
      <c r="B44" s="225" t="s">
        <v>235</v>
      </c>
      <c r="C44" s="942" t="s">
        <v>692</v>
      </c>
      <c r="D44" s="942"/>
      <c r="E44" s="942"/>
      <c r="F44" s="226">
        <v>0</v>
      </c>
      <c r="G44" s="226">
        <v>0</v>
      </c>
      <c r="H44" s="226">
        <v>0</v>
      </c>
      <c r="I44" s="226">
        <v>0</v>
      </c>
      <c r="J44" s="227">
        <f t="shared" si="0"/>
        <v>0</v>
      </c>
      <c r="K44" s="653"/>
    </row>
    <row r="45" spans="1:11" ht="12.75">
      <c r="A45" s="225"/>
      <c r="B45" s="225" t="s">
        <v>236</v>
      </c>
      <c r="C45" s="942" t="s">
        <v>693</v>
      </c>
      <c r="D45" s="942"/>
      <c r="E45" s="942"/>
      <c r="F45" s="226">
        <f>SUM(F46:F56)</f>
        <v>25170171</v>
      </c>
      <c r="G45" s="226">
        <f>SUM(G46:G56)</f>
        <v>0</v>
      </c>
      <c r="H45" s="226">
        <f>SUM(H46:H56)</f>
        <v>0</v>
      </c>
      <c r="I45" s="226">
        <f>SUM(I46:I56)</f>
        <v>2497100</v>
      </c>
      <c r="J45" s="227">
        <f t="shared" si="0"/>
        <v>27667271</v>
      </c>
      <c r="K45" s="653"/>
    </row>
    <row r="46" spans="1:11" ht="12.75" hidden="1">
      <c r="A46" s="233"/>
      <c r="B46" s="233"/>
      <c r="C46" s="234" t="s">
        <v>2</v>
      </c>
      <c r="D46" s="234" t="s">
        <v>152</v>
      </c>
      <c r="E46" s="234" t="s">
        <v>153</v>
      </c>
      <c r="F46" s="235">
        <v>0</v>
      </c>
      <c r="G46" s="235">
        <v>0</v>
      </c>
      <c r="H46" s="235">
        <v>0</v>
      </c>
      <c r="I46" s="235">
        <v>0</v>
      </c>
      <c r="J46" s="236">
        <f t="shared" si="0"/>
        <v>0</v>
      </c>
      <c r="K46" s="655"/>
    </row>
    <row r="47" spans="1:11" ht="12.75" hidden="1">
      <c r="A47" s="233"/>
      <c r="B47" s="233"/>
      <c r="C47" s="234"/>
      <c r="D47" s="234" t="s">
        <v>154</v>
      </c>
      <c r="E47" s="234" t="s">
        <v>155</v>
      </c>
      <c r="F47" s="235">
        <v>0</v>
      </c>
      <c r="G47" s="235">
        <v>0</v>
      </c>
      <c r="H47" s="235">
        <v>0</v>
      </c>
      <c r="I47" s="235">
        <v>0</v>
      </c>
      <c r="J47" s="236">
        <f t="shared" si="0"/>
        <v>0</v>
      </c>
      <c r="K47" s="655"/>
    </row>
    <row r="48" spans="1:11" ht="12" customHeight="1">
      <c r="A48" s="237"/>
      <c r="B48" s="237"/>
      <c r="C48" s="234" t="s">
        <v>2</v>
      </c>
      <c r="D48" s="238"/>
      <c r="E48" s="238" t="s">
        <v>228</v>
      </c>
      <c r="F48" s="235">
        <v>24880301</v>
      </c>
      <c r="G48" s="235">
        <v>0</v>
      </c>
      <c r="H48" s="235">
        <v>0</v>
      </c>
      <c r="I48" s="235">
        <v>2497100</v>
      </c>
      <c r="J48" s="236">
        <f t="shared" si="0"/>
        <v>27377401</v>
      </c>
      <c r="K48" s="655"/>
    </row>
    <row r="49" spans="1:11" ht="12.75" hidden="1">
      <c r="A49" s="233"/>
      <c r="B49" s="233"/>
      <c r="C49" s="234"/>
      <c r="D49" s="234" t="s">
        <v>158</v>
      </c>
      <c r="E49" s="234" t="s">
        <v>159</v>
      </c>
      <c r="F49" s="235">
        <v>0</v>
      </c>
      <c r="G49" s="235">
        <v>0</v>
      </c>
      <c r="H49" s="235">
        <v>0</v>
      </c>
      <c r="I49" s="235">
        <v>0</v>
      </c>
      <c r="J49" s="236">
        <f t="shared" si="0"/>
        <v>0</v>
      </c>
      <c r="K49" s="655"/>
    </row>
    <row r="50" spans="1:11" ht="12.75" hidden="1">
      <c r="A50" s="233"/>
      <c r="B50" s="233"/>
      <c r="C50" s="234"/>
      <c r="D50" s="234" t="s">
        <v>160</v>
      </c>
      <c r="E50" s="234" t="s">
        <v>161</v>
      </c>
      <c r="F50" s="235">
        <v>0</v>
      </c>
      <c r="G50" s="235">
        <v>0</v>
      </c>
      <c r="H50" s="235">
        <v>0</v>
      </c>
      <c r="I50" s="235">
        <v>0</v>
      </c>
      <c r="J50" s="236">
        <f t="shared" si="0"/>
        <v>0</v>
      </c>
      <c r="K50" s="655"/>
    </row>
    <row r="51" spans="1:11" ht="12.75" hidden="1">
      <c r="A51" s="233"/>
      <c r="B51" s="233"/>
      <c r="C51" s="234"/>
      <c r="D51" s="234" t="s">
        <v>162</v>
      </c>
      <c r="E51" s="234" t="s">
        <v>163</v>
      </c>
      <c r="F51" s="235"/>
      <c r="G51" s="235">
        <v>0</v>
      </c>
      <c r="H51" s="235">
        <v>0</v>
      </c>
      <c r="I51" s="235">
        <v>0</v>
      </c>
      <c r="J51" s="236">
        <f t="shared" si="0"/>
        <v>0</v>
      </c>
      <c r="K51" s="655"/>
    </row>
    <row r="52" spans="1:11" ht="12.75" hidden="1">
      <c r="A52" s="233"/>
      <c r="B52" s="233"/>
      <c r="C52" s="234"/>
      <c r="D52" s="234" t="s">
        <v>164</v>
      </c>
      <c r="E52" s="234" t="s">
        <v>165</v>
      </c>
      <c r="F52" s="235">
        <v>0</v>
      </c>
      <c r="G52" s="235">
        <v>0</v>
      </c>
      <c r="H52" s="235">
        <v>0</v>
      </c>
      <c r="I52" s="235">
        <v>0</v>
      </c>
      <c r="J52" s="236">
        <f t="shared" si="0"/>
        <v>0</v>
      </c>
      <c r="K52" s="655"/>
    </row>
    <row r="53" spans="1:11" ht="12.75" hidden="1">
      <c r="A53" s="233"/>
      <c r="B53" s="233"/>
      <c r="C53" s="234"/>
      <c r="D53" s="234" t="s">
        <v>166</v>
      </c>
      <c r="E53" s="234" t="s">
        <v>167</v>
      </c>
      <c r="F53" s="235">
        <v>0</v>
      </c>
      <c r="G53" s="235">
        <v>0</v>
      </c>
      <c r="H53" s="235">
        <v>0</v>
      </c>
      <c r="I53" s="235">
        <v>0</v>
      </c>
      <c r="J53" s="236">
        <f t="shared" si="0"/>
        <v>0</v>
      </c>
      <c r="K53" s="655"/>
    </row>
    <row r="54" spans="1:11" ht="12.75" hidden="1">
      <c r="A54" s="233"/>
      <c r="B54" s="233"/>
      <c r="C54" s="234"/>
      <c r="D54" s="234" t="s">
        <v>168</v>
      </c>
      <c r="E54" s="234" t="s">
        <v>169</v>
      </c>
      <c r="F54" s="235">
        <v>0</v>
      </c>
      <c r="G54" s="235">
        <v>0</v>
      </c>
      <c r="H54" s="235">
        <v>0</v>
      </c>
      <c r="I54" s="235">
        <v>0</v>
      </c>
      <c r="J54" s="236">
        <f t="shared" si="0"/>
        <v>0</v>
      </c>
      <c r="K54" s="655"/>
    </row>
    <row r="55" spans="1:11" ht="12.75" hidden="1">
      <c r="A55" s="233"/>
      <c r="B55" s="233"/>
      <c r="C55" s="234"/>
      <c r="D55" s="234" t="s">
        <v>170</v>
      </c>
      <c r="E55" s="234" t="s">
        <v>171</v>
      </c>
      <c r="F55" s="235">
        <v>0</v>
      </c>
      <c r="G55" s="235">
        <v>0</v>
      </c>
      <c r="H55" s="235">
        <v>0</v>
      </c>
      <c r="I55" s="235">
        <v>0</v>
      </c>
      <c r="J55" s="236">
        <f t="shared" si="0"/>
        <v>0</v>
      </c>
      <c r="K55" s="655"/>
    </row>
    <row r="56" spans="1:11" ht="12.75">
      <c r="A56" s="233"/>
      <c r="B56" s="233"/>
      <c r="C56" s="234"/>
      <c r="D56" s="234"/>
      <c r="E56" s="234" t="s">
        <v>163</v>
      </c>
      <c r="F56" s="235">
        <v>289870</v>
      </c>
      <c r="G56" s="235">
        <v>0</v>
      </c>
      <c r="H56" s="235">
        <v>0</v>
      </c>
      <c r="I56" s="235">
        <v>0</v>
      </c>
      <c r="J56" s="236">
        <f t="shared" si="0"/>
        <v>289870</v>
      </c>
      <c r="K56" s="655"/>
    </row>
    <row r="57" spans="1:11" s="224" customFormat="1" ht="12.75">
      <c r="A57" s="222" t="s">
        <v>237</v>
      </c>
      <c r="B57" s="946" t="s">
        <v>238</v>
      </c>
      <c r="C57" s="946"/>
      <c r="D57" s="946"/>
      <c r="E57" s="946"/>
      <c r="F57" s="223">
        <f>SUM(F58+F59+F60+F61+F64+F75)</f>
        <v>254780000</v>
      </c>
      <c r="G57" s="223">
        <f>SUM(G58+G59+G60+G61+G64+G75)</f>
        <v>0</v>
      </c>
      <c r="H57" s="223">
        <f>SUM(H58+H59+H60+H61+H64+H75)</f>
        <v>0</v>
      </c>
      <c r="I57" s="223">
        <f>SUM(I58+I59+I60+I61+I64+I75)</f>
        <v>0</v>
      </c>
      <c r="J57" s="223">
        <f t="shared" si="0"/>
        <v>254780000</v>
      </c>
      <c r="K57" s="652"/>
    </row>
    <row r="58" spans="1:11" ht="12.75">
      <c r="A58" s="225"/>
      <c r="B58" s="225" t="s">
        <v>239</v>
      </c>
      <c r="C58" s="942" t="s">
        <v>240</v>
      </c>
      <c r="D58" s="942"/>
      <c r="E58" s="942"/>
      <c r="F58" s="226">
        <v>50000</v>
      </c>
      <c r="G58" s="226">
        <v>0</v>
      </c>
      <c r="H58" s="226">
        <v>0</v>
      </c>
      <c r="I58" s="226">
        <v>0</v>
      </c>
      <c r="J58" s="227">
        <f t="shared" si="0"/>
        <v>50000</v>
      </c>
      <c r="K58" s="653"/>
    </row>
    <row r="59" spans="1:11" ht="12.75">
      <c r="A59" s="225"/>
      <c r="B59" s="225" t="s">
        <v>241</v>
      </c>
      <c r="C59" s="942" t="s">
        <v>242</v>
      </c>
      <c r="D59" s="942"/>
      <c r="E59" s="942"/>
      <c r="F59" s="226">
        <v>0</v>
      </c>
      <c r="G59" s="226">
        <v>0</v>
      </c>
      <c r="H59" s="226">
        <v>0</v>
      </c>
      <c r="I59" s="226">
        <v>0</v>
      </c>
      <c r="J59" s="227">
        <f t="shared" si="0"/>
        <v>0</v>
      </c>
      <c r="K59" s="653"/>
    </row>
    <row r="60" spans="1:11" ht="12.75">
      <c r="A60" s="225"/>
      <c r="B60" s="225" t="s">
        <v>243</v>
      </c>
      <c r="C60" s="942" t="s">
        <v>244</v>
      </c>
      <c r="D60" s="942"/>
      <c r="E60" s="942"/>
      <c r="F60" s="226">
        <v>0</v>
      </c>
      <c r="G60" s="226">
        <v>0</v>
      </c>
      <c r="H60" s="226">
        <v>0</v>
      </c>
      <c r="I60" s="226">
        <v>0</v>
      </c>
      <c r="J60" s="227">
        <f t="shared" si="0"/>
        <v>0</v>
      </c>
      <c r="K60" s="653"/>
    </row>
    <row r="61" spans="1:11" ht="12.75">
      <c r="A61" s="225"/>
      <c r="B61" s="225" t="s">
        <v>245</v>
      </c>
      <c r="C61" s="942" t="s">
        <v>246</v>
      </c>
      <c r="D61" s="942"/>
      <c r="E61" s="942"/>
      <c r="F61" s="226">
        <f>SUM(F62:F63)</f>
        <v>38930000</v>
      </c>
      <c r="G61" s="226">
        <f>SUM(G62:G63)</f>
        <v>0</v>
      </c>
      <c r="H61" s="226">
        <v>0</v>
      </c>
      <c r="I61" s="226">
        <v>0</v>
      </c>
      <c r="J61" s="227">
        <f t="shared" si="0"/>
        <v>38930000</v>
      </c>
      <c r="K61" s="653"/>
    </row>
    <row r="62" spans="1:11" ht="12.75">
      <c r="A62" s="233"/>
      <c r="B62" s="233"/>
      <c r="C62" s="234"/>
      <c r="D62" s="234"/>
      <c r="E62" s="234" t="s">
        <v>247</v>
      </c>
      <c r="F62" s="235">
        <v>38000000</v>
      </c>
      <c r="G62" s="235">
        <v>0</v>
      </c>
      <c r="H62" s="235">
        <v>0</v>
      </c>
      <c r="I62" s="235">
        <v>0</v>
      </c>
      <c r="J62" s="236">
        <f t="shared" si="0"/>
        <v>38000000</v>
      </c>
      <c r="K62" s="655"/>
    </row>
    <row r="63" spans="1:11" ht="12.75">
      <c r="A63" s="233"/>
      <c r="B63" s="233"/>
      <c r="C63" s="234"/>
      <c r="D63" s="234"/>
      <c r="E63" s="234" t="s">
        <v>248</v>
      </c>
      <c r="F63" s="235">
        <v>930000</v>
      </c>
      <c r="G63" s="235">
        <v>0</v>
      </c>
      <c r="H63" s="235">
        <v>0</v>
      </c>
      <c r="I63" s="235">
        <v>0</v>
      </c>
      <c r="J63" s="236">
        <f t="shared" si="0"/>
        <v>930000</v>
      </c>
      <c r="K63" s="655"/>
    </row>
    <row r="64" spans="1:11" ht="12.75">
      <c r="A64" s="225"/>
      <c r="B64" s="225" t="s">
        <v>249</v>
      </c>
      <c r="C64" s="942" t="s">
        <v>250</v>
      </c>
      <c r="D64" s="942"/>
      <c r="E64" s="942"/>
      <c r="F64" s="226">
        <f>SUM(F65+F68+F70+F71+F73)</f>
        <v>215200000</v>
      </c>
      <c r="G64" s="226">
        <f>SUM(G65+G68+G70+G71+G73)</f>
        <v>0</v>
      </c>
      <c r="H64" s="226">
        <v>0</v>
      </c>
      <c r="I64" s="226">
        <v>0</v>
      </c>
      <c r="J64" s="227">
        <f t="shared" si="0"/>
        <v>215200000</v>
      </c>
      <c r="K64" s="653"/>
    </row>
    <row r="65" spans="1:11" ht="12.75">
      <c r="A65" s="228"/>
      <c r="B65" s="228"/>
      <c r="C65" s="228" t="s">
        <v>251</v>
      </c>
      <c r="D65" s="228" t="s">
        <v>252</v>
      </c>
      <c r="E65" s="228"/>
      <c r="F65" s="229">
        <f>SUM(F66:F67)</f>
        <v>193200000</v>
      </c>
      <c r="G65" s="229">
        <f>SUM(G66:G67)</f>
        <v>0</v>
      </c>
      <c r="H65" s="229">
        <v>0</v>
      </c>
      <c r="I65" s="229">
        <v>0</v>
      </c>
      <c r="J65" s="230">
        <f t="shared" si="0"/>
        <v>193200000</v>
      </c>
      <c r="K65" s="654"/>
    </row>
    <row r="66" spans="1:11" ht="12.75">
      <c r="A66" s="233"/>
      <c r="B66" s="233"/>
      <c r="C66" s="234"/>
      <c r="D66" s="234"/>
      <c r="E66" s="234" t="s">
        <v>695</v>
      </c>
      <c r="F66" s="235">
        <v>193000000</v>
      </c>
      <c r="G66" s="235">
        <v>0</v>
      </c>
      <c r="H66" s="235">
        <v>0</v>
      </c>
      <c r="I66" s="235">
        <v>0</v>
      </c>
      <c r="J66" s="236">
        <f t="shared" si="0"/>
        <v>193000000</v>
      </c>
      <c r="K66" s="655"/>
    </row>
    <row r="67" spans="1:11" ht="12.75">
      <c r="A67" s="233"/>
      <c r="B67" s="233"/>
      <c r="C67" s="234"/>
      <c r="D67" s="234"/>
      <c r="E67" s="234" t="s">
        <v>696</v>
      </c>
      <c r="F67" s="235">
        <v>200000</v>
      </c>
      <c r="G67" s="235">
        <v>0</v>
      </c>
      <c r="H67" s="235">
        <v>0</v>
      </c>
      <c r="I67" s="235">
        <v>0</v>
      </c>
      <c r="J67" s="236">
        <f t="shared" si="0"/>
        <v>200000</v>
      </c>
      <c r="K67" s="655"/>
    </row>
    <row r="68" spans="1:11" ht="12.75">
      <c r="A68" s="228"/>
      <c r="B68" s="228"/>
      <c r="C68" s="228" t="s">
        <v>253</v>
      </c>
      <c r="D68" s="228" t="s">
        <v>607</v>
      </c>
      <c r="E68" s="228"/>
      <c r="F68" s="229">
        <f>SUM(F69)</f>
        <v>0</v>
      </c>
      <c r="G68" s="229">
        <f>SUM(G69)</f>
        <v>0</v>
      </c>
      <c r="H68" s="229">
        <f>SUM(H69)</f>
        <v>0</v>
      </c>
      <c r="I68" s="229">
        <f>SUM(I69)</f>
        <v>0</v>
      </c>
      <c r="J68" s="230">
        <f t="shared" si="0"/>
        <v>0</v>
      </c>
      <c r="K68" s="654"/>
    </row>
    <row r="69" spans="1:11" ht="12.75" hidden="1">
      <c r="A69" s="228"/>
      <c r="B69" s="228"/>
      <c r="C69" s="228"/>
      <c r="D69" s="228"/>
      <c r="E69" s="234" t="s">
        <v>608</v>
      </c>
      <c r="F69" s="229">
        <v>0</v>
      </c>
      <c r="G69" s="229">
        <v>0</v>
      </c>
      <c r="H69" s="229">
        <v>0</v>
      </c>
      <c r="I69" s="229">
        <v>0</v>
      </c>
      <c r="J69" s="230">
        <f t="shared" si="0"/>
        <v>0</v>
      </c>
      <c r="K69" s="654"/>
    </row>
    <row r="70" spans="1:11" ht="12.75">
      <c r="A70" s="228"/>
      <c r="B70" s="228"/>
      <c r="C70" s="228" t="s">
        <v>254</v>
      </c>
      <c r="D70" s="228" t="s">
        <v>255</v>
      </c>
      <c r="E70" s="228"/>
      <c r="F70" s="229">
        <v>0</v>
      </c>
      <c r="G70" s="229">
        <v>0</v>
      </c>
      <c r="H70" s="229">
        <v>0</v>
      </c>
      <c r="I70" s="229">
        <v>0</v>
      </c>
      <c r="J70" s="230">
        <f t="shared" si="0"/>
        <v>0</v>
      </c>
      <c r="K70" s="654"/>
    </row>
    <row r="71" spans="1:11" ht="12.75">
      <c r="A71" s="228"/>
      <c r="B71" s="228"/>
      <c r="C71" s="228" t="s">
        <v>256</v>
      </c>
      <c r="D71" s="228" t="s">
        <v>257</v>
      </c>
      <c r="E71" s="228"/>
      <c r="F71" s="229">
        <f>SUM(F72)</f>
        <v>22000000</v>
      </c>
      <c r="G71" s="229">
        <f>SUM(G72:G72)</f>
        <v>0</v>
      </c>
      <c r="H71" s="229">
        <v>0</v>
      </c>
      <c r="I71" s="229">
        <v>0</v>
      </c>
      <c r="J71" s="230">
        <f t="shared" si="0"/>
        <v>22000000</v>
      </c>
      <c r="K71" s="654"/>
    </row>
    <row r="72" spans="1:11" ht="12.75">
      <c r="A72" s="233"/>
      <c r="B72" s="233"/>
      <c r="C72" s="233"/>
      <c r="D72" s="234"/>
      <c r="E72" s="234" t="s">
        <v>697</v>
      </c>
      <c r="F72" s="235">
        <v>22000000</v>
      </c>
      <c r="G72" s="235">
        <v>0</v>
      </c>
      <c r="H72" s="235">
        <v>0</v>
      </c>
      <c r="I72" s="235">
        <v>0</v>
      </c>
      <c r="J72" s="236">
        <f t="shared" si="0"/>
        <v>22000000</v>
      </c>
      <c r="K72" s="655"/>
    </row>
    <row r="73" spans="1:11" ht="12.75">
      <c r="A73" s="228"/>
      <c r="B73" s="228"/>
      <c r="C73" s="228" t="s">
        <v>258</v>
      </c>
      <c r="D73" s="228" t="s">
        <v>259</v>
      </c>
      <c r="E73" s="228"/>
      <c r="F73" s="229">
        <f>SUM(F74:F74)</f>
        <v>0</v>
      </c>
      <c r="G73" s="229">
        <v>0</v>
      </c>
      <c r="H73" s="229">
        <v>0</v>
      </c>
      <c r="I73" s="229">
        <v>0</v>
      </c>
      <c r="J73" s="230">
        <f aca="true" t="shared" si="1" ref="J73:J136">SUM(F73:I73)</f>
        <v>0</v>
      </c>
      <c r="K73" s="654"/>
    </row>
    <row r="74" spans="1:11" ht="12.75" hidden="1">
      <c r="A74" s="233"/>
      <c r="B74" s="233"/>
      <c r="C74" s="233"/>
      <c r="D74" s="234"/>
      <c r="E74" s="234" t="s">
        <v>261</v>
      </c>
      <c r="F74" s="235">
        <v>0</v>
      </c>
      <c r="G74" s="235">
        <v>0</v>
      </c>
      <c r="H74" s="235">
        <v>0</v>
      </c>
      <c r="I74" s="235">
        <v>0</v>
      </c>
      <c r="J74" s="236">
        <f t="shared" si="1"/>
        <v>0</v>
      </c>
      <c r="K74" s="655"/>
    </row>
    <row r="75" spans="1:11" ht="12.75">
      <c r="A75" s="225"/>
      <c r="B75" s="225" t="s">
        <v>262</v>
      </c>
      <c r="C75" s="942" t="s">
        <v>263</v>
      </c>
      <c r="D75" s="942"/>
      <c r="E75" s="942"/>
      <c r="F75" s="226">
        <f>SUM(F76:F85)</f>
        <v>600000</v>
      </c>
      <c r="G75" s="226">
        <f>SUM(G76:G85)</f>
        <v>0</v>
      </c>
      <c r="H75" s="226">
        <f>SUM(H76:H85)</f>
        <v>0</v>
      </c>
      <c r="I75" s="226">
        <f>SUM(I76:I85)</f>
        <v>0</v>
      </c>
      <c r="J75" s="227">
        <f t="shared" si="1"/>
        <v>600000</v>
      </c>
      <c r="K75" s="653"/>
    </row>
    <row r="76" spans="1:11" ht="12.75" hidden="1">
      <c r="A76" s="239"/>
      <c r="B76" s="239"/>
      <c r="C76" s="239"/>
      <c r="D76" s="234"/>
      <c r="E76" s="234" t="s">
        <v>264</v>
      </c>
      <c r="F76" s="235">
        <v>0</v>
      </c>
      <c r="G76" s="235">
        <v>0</v>
      </c>
      <c r="H76" s="235">
        <v>0</v>
      </c>
      <c r="I76" s="235">
        <v>0</v>
      </c>
      <c r="J76" s="236">
        <f t="shared" si="1"/>
        <v>0</v>
      </c>
      <c r="K76" s="655"/>
    </row>
    <row r="77" spans="1:11" ht="12.75" hidden="1">
      <c r="A77" s="233"/>
      <c r="B77" s="233"/>
      <c r="C77" s="233"/>
      <c r="D77" s="234"/>
      <c r="E77" s="234" t="s">
        <v>265</v>
      </c>
      <c r="F77" s="235">
        <v>0</v>
      </c>
      <c r="G77" s="235"/>
      <c r="H77" s="235">
        <v>0</v>
      </c>
      <c r="I77" s="235">
        <v>0</v>
      </c>
      <c r="J77" s="236">
        <f t="shared" si="1"/>
        <v>0</v>
      </c>
      <c r="K77" s="655"/>
    </row>
    <row r="78" spans="1:11" ht="12.75" hidden="1">
      <c r="A78" s="239"/>
      <c r="B78" s="239"/>
      <c r="C78" s="239"/>
      <c r="D78" s="234"/>
      <c r="E78" s="234" t="s">
        <v>266</v>
      </c>
      <c r="F78" s="235">
        <v>0</v>
      </c>
      <c r="G78" s="235">
        <v>0</v>
      </c>
      <c r="H78" s="235">
        <v>0</v>
      </c>
      <c r="I78" s="235">
        <v>0</v>
      </c>
      <c r="J78" s="236">
        <f t="shared" si="1"/>
        <v>0</v>
      </c>
      <c r="K78" s="655"/>
    </row>
    <row r="79" spans="1:11" ht="12.75" customHeight="1">
      <c r="A79" s="239"/>
      <c r="B79" s="239"/>
      <c r="C79" s="239"/>
      <c r="D79" s="234"/>
      <c r="E79" s="234" t="s">
        <v>260</v>
      </c>
      <c r="F79" s="235">
        <v>350000</v>
      </c>
      <c r="G79" s="235">
        <v>0</v>
      </c>
      <c r="H79" s="235">
        <v>0</v>
      </c>
      <c r="I79" s="235">
        <v>0</v>
      </c>
      <c r="J79" s="236">
        <f t="shared" si="1"/>
        <v>350000</v>
      </c>
      <c r="K79" s="655"/>
    </row>
    <row r="80" spans="1:11" ht="0.75" customHeight="1" hidden="1">
      <c r="A80" s="239"/>
      <c r="B80" s="239"/>
      <c r="C80" s="239"/>
      <c r="D80" s="234"/>
      <c r="E80" s="234" t="s">
        <v>267</v>
      </c>
      <c r="F80" s="235"/>
      <c r="G80" s="235">
        <v>0</v>
      </c>
      <c r="H80" s="235">
        <v>0</v>
      </c>
      <c r="I80" s="235">
        <v>0</v>
      </c>
      <c r="J80" s="236">
        <f t="shared" si="1"/>
        <v>0</v>
      </c>
      <c r="K80" s="655"/>
    </row>
    <row r="81" spans="1:11" ht="12.75" hidden="1">
      <c r="A81" s="239"/>
      <c r="B81" s="239"/>
      <c r="C81" s="239"/>
      <c r="D81" s="234"/>
      <c r="E81" s="234" t="s">
        <v>268</v>
      </c>
      <c r="F81" s="235"/>
      <c r="G81" s="235">
        <v>0</v>
      </c>
      <c r="H81" s="235">
        <v>0</v>
      </c>
      <c r="I81" s="235">
        <v>0</v>
      </c>
      <c r="J81" s="236">
        <f t="shared" si="1"/>
        <v>0</v>
      </c>
      <c r="K81" s="655"/>
    </row>
    <row r="82" spans="1:11" ht="12.75" hidden="1">
      <c r="A82" s="239"/>
      <c r="B82" s="239"/>
      <c r="C82" s="239"/>
      <c r="D82" s="234"/>
      <c r="E82" s="234" t="s">
        <v>658</v>
      </c>
      <c r="F82" s="235"/>
      <c r="G82" s="235">
        <v>0</v>
      </c>
      <c r="H82" s="235">
        <v>0</v>
      </c>
      <c r="I82" s="235">
        <v>0</v>
      </c>
      <c r="J82" s="236">
        <f t="shared" si="1"/>
        <v>0</v>
      </c>
      <c r="K82" s="655"/>
    </row>
    <row r="83" spans="1:11" ht="30" customHeight="1" hidden="1">
      <c r="A83" s="233"/>
      <c r="B83" s="233"/>
      <c r="C83" s="233"/>
      <c r="D83" s="233"/>
      <c r="E83" s="240" t="s">
        <v>698</v>
      </c>
      <c r="F83" s="235"/>
      <c r="G83" s="235">
        <v>0</v>
      </c>
      <c r="H83" s="235">
        <v>0</v>
      </c>
      <c r="I83" s="235">
        <v>0</v>
      </c>
      <c r="J83" s="236">
        <f t="shared" si="1"/>
        <v>0</v>
      </c>
      <c r="K83" s="655"/>
    </row>
    <row r="84" spans="1:11" ht="12.75" hidden="1">
      <c r="A84" s="239"/>
      <c r="B84" s="239"/>
      <c r="C84" s="239"/>
      <c r="D84" s="239"/>
      <c r="E84" s="234" t="s">
        <v>269</v>
      </c>
      <c r="F84" s="235"/>
      <c r="G84" s="235">
        <v>0</v>
      </c>
      <c r="H84" s="235">
        <v>0</v>
      </c>
      <c r="I84" s="235">
        <v>0</v>
      </c>
      <c r="J84" s="236">
        <f t="shared" si="1"/>
        <v>0</v>
      </c>
      <c r="K84" s="655"/>
    </row>
    <row r="85" spans="1:11" ht="12.75">
      <c r="A85" s="233"/>
      <c r="B85" s="233"/>
      <c r="C85" s="233"/>
      <c r="D85" s="233"/>
      <c r="E85" s="238" t="s">
        <v>270</v>
      </c>
      <c r="F85" s="235">
        <v>250000</v>
      </c>
      <c r="G85" s="235">
        <v>0</v>
      </c>
      <c r="H85" s="235">
        <v>0</v>
      </c>
      <c r="I85" s="235">
        <v>0</v>
      </c>
      <c r="J85" s="236">
        <f t="shared" si="1"/>
        <v>250000</v>
      </c>
      <c r="K85" s="655"/>
    </row>
    <row r="86" spans="1:11" s="224" customFormat="1" ht="12.75">
      <c r="A86" s="222" t="s">
        <v>271</v>
      </c>
      <c r="B86" s="946" t="s">
        <v>272</v>
      </c>
      <c r="C86" s="946"/>
      <c r="D86" s="946"/>
      <c r="E86" s="946"/>
      <c r="F86" s="223">
        <f>SUM(F87+F88+F91+F93+F100+F101+F102+F103+F110+F118+F119)</f>
        <v>57824664</v>
      </c>
      <c r="G86" s="223">
        <f>SUM(G87+G88+G91+G93+G100+G101+G102+G103+G110+G118+G119)</f>
        <v>7049209</v>
      </c>
      <c r="H86" s="223">
        <f>SUM(H87+H88+H91+H93+H100+H101+H102+H103+H110+H118+H119)</f>
        <v>1081470</v>
      </c>
      <c r="I86" s="223">
        <f>SUM(I87+I88+I91+I93+I100+I101+I102+I103+I110+I118+I119)</f>
        <v>5380000</v>
      </c>
      <c r="J86" s="223">
        <f t="shared" si="1"/>
        <v>71335343</v>
      </c>
      <c r="K86" s="652"/>
    </row>
    <row r="87" spans="1:11" ht="12.75">
      <c r="A87" s="228"/>
      <c r="B87" s="228"/>
      <c r="C87" s="228" t="s">
        <v>273</v>
      </c>
      <c r="D87" s="228" t="s">
        <v>564</v>
      </c>
      <c r="E87" s="228"/>
      <c r="F87" s="229">
        <v>8000000</v>
      </c>
      <c r="G87" s="229">
        <v>0</v>
      </c>
      <c r="H87" s="229">
        <v>0</v>
      </c>
      <c r="I87" s="229">
        <v>0</v>
      </c>
      <c r="J87" s="230">
        <f t="shared" si="1"/>
        <v>8000000</v>
      </c>
      <c r="K87" s="654"/>
    </row>
    <row r="88" spans="1:11" ht="12.75">
      <c r="A88" s="228"/>
      <c r="B88" s="228"/>
      <c r="C88" s="228" t="s">
        <v>274</v>
      </c>
      <c r="D88" s="228" t="s">
        <v>346</v>
      </c>
      <c r="E88" s="228"/>
      <c r="F88" s="229">
        <f>13971380+540000</f>
        <v>14511380</v>
      </c>
      <c r="G88" s="229">
        <v>250000</v>
      </c>
      <c r="H88" s="229">
        <v>0</v>
      </c>
      <c r="I88" s="229">
        <f>3596300+1080000</f>
        <v>4676300</v>
      </c>
      <c r="J88" s="230">
        <f t="shared" si="1"/>
        <v>19437680</v>
      </c>
      <c r="K88" s="654"/>
    </row>
    <row r="89" spans="1:11" ht="12.75">
      <c r="A89" s="233"/>
      <c r="B89" s="233"/>
      <c r="C89" s="234" t="s">
        <v>2</v>
      </c>
      <c r="D89" s="234"/>
      <c r="E89" s="234" t="s">
        <v>275</v>
      </c>
      <c r="F89" s="241">
        <f>9471380+540000</f>
        <v>10011380</v>
      </c>
      <c r="G89" s="241">
        <v>0</v>
      </c>
      <c r="H89" s="235">
        <v>0</v>
      </c>
      <c r="I89" s="235">
        <f>990000+1080000</f>
        <v>2070000</v>
      </c>
      <c r="J89" s="236">
        <f t="shared" si="1"/>
        <v>12081380</v>
      </c>
      <c r="K89" s="655"/>
    </row>
    <row r="90" spans="1:11" ht="12.75" hidden="1">
      <c r="A90" s="233"/>
      <c r="B90" s="233"/>
      <c r="C90" s="234"/>
      <c r="D90" s="234"/>
      <c r="E90" s="234" t="s">
        <v>1075</v>
      </c>
      <c r="F90" s="235">
        <v>0</v>
      </c>
      <c r="G90" s="235">
        <v>0</v>
      </c>
      <c r="H90" s="235">
        <v>0</v>
      </c>
      <c r="I90" s="235">
        <v>0</v>
      </c>
      <c r="J90" s="236">
        <f t="shared" si="1"/>
        <v>0</v>
      </c>
      <c r="K90" s="655"/>
    </row>
    <row r="91" spans="1:11" ht="12.75">
      <c r="A91" s="228"/>
      <c r="B91" s="228"/>
      <c r="C91" s="228" t="s">
        <v>276</v>
      </c>
      <c r="D91" s="228" t="s">
        <v>277</v>
      </c>
      <c r="E91" s="228"/>
      <c r="F91" s="229">
        <v>3613803</v>
      </c>
      <c r="G91" s="229">
        <v>5516975</v>
      </c>
      <c r="H91" s="229">
        <v>0</v>
      </c>
      <c r="I91" s="229"/>
      <c r="J91" s="230">
        <f t="shared" si="1"/>
        <v>9130778</v>
      </c>
      <c r="K91" s="654"/>
    </row>
    <row r="92" spans="1:11" ht="12.75">
      <c r="A92" s="233"/>
      <c r="B92" s="233"/>
      <c r="C92" s="234" t="s">
        <v>2</v>
      </c>
      <c r="D92" s="234"/>
      <c r="E92" s="234" t="s">
        <v>7</v>
      </c>
      <c r="F92" s="235">
        <v>2532447</v>
      </c>
      <c r="G92" s="235">
        <v>1749167</v>
      </c>
      <c r="H92" s="235">
        <v>0</v>
      </c>
      <c r="I92" s="235">
        <v>0</v>
      </c>
      <c r="J92" s="236">
        <f t="shared" si="1"/>
        <v>4281614</v>
      </c>
      <c r="K92" s="655"/>
    </row>
    <row r="93" spans="1:11" ht="12.75">
      <c r="A93" s="228"/>
      <c r="B93" s="228"/>
      <c r="C93" s="228" t="s">
        <v>278</v>
      </c>
      <c r="D93" s="228" t="s">
        <v>279</v>
      </c>
      <c r="E93" s="228"/>
      <c r="F93" s="229">
        <v>721000</v>
      </c>
      <c r="G93" s="229">
        <v>0</v>
      </c>
      <c r="H93" s="229">
        <v>0</v>
      </c>
      <c r="I93" s="229">
        <v>0</v>
      </c>
      <c r="J93" s="230">
        <f t="shared" si="1"/>
        <v>721000</v>
      </c>
      <c r="K93" s="654"/>
    </row>
    <row r="94" spans="1:11" ht="12.75" hidden="1">
      <c r="A94" s="233"/>
      <c r="B94" s="233"/>
      <c r="C94" s="234" t="s">
        <v>2</v>
      </c>
      <c r="D94" s="234"/>
      <c r="E94" s="234" t="s">
        <v>280</v>
      </c>
      <c r="F94" s="235">
        <v>0</v>
      </c>
      <c r="G94" s="235">
        <v>0</v>
      </c>
      <c r="H94" s="235">
        <v>0</v>
      </c>
      <c r="I94" s="235">
        <v>0</v>
      </c>
      <c r="J94" s="236">
        <f t="shared" si="1"/>
        <v>0</v>
      </c>
      <c r="K94" s="655"/>
    </row>
    <row r="95" spans="1:11" ht="12.75" hidden="1">
      <c r="A95" s="233"/>
      <c r="B95" s="233"/>
      <c r="C95" s="234"/>
      <c r="D95" s="234"/>
      <c r="E95" s="234" t="s">
        <v>699</v>
      </c>
      <c r="F95" s="235">
        <v>0</v>
      </c>
      <c r="G95" s="235">
        <v>0</v>
      </c>
      <c r="H95" s="235">
        <v>0</v>
      </c>
      <c r="I95" s="235">
        <v>0</v>
      </c>
      <c r="J95" s="236">
        <f t="shared" si="1"/>
        <v>0</v>
      </c>
      <c r="K95" s="655"/>
    </row>
    <row r="96" spans="1:11" ht="12" customHeight="1">
      <c r="A96" s="233"/>
      <c r="B96" s="233"/>
      <c r="C96" s="234" t="s">
        <v>2</v>
      </c>
      <c r="D96" s="234"/>
      <c r="E96" s="234" t="s">
        <v>700</v>
      </c>
      <c r="F96" s="235">
        <v>721000</v>
      </c>
      <c r="G96" s="235">
        <v>0</v>
      </c>
      <c r="H96" s="235">
        <v>0</v>
      </c>
      <c r="I96" s="235">
        <v>0</v>
      </c>
      <c r="J96" s="236">
        <f t="shared" si="1"/>
        <v>721000</v>
      </c>
      <c r="K96" s="655"/>
    </row>
    <row r="97" spans="1:11" ht="12.75" hidden="1">
      <c r="A97" s="233"/>
      <c r="B97" s="233"/>
      <c r="C97" s="234"/>
      <c r="D97" s="234"/>
      <c r="E97" s="234" t="s">
        <v>701</v>
      </c>
      <c r="F97" s="235">
        <v>0</v>
      </c>
      <c r="G97" s="235">
        <v>0</v>
      </c>
      <c r="H97" s="235">
        <v>0</v>
      </c>
      <c r="I97" s="235">
        <v>0</v>
      </c>
      <c r="J97" s="236">
        <f t="shared" si="1"/>
        <v>0</v>
      </c>
      <c r="K97" s="655"/>
    </row>
    <row r="98" spans="1:11" ht="12.75" hidden="1">
      <c r="A98" s="233"/>
      <c r="B98" s="233"/>
      <c r="C98" s="234"/>
      <c r="D98" s="234"/>
      <c r="E98" s="234" t="s">
        <v>702</v>
      </c>
      <c r="F98" s="235">
        <v>0</v>
      </c>
      <c r="G98" s="235">
        <v>0</v>
      </c>
      <c r="H98" s="235">
        <v>0</v>
      </c>
      <c r="I98" s="235">
        <v>0</v>
      </c>
      <c r="J98" s="236">
        <f t="shared" si="1"/>
        <v>0</v>
      </c>
      <c r="K98" s="655"/>
    </row>
    <row r="99" spans="1:11" ht="12.75" hidden="1">
      <c r="A99" s="233"/>
      <c r="B99" s="233"/>
      <c r="C99" s="234"/>
      <c r="D99" s="234"/>
      <c r="E99" s="234" t="s">
        <v>565</v>
      </c>
      <c r="F99" s="235">
        <v>0</v>
      </c>
      <c r="G99" s="235">
        <v>0</v>
      </c>
      <c r="H99" s="235">
        <v>0</v>
      </c>
      <c r="I99" s="235">
        <v>0</v>
      </c>
      <c r="J99" s="236">
        <f t="shared" si="1"/>
        <v>0</v>
      </c>
      <c r="K99" s="655"/>
    </row>
    <row r="100" spans="1:11" ht="12.75">
      <c r="A100" s="228"/>
      <c r="B100" s="228"/>
      <c r="C100" s="228" t="s">
        <v>281</v>
      </c>
      <c r="D100" s="228" t="s">
        <v>282</v>
      </c>
      <c r="E100" s="228"/>
      <c r="F100" s="229">
        <v>5191313</v>
      </c>
      <c r="G100" s="229">
        <v>0</v>
      </c>
      <c r="H100" s="229">
        <v>851551</v>
      </c>
      <c r="I100" s="229">
        <v>0</v>
      </c>
      <c r="J100" s="230">
        <f t="shared" si="1"/>
        <v>6042864</v>
      </c>
      <c r="K100" s="654"/>
    </row>
    <row r="101" spans="1:11" ht="12.75">
      <c r="A101" s="228"/>
      <c r="B101" s="228"/>
      <c r="C101" s="228" t="s">
        <v>283</v>
      </c>
      <c r="D101" s="228" t="s">
        <v>284</v>
      </c>
      <c r="E101" s="228"/>
      <c r="F101" s="229">
        <v>3474439</v>
      </c>
      <c r="G101" s="229">
        <v>1282234</v>
      </c>
      <c r="H101" s="229">
        <v>229919</v>
      </c>
      <c r="I101" s="229">
        <v>703700</v>
      </c>
      <c r="J101" s="230">
        <f t="shared" si="1"/>
        <v>5690292</v>
      </c>
      <c r="K101" s="654"/>
    </row>
    <row r="102" spans="1:11" ht="12.75">
      <c r="A102" s="228"/>
      <c r="B102" s="228"/>
      <c r="C102" s="228" t="s">
        <v>285</v>
      </c>
      <c r="D102" s="228" t="s">
        <v>286</v>
      </c>
      <c r="E102" s="228"/>
      <c r="F102" s="229">
        <v>0</v>
      </c>
      <c r="G102" s="229">
        <v>0</v>
      </c>
      <c r="H102" s="229">
        <v>0</v>
      </c>
      <c r="I102" s="229">
        <v>0</v>
      </c>
      <c r="J102" s="230">
        <f t="shared" si="1"/>
        <v>0</v>
      </c>
      <c r="K102" s="654"/>
    </row>
    <row r="103" spans="1:11" ht="12" customHeight="1">
      <c r="A103" s="228"/>
      <c r="B103" s="228"/>
      <c r="C103" s="228" t="s">
        <v>287</v>
      </c>
      <c r="D103" s="228" t="s">
        <v>609</v>
      </c>
      <c r="E103" s="228"/>
      <c r="F103" s="229">
        <f>SUM(F104,F107)</f>
        <v>500</v>
      </c>
      <c r="G103" s="229">
        <f>SUM(G104+G107)</f>
        <v>0</v>
      </c>
      <c r="H103" s="229">
        <f>SUM(H104+H107)</f>
        <v>0</v>
      </c>
      <c r="I103" s="229">
        <f>SUM(I104+I107)</f>
        <v>0</v>
      </c>
      <c r="J103" s="230">
        <f t="shared" si="1"/>
        <v>500</v>
      </c>
      <c r="K103" s="654"/>
    </row>
    <row r="104" spans="1:11" ht="12.75" hidden="1">
      <c r="A104" s="228"/>
      <c r="B104" s="228"/>
      <c r="C104" s="234"/>
      <c r="D104" s="947" t="s">
        <v>703</v>
      </c>
      <c r="E104" s="948"/>
      <c r="F104" s="235">
        <v>0</v>
      </c>
      <c r="G104" s="235">
        <v>0</v>
      </c>
      <c r="H104" s="235">
        <v>0</v>
      </c>
      <c r="I104" s="235">
        <v>0</v>
      </c>
      <c r="J104" s="236">
        <f t="shared" si="1"/>
        <v>0</v>
      </c>
      <c r="K104" s="655"/>
    </row>
    <row r="105" spans="1:11" ht="12.75" hidden="1">
      <c r="A105" s="228"/>
      <c r="B105" s="228"/>
      <c r="C105" s="228" t="s">
        <v>2</v>
      </c>
      <c r="D105" s="228"/>
      <c r="E105" s="234" t="s">
        <v>7</v>
      </c>
      <c r="F105" s="235">
        <v>0</v>
      </c>
      <c r="G105" s="235">
        <v>0</v>
      </c>
      <c r="H105" s="235">
        <v>0</v>
      </c>
      <c r="I105" s="235">
        <v>0</v>
      </c>
      <c r="J105" s="236">
        <f t="shared" si="1"/>
        <v>0</v>
      </c>
      <c r="K105" s="655"/>
    </row>
    <row r="106" spans="1:11" ht="12.75" hidden="1">
      <c r="A106" s="228"/>
      <c r="B106" s="228"/>
      <c r="C106" s="228"/>
      <c r="D106" s="228"/>
      <c r="E106" s="234" t="s">
        <v>704</v>
      </c>
      <c r="F106" s="235">
        <v>0</v>
      </c>
      <c r="G106" s="235">
        <v>0</v>
      </c>
      <c r="H106" s="235">
        <v>0</v>
      </c>
      <c r="I106" s="235">
        <v>0</v>
      </c>
      <c r="J106" s="236">
        <f t="shared" si="1"/>
        <v>0</v>
      </c>
      <c r="K106" s="655"/>
    </row>
    <row r="107" spans="1:11" ht="12.75">
      <c r="A107" s="228"/>
      <c r="B107" s="228"/>
      <c r="C107" s="228" t="s">
        <v>2</v>
      </c>
      <c r="D107" s="947" t="s">
        <v>611</v>
      </c>
      <c r="E107" s="948"/>
      <c r="F107" s="235">
        <v>500</v>
      </c>
      <c r="G107" s="235">
        <v>0</v>
      </c>
      <c r="H107" s="235">
        <v>0</v>
      </c>
      <c r="I107" s="235">
        <v>0</v>
      </c>
      <c r="J107" s="236">
        <f t="shared" si="1"/>
        <v>500</v>
      </c>
      <c r="K107" s="655"/>
    </row>
    <row r="108" spans="1:11" ht="12.75" hidden="1">
      <c r="A108" s="228"/>
      <c r="B108" s="228"/>
      <c r="C108" s="228"/>
      <c r="D108" s="228"/>
      <c r="E108" s="234" t="s">
        <v>7</v>
      </c>
      <c r="F108" s="235">
        <v>0</v>
      </c>
      <c r="G108" s="235">
        <v>0</v>
      </c>
      <c r="H108" s="235">
        <v>0</v>
      </c>
      <c r="I108" s="235">
        <v>0</v>
      </c>
      <c r="J108" s="236">
        <f t="shared" si="1"/>
        <v>0</v>
      </c>
      <c r="K108" s="655"/>
    </row>
    <row r="109" spans="1:11" ht="12.75" hidden="1">
      <c r="A109" s="228"/>
      <c r="B109" s="228"/>
      <c r="C109" s="228"/>
      <c r="D109" s="228"/>
      <c r="E109" s="234" t="s">
        <v>566</v>
      </c>
      <c r="F109" s="235">
        <v>0</v>
      </c>
      <c r="G109" s="235">
        <v>0</v>
      </c>
      <c r="H109" s="235">
        <v>0</v>
      </c>
      <c r="I109" s="235">
        <v>0</v>
      </c>
      <c r="J109" s="236">
        <f t="shared" si="1"/>
        <v>0</v>
      </c>
      <c r="K109" s="655"/>
    </row>
    <row r="110" spans="1:11" ht="12.75">
      <c r="A110" s="228"/>
      <c r="B110" s="228"/>
      <c r="C110" s="228" t="s">
        <v>288</v>
      </c>
      <c r="D110" s="228" t="s">
        <v>614</v>
      </c>
      <c r="E110" s="228"/>
      <c r="F110" s="229">
        <f>SUM(F111:F112)</f>
        <v>0</v>
      </c>
      <c r="G110" s="229">
        <f>SUM(G111:G112)</f>
        <v>0</v>
      </c>
      <c r="H110" s="229">
        <f>SUM(H111:H112)</f>
        <v>0</v>
      </c>
      <c r="I110" s="229">
        <f>SUM(I111:I112)</f>
        <v>0</v>
      </c>
      <c r="J110" s="230">
        <f t="shared" si="1"/>
        <v>0</v>
      </c>
      <c r="K110" s="654"/>
    </row>
    <row r="111" spans="1:11" ht="12.75" hidden="1">
      <c r="A111" s="228"/>
      <c r="B111" s="228"/>
      <c r="C111" s="228"/>
      <c r="D111" s="947" t="s">
        <v>612</v>
      </c>
      <c r="E111" s="948"/>
      <c r="F111" s="229">
        <v>0</v>
      </c>
      <c r="G111" s="229">
        <v>0</v>
      </c>
      <c r="H111" s="229">
        <v>0</v>
      </c>
      <c r="I111" s="229">
        <v>0</v>
      </c>
      <c r="J111" s="230">
        <f t="shared" si="1"/>
        <v>0</v>
      </c>
      <c r="K111" s="654"/>
    </row>
    <row r="112" spans="1:11" ht="12.75" hidden="1">
      <c r="A112" s="228"/>
      <c r="B112" s="228"/>
      <c r="C112" s="228"/>
      <c r="D112" s="947" t="s">
        <v>613</v>
      </c>
      <c r="E112" s="948"/>
      <c r="F112" s="229">
        <v>0</v>
      </c>
      <c r="G112" s="229">
        <v>0</v>
      </c>
      <c r="H112" s="229">
        <v>0</v>
      </c>
      <c r="I112" s="229">
        <v>0</v>
      </c>
      <c r="J112" s="230">
        <f t="shared" si="1"/>
        <v>0</v>
      </c>
      <c r="K112" s="654"/>
    </row>
    <row r="113" spans="1:11" ht="12.75" hidden="1">
      <c r="A113" s="228"/>
      <c r="B113" s="228"/>
      <c r="C113" s="228" t="s">
        <v>2</v>
      </c>
      <c r="D113" s="228"/>
      <c r="E113" s="234" t="s">
        <v>615</v>
      </c>
      <c r="F113" s="229">
        <v>0</v>
      </c>
      <c r="G113" s="229">
        <v>0</v>
      </c>
      <c r="H113" s="229">
        <v>0</v>
      </c>
      <c r="I113" s="229">
        <v>0</v>
      </c>
      <c r="J113" s="230">
        <f t="shared" si="1"/>
        <v>0</v>
      </c>
      <c r="K113" s="654"/>
    </row>
    <row r="114" spans="1:11" ht="12.75" hidden="1">
      <c r="A114" s="228"/>
      <c r="B114" s="228"/>
      <c r="C114" s="228"/>
      <c r="D114" s="228"/>
      <c r="E114" s="234" t="s">
        <v>610</v>
      </c>
      <c r="F114" s="229">
        <v>0</v>
      </c>
      <c r="G114" s="229">
        <v>0</v>
      </c>
      <c r="H114" s="229">
        <v>0</v>
      </c>
      <c r="I114" s="229">
        <v>0</v>
      </c>
      <c r="J114" s="230">
        <f t="shared" si="1"/>
        <v>0</v>
      </c>
      <c r="K114" s="654"/>
    </row>
    <row r="115" spans="1:11" ht="12.75" hidden="1">
      <c r="A115" s="228"/>
      <c r="B115" s="228"/>
      <c r="C115" s="228"/>
      <c r="D115" s="228"/>
      <c r="E115" s="234" t="s">
        <v>616</v>
      </c>
      <c r="F115" s="229">
        <v>0</v>
      </c>
      <c r="G115" s="229">
        <v>0</v>
      </c>
      <c r="H115" s="229">
        <v>0</v>
      </c>
      <c r="I115" s="229">
        <v>0</v>
      </c>
      <c r="J115" s="230">
        <f t="shared" si="1"/>
        <v>0</v>
      </c>
      <c r="K115" s="654"/>
    </row>
    <row r="116" spans="1:11" ht="12.75" hidden="1">
      <c r="A116" s="228"/>
      <c r="B116" s="228"/>
      <c r="C116" s="228"/>
      <c r="D116" s="228"/>
      <c r="E116" s="234" t="s">
        <v>617</v>
      </c>
      <c r="F116" s="229">
        <v>0</v>
      </c>
      <c r="G116" s="229">
        <v>0</v>
      </c>
      <c r="H116" s="229">
        <v>0</v>
      </c>
      <c r="I116" s="229">
        <v>0</v>
      </c>
      <c r="J116" s="230">
        <f t="shared" si="1"/>
        <v>0</v>
      </c>
      <c r="K116" s="654"/>
    </row>
    <row r="117" spans="1:11" ht="12.75" hidden="1">
      <c r="A117" s="228"/>
      <c r="B117" s="228"/>
      <c r="C117" s="228"/>
      <c r="D117" s="228"/>
      <c r="E117" s="234" t="s">
        <v>618</v>
      </c>
      <c r="F117" s="229">
        <v>0</v>
      </c>
      <c r="G117" s="229">
        <v>0</v>
      </c>
      <c r="H117" s="229">
        <v>0</v>
      </c>
      <c r="I117" s="229">
        <v>0</v>
      </c>
      <c r="J117" s="230">
        <f t="shared" si="1"/>
        <v>0</v>
      </c>
      <c r="K117" s="654"/>
    </row>
    <row r="118" spans="1:11" ht="12.75">
      <c r="A118" s="228"/>
      <c r="B118" s="228"/>
      <c r="C118" s="228" t="s">
        <v>289</v>
      </c>
      <c r="D118" s="228" t="s">
        <v>567</v>
      </c>
      <c r="E118" s="228"/>
      <c r="F118" s="229">
        <v>0</v>
      </c>
      <c r="G118" s="229">
        <v>0</v>
      </c>
      <c r="H118" s="229">
        <v>0</v>
      </c>
      <c r="I118" s="229">
        <v>0</v>
      </c>
      <c r="J118" s="230">
        <f t="shared" si="1"/>
        <v>0</v>
      </c>
      <c r="K118" s="654"/>
    </row>
    <row r="119" spans="1:11" ht="22.5" customHeight="1">
      <c r="A119" s="228"/>
      <c r="B119" s="228"/>
      <c r="C119" s="1322" t="s">
        <v>568</v>
      </c>
      <c r="D119" s="950" t="s">
        <v>569</v>
      </c>
      <c r="E119" s="950"/>
      <c r="F119" s="229">
        <f>12081400-233171+10464000</f>
        <v>22312229</v>
      </c>
      <c r="G119" s="229">
        <v>0</v>
      </c>
      <c r="H119" s="229">
        <v>0</v>
      </c>
      <c r="I119" s="229">
        <v>0</v>
      </c>
      <c r="J119" s="230">
        <f t="shared" si="1"/>
        <v>22312229</v>
      </c>
      <c r="K119" s="654"/>
    </row>
    <row r="120" spans="1:11" ht="45.75" customHeight="1" hidden="1">
      <c r="A120" s="232"/>
      <c r="B120" s="232"/>
      <c r="C120" s="242" t="s">
        <v>2</v>
      </c>
      <c r="D120" s="240" t="s">
        <v>456</v>
      </c>
      <c r="E120" s="240" t="s">
        <v>591</v>
      </c>
      <c r="F120" s="235">
        <v>0</v>
      </c>
      <c r="G120" s="235">
        <v>0</v>
      </c>
      <c r="H120" s="235">
        <v>0</v>
      </c>
      <c r="I120" s="235">
        <v>0</v>
      </c>
      <c r="J120" s="236">
        <f t="shared" si="1"/>
        <v>0</v>
      </c>
      <c r="K120" s="655"/>
    </row>
    <row r="121" spans="1:11" ht="13.5" customHeight="1" hidden="1">
      <c r="A121" s="233"/>
      <c r="B121" s="233"/>
      <c r="C121" s="233"/>
      <c r="D121" s="234" t="s">
        <v>456</v>
      </c>
      <c r="E121" s="243" t="s">
        <v>619</v>
      </c>
      <c r="F121" s="235"/>
      <c r="G121" s="235">
        <v>0</v>
      </c>
      <c r="H121" s="235">
        <v>0</v>
      </c>
      <c r="I121" s="235">
        <v>0</v>
      </c>
      <c r="J121" s="236">
        <f t="shared" si="1"/>
        <v>0</v>
      </c>
      <c r="K121" s="655"/>
    </row>
    <row r="122" spans="1:11" s="224" customFormat="1" ht="12.75">
      <c r="A122" s="222" t="s">
        <v>290</v>
      </c>
      <c r="B122" s="946" t="s">
        <v>291</v>
      </c>
      <c r="C122" s="946"/>
      <c r="D122" s="946"/>
      <c r="E122" s="946"/>
      <c r="F122" s="223">
        <f>SUM(F123+F125+F127+F128+F129)</f>
        <v>78841508</v>
      </c>
      <c r="G122" s="223">
        <f>SUM(G123+G125+G127+G128+G129)</f>
        <v>0</v>
      </c>
      <c r="H122" s="223">
        <f>SUM(H123+H125+H127+H128+H129)</f>
        <v>0</v>
      </c>
      <c r="I122" s="223">
        <f>SUM(I123+I125+I127+I128+I129)</f>
        <v>0</v>
      </c>
      <c r="J122" s="223">
        <f t="shared" si="1"/>
        <v>78841508</v>
      </c>
      <c r="K122" s="652"/>
    </row>
    <row r="123" spans="1:11" ht="12.75">
      <c r="A123" s="225"/>
      <c r="B123" s="225" t="s">
        <v>292</v>
      </c>
      <c r="C123" s="942" t="s">
        <v>347</v>
      </c>
      <c r="D123" s="942"/>
      <c r="E123" s="942"/>
      <c r="F123" s="226">
        <v>0</v>
      </c>
      <c r="G123" s="226">
        <v>0</v>
      </c>
      <c r="H123" s="226">
        <v>0</v>
      </c>
      <c r="I123" s="226">
        <v>0</v>
      </c>
      <c r="J123" s="227">
        <f t="shared" si="1"/>
        <v>0</v>
      </c>
      <c r="K123" s="653"/>
    </row>
    <row r="124" spans="1:11" ht="12.75" hidden="1">
      <c r="A124" s="233"/>
      <c r="B124" s="233"/>
      <c r="C124" s="234" t="s">
        <v>2</v>
      </c>
      <c r="D124" s="234" t="s">
        <v>456</v>
      </c>
      <c r="E124" s="234" t="s">
        <v>676</v>
      </c>
      <c r="F124" s="235">
        <v>0</v>
      </c>
      <c r="G124" s="235">
        <v>0</v>
      </c>
      <c r="H124" s="235">
        <v>0</v>
      </c>
      <c r="I124" s="235">
        <v>0</v>
      </c>
      <c r="J124" s="236">
        <f t="shared" si="1"/>
        <v>0</v>
      </c>
      <c r="K124" s="655"/>
    </row>
    <row r="125" spans="1:11" ht="12.75">
      <c r="A125" s="225"/>
      <c r="B125" s="225" t="s">
        <v>293</v>
      </c>
      <c r="C125" s="942" t="s">
        <v>294</v>
      </c>
      <c r="D125" s="942"/>
      <c r="E125" s="942"/>
      <c r="F125" s="226">
        <f>118591616+254000-540000-34818+1000000+233171+45000+27436735-68144196</f>
        <v>78841508</v>
      </c>
      <c r="G125" s="226">
        <v>0</v>
      </c>
      <c r="H125" s="226">
        <v>0</v>
      </c>
      <c r="I125" s="226">
        <v>0</v>
      </c>
      <c r="J125" s="227">
        <f t="shared" si="1"/>
        <v>78841508</v>
      </c>
      <c r="K125" s="653"/>
    </row>
    <row r="126" spans="1:11" ht="12.75" hidden="1">
      <c r="A126" s="233"/>
      <c r="B126" s="233"/>
      <c r="C126" s="234" t="s">
        <v>2</v>
      </c>
      <c r="D126" s="234" t="s">
        <v>456</v>
      </c>
      <c r="E126" s="234" t="s">
        <v>295</v>
      </c>
      <c r="F126" s="235">
        <v>0</v>
      </c>
      <c r="G126" s="235">
        <v>0</v>
      </c>
      <c r="H126" s="235">
        <v>0</v>
      </c>
      <c r="I126" s="235">
        <v>0</v>
      </c>
      <c r="J126" s="236">
        <f t="shared" si="1"/>
        <v>0</v>
      </c>
      <c r="K126" s="655"/>
    </row>
    <row r="127" spans="1:11" ht="12.75" hidden="1">
      <c r="A127" s="225"/>
      <c r="B127" s="225" t="s">
        <v>296</v>
      </c>
      <c r="C127" s="942" t="s">
        <v>297</v>
      </c>
      <c r="D127" s="942"/>
      <c r="E127" s="942"/>
      <c r="F127" s="226">
        <v>0</v>
      </c>
      <c r="G127" s="226">
        <v>0</v>
      </c>
      <c r="H127" s="226">
        <v>0</v>
      </c>
      <c r="I127" s="226">
        <v>0</v>
      </c>
      <c r="J127" s="227">
        <f t="shared" si="1"/>
        <v>0</v>
      </c>
      <c r="K127" s="653"/>
    </row>
    <row r="128" spans="1:11" ht="12.75" hidden="1">
      <c r="A128" s="225"/>
      <c r="B128" s="225" t="s">
        <v>298</v>
      </c>
      <c r="C128" s="942" t="s">
        <v>299</v>
      </c>
      <c r="D128" s="942"/>
      <c r="E128" s="942"/>
      <c r="F128" s="226">
        <v>0</v>
      </c>
      <c r="G128" s="226">
        <v>0</v>
      </c>
      <c r="H128" s="226">
        <v>0</v>
      </c>
      <c r="I128" s="226">
        <v>0</v>
      </c>
      <c r="J128" s="227">
        <f t="shared" si="1"/>
        <v>0</v>
      </c>
      <c r="K128" s="653"/>
    </row>
    <row r="129" spans="1:11" ht="12.75" hidden="1">
      <c r="A129" s="225"/>
      <c r="B129" s="225" t="s">
        <v>300</v>
      </c>
      <c r="C129" s="942" t="s">
        <v>301</v>
      </c>
      <c r="D129" s="942"/>
      <c r="E129" s="942"/>
      <c r="F129" s="226">
        <v>0</v>
      </c>
      <c r="G129" s="226">
        <v>0</v>
      </c>
      <c r="H129" s="226">
        <v>0</v>
      </c>
      <c r="I129" s="226">
        <v>0</v>
      </c>
      <c r="J129" s="227">
        <f t="shared" si="1"/>
        <v>0</v>
      </c>
      <c r="K129" s="653"/>
    </row>
    <row r="130" spans="1:11" s="224" customFormat="1" ht="12.75">
      <c r="A130" s="222" t="s">
        <v>302</v>
      </c>
      <c r="B130" s="946" t="s">
        <v>303</v>
      </c>
      <c r="C130" s="946"/>
      <c r="D130" s="946"/>
      <c r="E130" s="946"/>
      <c r="F130" s="223">
        <f>SUM(F131+F132+F133+F134+F144)</f>
        <v>0</v>
      </c>
      <c r="G130" s="223">
        <f>SUM(G131+G132+G133+G134+G144)</f>
        <v>0</v>
      </c>
      <c r="H130" s="223">
        <f>SUM(H131+H132+H133+H134+H144)</f>
        <v>0</v>
      </c>
      <c r="I130" s="223">
        <f>SUM(I131+I132+I133+I134+I144)</f>
        <v>0</v>
      </c>
      <c r="J130" s="223">
        <f t="shared" si="1"/>
        <v>0</v>
      </c>
      <c r="K130" s="652"/>
    </row>
    <row r="131" spans="1:11" ht="12.75" hidden="1">
      <c r="A131" s="225"/>
      <c r="B131" s="225" t="s">
        <v>304</v>
      </c>
      <c r="C131" s="942" t="s">
        <v>705</v>
      </c>
      <c r="D131" s="942"/>
      <c r="E131" s="942"/>
      <c r="F131" s="226">
        <v>0</v>
      </c>
      <c r="G131" s="226">
        <v>0</v>
      </c>
      <c r="H131" s="226">
        <v>0</v>
      </c>
      <c r="I131" s="226">
        <v>0</v>
      </c>
      <c r="J131" s="227">
        <f t="shared" si="1"/>
        <v>0</v>
      </c>
      <c r="K131" s="653"/>
    </row>
    <row r="132" spans="1:11" ht="12.75" hidden="1">
      <c r="A132" s="225"/>
      <c r="B132" s="225" t="s">
        <v>305</v>
      </c>
      <c r="C132" s="942" t="s">
        <v>706</v>
      </c>
      <c r="D132" s="942"/>
      <c r="E132" s="942"/>
      <c r="F132" s="226">
        <v>0</v>
      </c>
      <c r="G132" s="226">
        <v>0</v>
      </c>
      <c r="H132" s="226">
        <v>0</v>
      </c>
      <c r="I132" s="226">
        <v>0</v>
      </c>
      <c r="J132" s="227">
        <f t="shared" si="1"/>
        <v>0</v>
      </c>
      <c r="K132" s="653"/>
    </row>
    <row r="133" spans="1:11" ht="26.25" customHeight="1" hidden="1">
      <c r="A133" s="225"/>
      <c r="B133" s="225" t="s">
        <v>307</v>
      </c>
      <c r="C133" s="949" t="s">
        <v>707</v>
      </c>
      <c r="D133" s="949"/>
      <c r="E133" s="949"/>
      <c r="F133" s="226">
        <v>0</v>
      </c>
      <c r="G133" s="226">
        <v>0</v>
      </c>
      <c r="H133" s="226">
        <v>0</v>
      </c>
      <c r="I133" s="226">
        <v>0</v>
      </c>
      <c r="J133" s="227">
        <f t="shared" si="1"/>
        <v>0</v>
      </c>
      <c r="K133" s="653"/>
    </row>
    <row r="134" spans="1:11" ht="12.75" hidden="1">
      <c r="A134" s="225"/>
      <c r="B134" s="225" t="s">
        <v>570</v>
      </c>
      <c r="C134" s="942" t="s">
        <v>708</v>
      </c>
      <c r="D134" s="942"/>
      <c r="E134" s="942"/>
      <c r="F134" s="226">
        <f>SUM(F135:F143)</f>
        <v>0</v>
      </c>
      <c r="G134" s="226">
        <v>0</v>
      </c>
      <c r="H134" s="226">
        <v>0</v>
      </c>
      <c r="I134" s="226">
        <v>0</v>
      </c>
      <c r="J134" s="227">
        <f t="shared" si="1"/>
        <v>0</v>
      </c>
      <c r="K134" s="653"/>
    </row>
    <row r="135" spans="1:11" ht="12.75" hidden="1">
      <c r="A135" s="232"/>
      <c r="B135" s="232"/>
      <c r="C135" s="234" t="s">
        <v>2</v>
      </c>
      <c r="D135" s="234" t="s">
        <v>152</v>
      </c>
      <c r="E135" s="234" t="s">
        <v>179</v>
      </c>
      <c r="F135" s="235">
        <v>0</v>
      </c>
      <c r="G135" s="235">
        <v>0</v>
      </c>
      <c r="H135" s="235">
        <v>0</v>
      </c>
      <c r="I135" s="235">
        <v>0</v>
      </c>
      <c r="J135" s="236">
        <f t="shared" si="1"/>
        <v>0</v>
      </c>
      <c r="K135" s="655"/>
    </row>
    <row r="136" spans="1:11" ht="12.75" hidden="1">
      <c r="A136" s="232"/>
      <c r="B136" s="232"/>
      <c r="C136" s="234"/>
      <c r="D136" s="234" t="s">
        <v>154</v>
      </c>
      <c r="E136" s="234" t="s">
        <v>592</v>
      </c>
      <c r="F136" s="235">
        <v>0</v>
      </c>
      <c r="G136" s="235">
        <v>0</v>
      </c>
      <c r="H136" s="235">
        <v>0</v>
      </c>
      <c r="I136" s="235">
        <v>0</v>
      </c>
      <c r="J136" s="236">
        <f t="shared" si="1"/>
        <v>0</v>
      </c>
      <c r="K136" s="655"/>
    </row>
    <row r="137" spans="1:11" ht="12.75" hidden="1">
      <c r="A137" s="232"/>
      <c r="B137" s="232"/>
      <c r="C137" s="234"/>
      <c r="D137" s="234" t="s">
        <v>156</v>
      </c>
      <c r="E137" s="234" t="s">
        <v>180</v>
      </c>
      <c r="F137" s="235">
        <v>0</v>
      </c>
      <c r="G137" s="235">
        <v>0</v>
      </c>
      <c r="H137" s="235">
        <v>0</v>
      </c>
      <c r="I137" s="235">
        <v>0</v>
      </c>
      <c r="J137" s="236">
        <f aca="true" t="shared" si="2" ref="J137:J200">SUM(F137:I137)</f>
        <v>0</v>
      </c>
      <c r="K137" s="655"/>
    </row>
    <row r="138" spans="1:11" ht="12.75" hidden="1">
      <c r="A138" s="232"/>
      <c r="B138" s="232"/>
      <c r="C138" s="234"/>
      <c r="D138" s="234" t="s">
        <v>158</v>
      </c>
      <c r="E138" s="234" t="s">
        <v>181</v>
      </c>
      <c r="F138" s="235">
        <v>0</v>
      </c>
      <c r="G138" s="235">
        <v>0</v>
      </c>
      <c r="H138" s="235">
        <v>0</v>
      </c>
      <c r="I138" s="235">
        <v>0</v>
      </c>
      <c r="J138" s="236">
        <f t="shared" si="2"/>
        <v>0</v>
      </c>
      <c r="K138" s="655"/>
    </row>
    <row r="139" spans="1:11" ht="12.75" hidden="1">
      <c r="A139" s="232"/>
      <c r="B139" s="232"/>
      <c r="C139" s="234"/>
      <c r="D139" s="234" t="s">
        <v>160</v>
      </c>
      <c r="E139" s="234" t="s">
        <v>182</v>
      </c>
      <c r="F139" s="235">
        <v>0</v>
      </c>
      <c r="G139" s="235">
        <v>0</v>
      </c>
      <c r="H139" s="235">
        <v>0</v>
      </c>
      <c r="I139" s="235">
        <v>0</v>
      </c>
      <c r="J139" s="236">
        <f t="shared" si="2"/>
        <v>0</v>
      </c>
      <c r="K139" s="655"/>
    </row>
    <row r="140" spans="1:11" ht="12.75" hidden="1">
      <c r="A140" s="232"/>
      <c r="B140" s="232"/>
      <c r="C140" s="234"/>
      <c r="D140" s="234" t="s">
        <v>162</v>
      </c>
      <c r="E140" s="234" t="s">
        <v>553</v>
      </c>
      <c r="F140" s="235">
        <v>0</v>
      </c>
      <c r="G140" s="235">
        <v>0</v>
      </c>
      <c r="H140" s="235">
        <v>0</v>
      </c>
      <c r="I140" s="235">
        <v>0</v>
      </c>
      <c r="J140" s="236">
        <f t="shared" si="2"/>
        <v>0</v>
      </c>
      <c r="K140" s="655"/>
    </row>
    <row r="141" spans="1:11" ht="12.75" hidden="1">
      <c r="A141" s="232"/>
      <c r="B141" s="232"/>
      <c r="C141" s="234"/>
      <c r="D141" s="234" t="s">
        <v>164</v>
      </c>
      <c r="E141" s="234" t="s">
        <v>552</v>
      </c>
      <c r="F141" s="244">
        <v>0</v>
      </c>
      <c r="G141" s="235">
        <v>0</v>
      </c>
      <c r="H141" s="235">
        <v>0</v>
      </c>
      <c r="I141" s="235">
        <v>0</v>
      </c>
      <c r="J141" s="236">
        <f t="shared" si="2"/>
        <v>0</v>
      </c>
      <c r="K141" s="655"/>
    </row>
    <row r="142" spans="1:11" ht="12.75" hidden="1">
      <c r="A142" s="232"/>
      <c r="B142" s="232"/>
      <c r="C142" s="234"/>
      <c r="D142" s="234" t="s">
        <v>166</v>
      </c>
      <c r="E142" s="234" t="s">
        <v>185</v>
      </c>
      <c r="F142" s="235"/>
      <c r="G142" s="235">
        <v>0</v>
      </c>
      <c r="H142" s="235">
        <v>0</v>
      </c>
      <c r="I142" s="235">
        <v>0</v>
      </c>
      <c r="J142" s="236">
        <f t="shared" si="2"/>
        <v>0</v>
      </c>
      <c r="K142" s="655"/>
    </row>
    <row r="143" spans="1:11" ht="12.75" hidden="1">
      <c r="A143" s="232"/>
      <c r="B143" s="232"/>
      <c r="C143" s="234"/>
      <c r="D143" s="234" t="s">
        <v>168</v>
      </c>
      <c r="E143" s="234" t="s">
        <v>593</v>
      </c>
      <c r="F143" s="235">
        <v>0</v>
      </c>
      <c r="G143" s="235">
        <v>0</v>
      </c>
      <c r="H143" s="235">
        <v>0</v>
      </c>
      <c r="I143" s="235">
        <v>0</v>
      </c>
      <c r="J143" s="236">
        <f t="shared" si="2"/>
        <v>0</v>
      </c>
      <c r="K143" s="655"/>
    </row>
    <row r="144" spans="1:11" ht="12.75" hidden="1">
      <c r="A144" s="225"/>
      <c r="B144" s="225" t="s">
        <v>571</v>
      </c>
      <c r="C144" s="942" t="s">
        <v>677</v>
      </c>
      <c r="D144" s="942"/>
      <c r="E144" s="942"/>
      <c r="F144" s="226">
        <v>0</v>
      </c>
      <c r="G144" s="226">
        <v>0</v>
      </c>
      <c r="H144" s="226">
        <v>0</v>
      </c>
      <c r="I144" s="226">
        <v>0</v>
      </c>
      <c r="J144" s="227">
        <f t="shared" si="2"/>
        <v>0</v>
      </c>
      <c r="K144" s="653"/>
    </row>
    <row r="145" spans="1:11" ht="12.75" hidden="1">
      <c r="A145" s="225"/>
      <c r="B145" s="225"/>
      <c r="C145" s="234" t="s">
        <v>2</v>
      </c>
      <c r="D145" s="646"/>
      <c r="E145" s="234" t="s">
        <v>185</v>
      </c>
      <c r="F145" s="235">
        <v>0</v>
      </c>
      <c r="G145" s="235">
        <v>0</v>
      </c>
      <c r="H145" s="235">
        <v>0</v>
      </c>
      <c r="I145" s="235">
        <v>0</v>
      </c>
      <c r="J145" s="236">
        <f>SUM(F145:I145)</f>
        <v>0</v>
      </c>
      <c r="K145" s="653"/>
    </row>
    <row r="146" spans="1:11" s="224" customFormat="1" ht="12.75">
      <c r="A146" s="222" t="s">
        <v>308</v>
      </c>
      <c r="B146" s="946" t="s">
        <v>309</v>
      </c>
      <c r="C146" s="946"/>
      <c r="D146" s="946"/>
      <c r="E146" s="946"/>
      <c r="F146" s="223">
        <f>SUM(F147+F148+F149+F150+F160)</f>
        <v>0</v>
      </c>
      <c r="G146" s="223">
        <f>SUM(G147+G148+G149+G150+G160)</f>
        <v>0</v>
      </c>
      <c r="H146" s="223">
        <f>SUM(H147+H148+H149+H150+H160)</f>
        <v>0</v>
      </c>
      <c r="I146" s="223">
        <f>SUM(I147+I148+I149+I150+I160)</f>
        <v>0</v>
      </c>
      <c r="J146" s="223">
        <f t="shared" si="2"/>
        <v>0</v>
      </c>
      <c r="K146" s="652"/>
    </row>
    <row r="147" spans="1:11" ht="12.75" hidden="1">
      <c r="A147" s="225"/>
      <c r="B147" s="225" t="s">
        <v>310</v>
      </c>
      <c r="C147" s="942" t="s">
        <v>709</v>
      </c>
      <c r="D147" s="942"/>
      <c r="E147" s="942"/>
      <c r="F147" s="226">
        <v>0</v>
      </c>
      <c r="G147" s="226">
        <v>0</v>
      </c>
      <c r="H147" s="226">
        <v>0</v>
      </c>
      <c r="I147" s="226">
        <v>0</v>
      </c>
      <c r="J147" s="227">
        <f t="shared" si="2"/>
        <v>0</v>
      </c>
      <c r="K147" s="653"/>
    </row>
    <row r="148" spans="1:11" ht="12.75" hidden="1">
      <c r="A148" s="225"/>
      <c r="B148" s="225" t="s">
        <v>311</v>
      </c>
      <c r="C148" s="942" t="s">
        <v>710</v>
      </c>
      <c r="D148" s="942"/>
      <c r="E148" s="942"/>
      <c r="F148" s="226">
        <v>0</v>
      </c>
      <c r="G148" s="226">
        <v>0</v>
      </c>
      <c r="H148" s="226">
        <v>0</v>
      </c>
      <c r="I148" s="226">
        <v>0</v>
      </c>
      <c r="J148" s="227">
        <f t="shared" si="2"/>
        <v>0</v>
      </c>
      <c r="K148" s="653"/>
    </row>
    <row r="149" spans="1:11" ht="25.5" customHeight="1" hidden="1">
      <c r="A149" s="225"/>
      <c r="B149" s="225" t="s">
        <v>312</v>
      </c>
      <c r="C149" s="949" t="s">
        <v>711</v>
      </c>
      <c r="D149" s="949"/>
      <c r="E149" s="949"/>
      <c r="F149" s="226">
        <v>0</v>
      </c>
      <c r="G149" s="226">
        <v>0</v>
      </c>
      <c r="H149" s="226">
        <v>0</v>
      </c>
      <c r="I149" s="226">
        <v>0</v>
      </c>
      <c r="J149" s="227">
        <f t="shared" si="2"/>
        <v>0</v>
      </c>
      <c r="K149" s="653"/>
    </row>
    <row r="150" spans="1:11" ht="12.75" hidden="1">
      <c r="A150" s="232"/>
      <c r="B150" s="225" t="s">
        <v>572</v>
      </c>
      <c r="C150" s="942" t="s">
        <v>712</v>
      </c>
      <c r="D150" s="942"/>
      <c r="E150" s="942"/>
      <c r="F150" s="226">
        <f>SUM(F151:F159)</f>
        <v>0</v>
      </c>
      <c r="G150" s="226">
        <f>SUM(G151:G159)</f>
        <v>0</v>
      </c>
      <c r="H150" s="226">
        <f>SUM(H151:H159)</f>
        <v>0</v>
      </c>
      <c r="I150" s="226">
        <f>SUM(I151:I159)</f>
        <v>0</v>
      </c>
      <c r="J150" s="227">
        <f t="shared" si="2"/>
        <v>0</v>
      </c>
      <c r="K150" s="653"/>
    </row>
    <row r="151" spans="1:11" ht="12.75" hidden="1">
      <c r="A151" s="232"/>
      <c r="B151" s="232"/>
      <c r="C151" s="234" t="s">
        <v>2</v>
      </c>
      <c r="D151" s="234" t="s">
        <v>152</v>
      </c>
      <c r="E151" s="234" t="s">
        <v>179</v>
      </c>
      <c r="F151" s="235">
        <v>0</v>
      </c>
      <c r="G151" s="235">
        <v>0</v>
      </c>
      <c r="H151" s="235">
        <v>0</v>
      </c>
      <c r="I151" s="235">
        <v>0</v>
      </c>
      <c r="J151" s="236">
        <f t="shared" si="2"/>
        <v>0</v>
      </c>
      <c r="K151" s="655"/>
    </row>
    <row r="152" spans="1:11" ht="12.75" hidden="1">
      <c r="A152" s="232"/>
      <c r="B152" s="232"/>
      <c r="C152" s="234"/>
      <c r="D152" s="234" t="s">
        <v>154</v>
      </c>
      <c r="E152" s="234" t="s">
        <v>592</v>
      </c>
      <c r="F152" s="235">
        <v>0</v>
      </c>
      <c r="G152" s="235">
        <v>0</v>
      </c>
      <c r="H152" s="235">
        <v>0</v>
      </c>
      <c r="I152" s="235">
        <v>0</v>
      </c>
      <c r="J152" s="236">
        <f t="shared" si="2"/>
        <v>0</v>
      </c>
      <c r="K152" s="655"/>
    </row>
    <row r="153" spans="1:11" ht="12.75" hidden="1">
      <c r="A153" s="232"/>
      <c r="B153" s="232"/>
      <c r="C153" s="234"/>
      <c r="D153" s="234" t="s">
        <v>156</v>
      </c>
      <c r="E153" s="234" t="s">
        <v>180</v>
      </c>
      <c r="F153" s="235">
        <v>0</v>
      </c>
      <c r="G153" s="235">
        <v>0</v>
      </c>
      <c r="H153" s="235">
        <v>0</v>
      </c>
      <c r="I153" s="235">
        <v>0</v>
      </c>
      <c r="J153" s="236">
        <f t="shared" si="2"/>
        <v>0</v>
      </c>
      <c r="K153" s="655"/>
    </row>
    <row r="154" spans="1:11" ht="12.75" hidden="1">
      <c r="A154" s="232"/>
      <c r="B154" s="232"/>
      <c r="C154" s="234"/>
      <c r="D154" s="234" t="s">
        <v>158</v>
      </c>
      <c r="E154" s="234" t="s">
        <v>181</v>
      </c>
      <c r="F154" s="235">
        <v>0</v>
      </c>
      <c r="G154" s="235">
        <v>0</v>
      </c>
      <c r="H154" s="235">
        <v>0</v>
      </c>
      <c r="I154" s="235">
        <v>0</v>
      </c>
      <c r="J154" s="236">
        <f t="shared" si="2"/>
        <v>0</v>
      </c>
      <c r="K154" s="655"/>
    </row>
    <row r="155" spans="1:11" ht="12.75" hidden="1">
      <c r="A155" s="232"/>
      <c r="B155" s="232"/>
      <c r="C155" s="234"/>
      <c r="D155" s="234" t="s">
        <v>160</v>
      </c>
      <c r="E155" s="234" t="s">
        <v>182</v>
      </c>
      <c r="F155" s="235">
        <v>0</v>
      </c>
      <c r="G155" s="235">
        <v>0</v>
      </c>
      <c r="H155" s="235">
        <v>0</v>
      </c>
      <c r="I155" s="235">
        <v>0</v>
      </c>
      <c r="J155" s="236">
        <f t="shared" si="2"/>
        <v>0</v>
      </c>
      <c r="K155" s="655"/>
    </row>
    <row r="156" spans="1:11" ht="12.75" hidden="1">
      <c r="A156" s="232"/>
      <c r="B156" s="232"/>
      <c r="C156" s="234"/>
      <c r="D156" s="234" t="s">
        <v>162</v>
      </c>
      <c r="E156" s="234" t="s">
        <v>553</v>
      </c>
      <c r="F156" s="235">
        <v>0</v>
      </c>
      <c r="G156" s="235">
        <v>0</v>
      </c>
      <c r="H156" s="235">
        <v>0</v>
      </c>
      <c r="I156" s="235">
        <v>0</v>
      </c>
      <c r="J156" s="236">
        <f t="shared" si="2"/>
        <v>0</v>
      </c>
      <c r="K156" s="655"/>
    </row>
    <row r="157" spans="1:11" ht="12.75" hidden="1">
      <c r="A157" s="232"/>
      <c r="B157" s="232"/>
      <c r="C157" s="234"/>
      <c r="D157" s="234" t="s">
        <v>164</v>
      </c>
      <c r="E157" s="234" t="s">
        <v>552</v>
      </c>
      <c r="F157" s="244">
        <v>0</v>
      </c>
      <c r="G157" s="235">
        <v>0</v>
      </c>
      <c r="H157" s="235">
        <v>0</v>
      </c>
      <c r="I157" s="235">
        <v>0</v>
      </c>
      <c r="J157" s="236">
        <f t="shared" si="2"/>
        <v>0</v>
      </c>
      <c r="K157" s="655"/>
    </row>
    <row r="158" spans="1:11" ht="12.75" hidden="1">
      <c r="A158" s="232"/>
      <c r="B158" s="232"/>
      <c r="C158" s="234"/>
      <c r="D158" s="234" t="s">
        <v>166</v>
      </c>
      <c r="E158" s="234" t="s">
        <v>185</v>
      </c>
      <c r="F158" s="235">
        <v>0</v>
      </c>
      <c r="G158" s="235">
        <v>0</v>
      </c>
      <c r="H158" s="235">
        <v>0</v>
      </c>
      <c r="I158" s="235">
        <v>0</v>
      </c>
      <c r="J158" s="236">
        <f t="shared" si="2"/>
        <v>0</v>
      </c>
      <c r="K158" s="655"/>
    </row>
    <row r="159" spans="1:11" ht="12.75" hidden="1">
      <c r="A159" s="232"/>
      <c r="B159" s="232"/>
      <c r="C159" s="234"/>
      <c r="D159" s="234" t="s">
        <v>168</v>
      </c>
      <c r="E159" s="234" t="s">
        <v>593</v>
      </c>
      <c r="F159" s="235">
        <v>0</v>
      </c>
      <c r="G159" s="235">
        <v>0</v>
      </c>
      <c r="H159" s="235">
        <v>0</v>
      </c>
      <c r="I159" s="235">
        <v>0</v>
      </c>
      <c r="J159" s="236">
        <f t="shared" si="2"/>
        <v>0</v>
      </c>
      <c r="K159" s="655"/>
    </row>
    <row r="160" spans="1:11" ht="12.75" hidden="1">
      <c r="A160" s="232"/>
      <c r="B160" s="225" t="s">
        <v>573</v>
      </c>
      <c r="C160" s="942" t="s">
        <v>659</v>
      </c>
      <c r="D160" s="942"/>
      <c r="E160" s="942"/>
      <c r="F160" s="226">
        <f>SUM(F161:F171)</f>
        <v>0</v>
      </c>
      <c r="G160" s="226">
        <f>SUM(G161:G171)</f>
        <v>0</v>
      </c>
      <c r="H160" s="226">
        <f>SUM(H161:H171)</f>
        <v>0</v>
      </c>
      <c r="I160" s="226">
        <f>SUM(I161:I171)</f>
        <v>0</v>
      </c>
      <c r="J160" s="227">
        <f t="shared" si="2"/>
        <v>0</v>
      </c>
      <c r="K160" s="653"/>
    </row>
    <row r="161" spans="1:11" ht="12" customHeight="1" hidden="1">
      <c r="A161" s="232"/>
      <c r="B161" s="232"/>
      <c r="C161" s="234" t="s">
        <v>2</v>
      </c>
      <c r="D161" s="234" t="s">
        <v>152</v>
      </c>
      <c r="E161" s="234" t="s">
        <v>179</v>
      </c>
      <c r="F161" s="235"/>
      <c r="G161" s="235">
        <v>0</v>
      </c>
      <c r="H161" s="235">
        <v>0</v>
      </c>
      <c r="I161" s="235">
        <v>0</v>
      </c>
      <c r="J161" s="236">
        <f t="shared" si="2"/>
        <v>0</v>
      </c>
      <c r="K161" s="655"/>
    </row>
    <row r="162" spans="1:11" ht="12.75" hidden="1">
      <c r="A162" s="232"/>
      <c r="B162" s="232"/>
      <c r="C162" s="234"/>
      <c r="D162" s="234" t="s">
        <v>154</v>
      </c>
      <c r="E162" s="234" t="s">
        <v>592</v>
      </c>
      <c r="F162" s="235">
        <v>0</v>
      </c>
      <c r="G162" s="235">
        <v>0</v>
      </c>
      <c r="H162" s="235">
        <v>0</v>
      </c>
      <c r="I162" s="235">
        <v>0</v>
      </c>
      <c r="J162" s="236">
        <f t="shared" si="2"/>
        <v>0</v>
      </c>
      <c r="K162" s="655"/>
    </row>
    <row r="163" spans="1:11" ht="12.75" hidden="1">
      <c r="A163" s="232"/>
      <c r="B163" s="232"/>
      <c r="C163" s="234"/>
      <c r="D163" s="234" t="s">
        <v>156</v>
      </c>
      <c r="E163" s="234" t="s">
        <v>180</v>
      </c>
      <c r="F163" s="235">
        <v>0</v>
      </c>
      <c r="G163" s="235">
        <v>0</v>
      </c>
      <c r="H163" s="235">
        <v>0</v>
      </c>
      <c r="I163" s="235">
        <v>0</v>
      </c>
      <c r="J163" s="236">
        <f t="shared" si="2"/>
        <v>0</v>
      </c>
      <c r="K163" s="655"/>
    </row>
    <row r="164" spans="1:11" ht="12.75" hidden="1">
      <c r="A164" s="232"/>
      <c r="B164" s="232"/>
      <c r="C164" s="234"/>
      <c r="D164" s="234" t="s">
        <v>158</v>
      </c>
      <c r="E164" s="234" t="s">
        <v>181</v>
      </c>
      <c r="F164" s="235">
        <v>0</v>
      </c>
      <c r="G164" s="235">
        <v>0</v>
      </c>
      <c r="H164" s="235">
        <v>0</v>
      </c>
      <c r="I164" s="235">
        <v>0</v>
      </c>
      <c r="J164" s="236">
        <f t="shared" si="2"/>
        <v>0</v>
      </c>
      <c r="K164" s="655"/>
    </row>
    <row r="165" spans="1:11" ht="12.75" hidden="1">
      <c r="A165" s="232"/>
      <c r="B165" s="232"/>
      <c r="C165" s="234"/>
      <c r="D165" s="234" t="s">
        <v>160</v>
      </c>
      <c r="E165" s="234" t="s">
        <v>182</v>
      </c>
      <c r="F165" s="235">
        <v>0</v>
      </c>
      <c r="G165" s="235">
        <v>0</v>
      </c>
      <c r="H165" s="235">
        <v>0</v>
      </c>
      <c r="I165" s="235">
        <v>0</v>
      </c>
      <c r="J165" s="236">
        <f t="shared" si="2"/>
        <v>0</v>
      </c>
      <c r="K165" s="655"/>
    </row>
    <row r="166" spans="1:11" ht="12.75" hidden="1">
      <c r="A166" s="232"/>
      <c r="B166" s="232"/>
      <c r="C166" s="234"/>
      <c r="D166" s="234" t="s">
        <v>162</v>
      </c>
      <c r="E166" s="234" t="s">
        <v>553</v>
      </c>
      <c r="F166" s="235">
        <v>0</v>
      </c>
      <c r="G166" s="235">
        <v>0</v>
      </c>
      <c r="H166" s="235">
        <v>0</v>
      </c>
      <c r="I166" s="235">
        <v>0</v>
      </c>
      <c r="J166" s="236">
        <f t="shared" si="2"/>
        <v>0</v>
      </c>
      <c r="K166" s="655"/>
    </row>
    <row r="167" spans="1:11" ht="12.75" hidden="1">
      <c r="A167" s="232"/>
      <c r="B167" s="232"/>
      <c r="C167" s="234"/>
      <c r="D167" s="234" t="s">
        <v>164</v>
      </c>
      <c r="E167" s="234" t="s">
        <v>552</v>
      </c>
      <c r="F167" s="244">
        <v>0</v>
      </c>
      <c r="G167" s="235">
        <v>0</v>
      </c>
      <c r="H167" s="235">
        <v>0</v>
      </c>
      <c r="I167" s="235">
        <v>0</v>
      </c>
      <c r="J167" s="236">
        <f t="shared" si="2"/>
        <v>0</v>
      </c>
      <c r="K167" s="655"/>
    </row>
    <row r="168" spans="1:11" ht="12.75" hidden="1">
      <c r="A168" s="232"/>
      <c r="B168" s="232"/>
      <c r="C168" s="234"/>
      <c r="D168" s="234" t="s">
        <v>166</v>
      </c>
      <c r="E168" s="234" t="s">
        <v>185</v>
      </c>
      <c r="F168" s="235">
        <v>0</v>
      </c>
      <c r="G168" s="235">
        <v>0</v>
      </c>
      <c r="H168" s="235">
        <v>0</v>
      </c>
      <c r="I168" s="235">
        <v>0</v>
      </c>
      <c r="J168" s="236">
        <f t="shared" si="2"/>
        <v>0</v>
      </c>
      <c r="K168" s="655"/>
    </row>
    <row r="169" spans="1:11" ht="12.75" hidden="1">
      <c r="A169" s="232"/>
      <c r="B169" s="232"/>
      <c r="C169" s="234"/>
      <c r="D169" s="234" t="s">
        <v>168</v>
      </c>
      <c r="E169" s="234" t="s">
        <v>186</v>
      </c>
      <c r="F169" s="235">
        <v>0</v>
      </c>
      <c r="G169" s="235">
        <v>0</v>
      </c>
      <c r="H169" s="235">
        <v>0</v>
      </c>
      <c r="I169" s="235">
        <v>0</v>
      </c>
      <c r="J169" s="236">
        <f t="shared" si="2"/>
        <v>0</v>
      </c>
      <c r="K169" s="655"/>
    </row>
    <row r="170" spans="1:11" ht="12.75" hidden="1">
      <c r="A170" s="232"/>
      <c r="B170" s="232"/>
      <c r="C170" s="234"/>
      <c r="D170" s="234" t="s">
        <v>170</v>
      </c>
      <c r="E170" s="234" t="s">
        <v>187</v>
      </c>
      <c r="F170" s="235">
        <v>0</v>
      </c>
      <c r="G170" s="235">
        <v>0</v>
      </c>
      <c r="H170" s="235">
        <v>0</v>
      </c>
      <c r="I170" s="235">
        <v>0</v>
      </c>
      <c r="J170" s="236">
        <f t="shared" si="2"/>
        <v>0</v>
      </c>
      <c r="K170" s="655"/>
    </row>
    <row r="171" spans="1:11" ht="12.75" hidden="1">
      <c r="A171" s="232"/>
      <c r="B171" s="232"/>
      <c r="C171" s="234"/>
      <c r="D171" s="234" t="s">
        <v>594</v>
      </c>
      <c r="E171" s="234" t="s">
        <v>188</v>
      </c>
      <c r="F171" s="235">
        <v>0</v>
      </c>
      <c r="G171" s="235">
        <v>0</v>
      </c>
      <c r="H171" s="235">
        <v>0</v>
      </c>
      <c r="I171" s="235">
        <v>0</v>
      </c>
      <c r="J171" s="236">
        <f t="shared" si="2"/>
        <v>0</v>
      </c>
      <c r="K171" s="655"/>
    </row>
    <row r="172" spans="1:11" s="224" customFormat="1" ht="12.75">
      <c r="A172" s="222" t="s">
        <v>313</v>
      </c>
      <c r="B172" s="946" t="s">
        <v>314</v>
      </c>
      <c r="C172" s="946"/>
      <c r="D172" s="946"/>
      <c r="E172" s="946"/>
      <c r="F172" s="223">
        <f>SUM(F173+F196+F197+F198)</f>
        <v>1324148704</v>
      </c>
      <c r="G172" s="223">
        <f>SUM(G173+G196+G197+G198)</f>
        <v>0</v>
      </c>
      <c r="H172" s="223">
        <f>SUM(H173+H196+H197+H198)</f>
        <v>32890088</v>
      </c>
      <c r="I172" s="223">
        <f>SUM(I173+I196+I197+I198)</f>
        <v>0</v>
      </c>
      <c r="J172" s="223">
        <f t="shared" si="2"/>
        <v>1357038792</v>
      </c>
      <c r="K172" s="652"/>
    </row>
    <row r="173" spans="1:11" ht="12.75">
      <c r="A173" s="232"/>
      <c r="B173" s="225" t="s">
        <v>315</v>
      </c>
      <c r="C173" s="942" t="s">
        <v>316</v>
      </c>
      <c r="D173" s="942"/>
      <c r="E173" s="942"/>
      <c r="F173" s="226">
        <f>SUM(F174+F178+F183+F188+F189+F190+F191+F192+F193)</f>
        <v>1324148704</v>
      </c>
      <c r="G173" s="226">
        <f>SUM(G174+G178+G183+G188+G189+G190+G191+G192+G193)</f>
        <v>0</v>
      </c>
      <c r="H173" s="226">
        <f>SUM(H174+H178+H183+H188+H189+H190+H191+H192+H193)</f>
        <v>32890088</v>
      </c>
      <c r="I173" s="226">
        <f>SUM(I174+I178+I183+I188+I189+I190+I191+I192+I193)</f>
        <v>0</v>
      </c>
      <c r="J173" s="227">
        <f t="shared" si="2"/>
        <v>1357038792</v>
      </c>
      <c r="K173" s="653"/>
    </row>
    <row r="174" spans="1:11" ht="12.75">
      <c r="A174" s="228"/>
      <c r="B174" s="228"/>
      <c r="C174" s="228" t="s">
        <v>317</v>
      </c>
      <c r="D174" s="228" t="s">
        <v>620</v>
      </c>
      <c r="E174" s="228"/>
      <c r="F174" s="229">
        <f>SUM(F175:F177)</f>
        <v>0</v>
      </c>
      <c r="G174" s="229">
        <f>SUM(G175:G177)</f>
        <v>0</v>
      </c>
      <c r="H174" s="229">
        <f>SUM(H175:H177)</f>
        <v>0</v>
      </c>
      <c r="I174" s="229">
        <f>SUM(I175:I177)</f>
        <v>0</v>
      </c>
      <c r="J174" s="230">
        <f t="shared" si="2"/>
        <v>0</v>
      </c>
      <c r="K174" s="654"/>
    </row>
    <row r="175" spans="1:11" ht="12.75" hidden="1">
      <c r="A175" s="245"/>
      <c r="B175" s="245"/>
      <c r="C175" s="245"/>
      <c r="D175" s="245" t="s">
        <v>318</v>
      </c>
      <c r="E175" s="245" t="s">
        <v>713</v>
      </c>
      <c r="F175" s="246">
        <v>0</v>
      </c>
      <c r="G175" s="246">
        <v>0</v>
      </c>
      <c r="H175" s="246">
        <v>0</v>
      </c>
      <c r="I175" s="246">
        <v>0</v>
      </c>
      <c r="J175" s="247">
        <f t="shared" si="2"/>
        <v>0</v>
      </c>
      <c r="K175" s="656"/>
    </row>
    <row r="176" spans="1:11" ht="12.75" hidden="1">
      <c r="A176" s="245"/>
      <c r="B176" s="245"/>
      <c r="C176" s="245"/>
      <c r="D176" s="245" t="s">
        <v>319</v>
      </c>
      <c r="E176" s="245" t="s">
        <v>714</v>
      </c>
      <c r="F176" s="246">
        <v>0</v>
      </c>
      <c r="G176" s="246">
        <v>0</v>
      </c>
      <c r="H176" s="246">
        <v>0</v>
      </c>
      <c r="I176" s="246">
        <v>0</v>
      </c>
      <c r="J176" s="247">
        <f t="shared" si="2"/>
        <v>0</v>
      </c>
      <c r="K176" s="656"/>
    </row>
    <row r="177" spans="1:11" ht="12.75" hidden="1">
      <c r="A177" s="245"/>
      <c r="B177" s="245"/>
      <c r="C177" s="245"/>
      <c r="D177" s="245" t="s">
        <v>320</v>
      </c>
      <c r="E177" s="245" t="s">
        <v>715</v>
      </c>
      <c r="F177" s="246">
        <v>0</v>
      </c>
      <c r="G177" s="246">
        <v>0</v>
      </c>
      <c r="H177" s="246">
        <v>0</v>
      </c>
      <c r="I177" s="246">
        <v>0</v>
      </c>
      <c r="J177" s="247">
        <f t="shared" si="2"/>
        <v>0</v>
      </c>
      <c r="K177" s="656"/>
    </row>
    <row r="178" spans="1:11" ht="12.75">
      <c r="A178" s="228"/>
      <c r="B178" s="228"/>
      <c r="C178" s="228" t="s">
        <v>321</v>
      </c>
      <c r="D178" s="228" t="s">
        <v>322</v>
      </c>
      <c r="E178" s="228"/>
      <c r="F178" s="229">
        <f>SUM(F179:F182)</f>
        <v>0</v>
      </c>
      <c r="G178" s="229">
        <f>SUM(G179:G182)</f>
        <v>0</v>
      </c>
      <c r="H178" s="229">
        <f>SUM(H179:H182)</f>
        <v>0</v>
      </c>
      <c r="I178" s="229">
        <f>SUM(I179:I182)</f>
        <v>0</v>
      </c>
      <c r="J178" s="230">
        <f t="shared" si="2"/>
        <v>0</v>
      </c>
      <c r="K178" s="654"/>
    </row>
    <row r="179" spans="1:11" ht="12.75" hidden="1">
      <c r="A179" s="228"/>
      <c r="B179" s="228"/>
      <c r="C179" s="228"/>
      <c r="D179" s="245" t="s">
        <v>574</v>
      </c>
      <c r="E179" s="245" t="s">
        <v>575</v>
      </c>
      <c r="F179" s="229">
        <v>0</v>
      </c>
      <c r="G179" s="229">
        <v>0</v>
      </c>
      <c r="H179" s="229">
        <v>0</v>
      </c>
      <c r="I179" s="229">
        <v>0</v>
      </c>
      <c r="J179" s="230">
        <f t="shared" si="2"/>
        <v>0</v>
      </c>
      <c r="K179" s="654"/>
    </row>
    <row r="180" spans="1:11" ht="12.75" hidden="1">
      <c r="A180" s="228"/>
      <c r="B180" s="228"/>
      <c r="C180" s="228"/>
      <c r="D180" s="245" t="s">
        <v>576</v>
      </c>
      <c r="E180" s="245" t="s">
        <v>577</v>
      </c>
      <c r="F180" s="229">
        <v>0</v>
      </c>
      <c r="G180" s="229">
        <v>0</v>
      </c>
      <c r="H180" s="229">
        <v>0</v>
      </c>
      <c r="I180" s="229">
        <v>0</v>
      </c>
      <c r="J180" s="230">
        <f t="shared" si="2"/>
        <v>0</v>
      </c>
      <c r="K180" s="654"/>
    </row>
    <row r="181" spans="1:11" ht="12.75" hidden="1">
      <c r="A181" s="228"/>
      <c r="B181" s="228"/>
      <c r="C181" s="228"/>
      <c r="D181" s="245" t="s">
        <v>578</v>
      </c>
      <c r="E181" s="245" t="s">
        <v>579</v>
      </c>
      <c r="F181" s="229">
        <v>0</v>
      </c>
      <c r="G181" s="229">
        <v>0</v>
      </c>
      <c r="H181" s="229">
        <v>0</v>
      </c>
      <c r="I181" s="229">
        <v>0</v>
      </c>
      <c r="J181" s="230">
        <f t="shared" si="2"/>
        <v>0</v>
      </c>
      <c r="K181" s="654"/>
    </row>
    <row r="182" spans="1:11" ht="12.75" hidden="1">
      <c r="A182" s="228"/>
      <c r="B182" s="228"/>
      <c r="C182" s="228"/>
      <c r="D182" s="245" t="s">
        <v>580</v>
      </c>
      <c r="E182" s="245" t="s">
        <v>581</v>
      </c>
      <c r="F182" s="229">
        <v>0</v>
      </c>
      <c r="G182" s="229">
        <v>0</v>
      </c>
      <c r="H182" s="229">
        <v>0</v>
      </c>
      <c r="I182" s="229">
        <v>0</v>
      </c>
      <c r="J182" s="230">
        <f t="shared" si="2"/>
        <v>0</v>
      </c>
      <c r="K182" s="654"/>
    </row>
    <row r="183" spans="1:11" ht="12.75">
      <c r="A183" s="228"/>
      <c r="B183" s="228"/>
      <c r="C183" s="228" t="s">
        <v>323</v>
      </c>
      <c r="D183" s="228" t="s">
        <v>324</v>
      </c>
      <c r="E183" s="228"/>
      <c r="F183" s="229">
        <f>SUM(F184,F187)</f>
        <v>1324148704</v>
      </c>
      <c r="G183" s="229">
        <f>SUM(G184,G187)</f>
        <v>0</v>
      </c>
      <c r="H183" s="229">
        <f>SUM(H184,H187)</f>
        <v>32890088</v>
      </c>
      <c r="I183" s="229">
        <f>SUM(I184,I187)</f>
        <v>0</v>
      </c>
      <c r="J183" s="230">
        <f t="shared" si="2"/>
        <v>1357038792</v>
      </c>
      <c r="K183" s="654"/>
    </row>
    <row r="184" spans="1:11" ht="12.75">
      <c r="A184" s="245"/>
      <c r="B184" s="245"/>
      <c r="C184" s="245"/>
      <c r="D184" s="245" t="s">
        <v>325</v>
      </c>
      <c r="E184" s="245" t="s">
        <v>326</v>
      </c>
      <c r="F184" s="246">
        <f>SUM(F185:F186)</f>
        <v>1324148704</v>
      </c>
      <c r="G184" s="246">
        <f>SUM(G185:G186)</f>
        <v>0</v>
      </c>
      <c r="H184" s="246">
        <f>SUM(H185:H186)</f>
        <v>32890088</v>
      </c>
      <c r="I184" s="246">
        <f>SUM(I185:I186)</f>
        <v>0</v>
      </c>
      <c r="J184" s="247">
        <f t="shared" si="2"/>
        <v>1357038792</v>
      </c>
      <c r="K184" s="656"/>
    </row>
    <row r="185" spans="1:11" s="252" customFormat="1" ht="12.75">
      <c r="A185" s="248"/>
      <c r="B185" s="248"/>
      <c r="C185" s="248"/>
      <c r="D185" s="248"/>
      <c r="E185" s="249" t="s">
        <v>36</v>
      </c>
      <c r="F185" s="250">
        <f>159291075+55</f>
        <v>159291130</v>
      </c>
      <c r="G185" s="250">
        <v>0</v>
      </c>
      <c r="H185" s="250">
        <v>32890088</v>
      </c>
      <c r="I185" s="250"/>
      <c r="J185" s="251">
        <f t="shared" si="2"/>
        <v>192181218</v>
      </c>
      <c r="K185" s="657"/>
    </row>
    <row r="186" spans="1:11" s="252" customFormat="1" ht="12.75">
      <c r="A186" s="248"/>
      <c r="B186" s="248"/>
      <c r="C186" s="248"/>
      <c r="D186" s="248"/>
      <c r="E186" s="249" t="s">
        <v>37</v>
      </c>
      <c r="F186" s="250">
        <f>1164857629-55</f>
        <v>1164857574</v>
      </c>
      <c r="G186" s="250">
        <v>0</v>
      </c>
      <c r="H186" s="250">
        <v>0</v>
      </c>
      <c r="I186" s="250">
        <v>0</v>
      </c>
      <c r="J186" s="251">
        <f t="shared" si="2"/>
        <v>1164857574</v>
      </c>
      <c r="K186" s="657"/>
    </row>
    <row r="187" spans="1:11" ht="12.75">
      <c r="A187" s="245"/>
      <c r="B187" s="245"/>
      <c r="C187" s="245"/>
      <c r="D187" s="245" t="s">
        <v>327</v>
      </c>
      <c r="E187" s="245" t="s">
        <v>328</v>
      </c>
      <c r="F187" s="246">
        <v>0</v>
      </c>
      <c r="G187" s="246">
        <v>0</v>
      </c>
      <c r="H187" s="246">
        <v>0</v>
      </c>
      <c r="I187" s="246">
        <v>0</v>
      </c>
      <c r="J187" s="247">
        <f t="shared" si="2"/>
        <v>0</v>
      </c>
      <c r="K187" s="656"/>
    </row>
    <row r="188" spans="1:11" ht="12.75" hidden="1">
      <c r="A188" s="228"/>
      <c r="B188" s="228"/>
      <c r="C188" s="228" t="s">
        <v>329</v>
      </c>
      <c r="D188" s="228" t="s">
        <v>621</v>
      </c>
      <c r="E188" s="228"/>
      <c r="F188" s="229">
        <v>0</v>
      </c>
      <c r="G188" s="229">
        <v>0</v>
      </c>
      <c r="H188" s="229">
        <v>0</v>
      </c>
      <c r="I188" s="229">
        <v>0</v>
      </c>
      <c r="J188" s="230">
        <f t="shared" si="2"/>
        <v>0</v>
      </c>
      <c r="K188" s="654"/>
    </row>
    <row r="189" spans="1:11" ht="12.75" hidden="1">
      <c r="A189" s="228"/>
      <c r="B189" s="228"/>
      <c r="C189" s="228" t="s">
        <v>330</v>
      </c>
      <c r="D189" s="228" t="s">
        <v>622</v>
      </c>
      <c r="E189" s="228"/>
      <c r="F189" s="229">
        <v>0</v>
      </c>
      <c r="G189" s="229">
        <v>0</v>
      </c>
      <c r="H189" s="229">
        <v>0</v>
      </c>
      <c r="I189" s="229">
        <v>0</v>
      </c>
      <c r="J189" s="230">
        <f t="shared" si="2"/>
        <v>0</v>
      </c>
      <c r="K189" s="654"/>
    </row>
    <row r="190" spans="1:11" ht="12.75" hidden="1">
      <c r="A190" s="228"/>
      <c r="B190" s="228"/>
      <c r="C190" s="228" t="s">
        <v>331</v>
      </c>
      <c r="D190" s="228" t="s">
        <v>332</v>
      </c>
      <c r="E190" s="228"/>
      <c r="F190" s="229">
        <v>0</v>
      </c>
      <c r="G190" s="229">
        <v>0</v>
      </c>
      <c r="H190" s="229">
        <v>0</v>
      </c>
      <c r="I190" s="229">
        <v>0</v>
      </c>
      <c r="J190" s="230">
        <f t="shared" si="2"/>
        <v>0</v>
      </c>
      <c r="K190" s="654"/>
    </row>
    <row r="191" spans="1:11" ht="12.75" hidden="1">
      <c r="A191" s="228"/>
      <c r="B191" s="228"/>
      <c r="C191" s="228" t="s">
        <v>333</v>
      </c>
      <c r="D191" s="228" t="s">
        <v>582</v>
      </c>
      <c r="E191" s="228"/>
      <c r="F191" s="229">
        <v>0</v>
      </c>
      <c r="G191" s="229">
        <v>0</v>
      </c>
      <c r="H191" s="229">
        <v>0</v>
      </c>
      <c r="I191" s="229">
        <v>0</v>
      </c>
      <c r="J191" s="230">
        <f t="shared" si="2"/>
        <v>0</v>
      </c>
      <c r="K191" s="654"/>
    </row>
    <row r="192" spans="1:11" ht="12.75" hidden="1">
      <c r="A192" s="228"/>
      <c r="B192" s="228"/>
      <c r="C192" s="228" t="s">
        <v>334</v>
      </c>
      <c r="D192" s="228" t="s">
        <v>335</v>
      </c>
      <c r="E192" s="228"/>
      <c r="F192" s="229">
        <v>0</v>
      </c>
      <c r="G192" s="229">
        <v>0</v>
      </c>
      <c r="H192" s="229">
        <v>0</v>
      </c>
      <c r="I192" s="229">
        <v>0</v>
      </c>
      <c r="J192" s="230">
        <f t="shared" si="2"/>
        <v>0</v>
      </c>
      <c r="K192" s="654"/>
    </row>
    <row r="193" spans="1:11" ht="12.75" hidden="1">
      <c r="A193" s="228"/>
      <c r="B193" s="228"/>
      <c r="C193" s="228" t="s">
        <v>583</v>
      </c>
      <c r="D193" s="228" t="s">
        <v>584</v>
      </c>
      <c r="E193" s="228"/>
      <c r="F193" s="229">
        <v>0</v>
      </c>
      <c r="G193" s="229">
        <v>0</v>
      </c>
      <c r="H193" s="229">
        <v>0</v>
      </c>
      <c r="I193" s="229">
        <v>0</v>
      </c>
      <c r="J193" s="230">
        <f t="shared" si="2"/>
        <v>0</v>
      </c>
      <c r="K193" s="654"/>
    </row>
    <row r="194" spans="1:11" ht="12.75" hidden="1">
      <c r="A194" s="228"/>
      <c r="B194" s="228"/>
      <c r="C194" s="228"/>
      <c r="D194" s="245" t="s">
        <v>585</v>
      </c>
      <c r="E194" s="245" t="s">
        <v>586</v>
      </c>
      <c r="F194" s="250">
        <v>0</v>
      </c>
      <c r="G194" s="250">
        <v>0</v>
      </c>
      <c r="H194" s="250">
        <v>0</v>
      </c>
      <c r="I194" s="250">
        <v>0</v>
      </c>
      <c r="J194" s="230">
        <f t="shared" si="2"/>
        <v>0</v>
      </c>
      <c r="K194" s="654"/>
    </row>
    <row r="195" spans="1:11" ht="12.75" hidden="1">
      <c r="A195" s="228"/>
      <c r="B195" s="228"/>
      <c r="C195" s="228"/>
      <c r="D195" s="245" t="s">
        <v>587</v>
      </c>
      <c r="E195" s="245" t="s">
        <v>588</v>
      </c>
      <c r="F195" s="250">
        <v>0</v>
      </c>
      <c r="G195" s="250">
        <v>0</v>
      </c>
      <c r="H195" s="250">
        <v>0</v>
      </c>
      <c r="I195" s="250">
        <v>0</v>
      </c>
      <c r="J195" s="230">
        <f t="shared" si="2"/>
        <v>0</v>
      </c>
      <c r="K195" s="654"/>
    </row>
    <row r="196" spans="1:11" ht="12.75">
      <c r="A196" s="232"/>
      <c r="B196" s="225" t="s">
        <v>336</v>
      </c>
      <c r="C196" s="942" t="s">
        <v>337</v>
      </c>
      <c r="D196" s="942"/>
      <c r="E196" s="942"/>
      <c r="F196" s="226">
        <v>0</v>
      </c>
      <c r="G196" s="226">
        <v>0</v>
      </c>
      <c r="H196" s="226">
        <v>0</v>
      </c>
      <c r="I196" s="226">
        <v>0</v>
      </c>
      <c r="J196" s="227">
        <f t="shared" si="2"/>
        <v>0</v>
      </c>
      <c r="K196" s="653"/>
    </row>
    <row r="197" spans="1:11" ht="12.75">
      <c r="A197" s="232"/>
      <c r="B197" s="225" t="s">
        <v>338</v>
      </c>
      <c r="C197" s="942" t="s">
        <v>339</v>
      </c>
      <c r="D197" s="942"/>
      <c r="E197" s="942"/>
      <c r="F197" s="226">
        <v>0</v>
      </c>
      <c r="G197" s="226">
        <v>0</v>
      </c>
      <c r="H197" s="226">
        <v>0</v>
      </c>
      <c r="I197" s="226">
        <v>0</v>
      </c>
      <c r="J197" s="227">
        <f t="shared" si="2"/>
        <v>0</v>
      </c>
      <c r="K197" s="653"/>
    </row>
    <row r="198" spans="1:11" ht="12.75">
      <c r="A198" s="232"/>
      <c r="B198" s="225" t="s">
        <v>589</v>
      </c>
      <c r="C198" s="942" t="s">
        <v>590</v>
      </c>
      <c r="D198" s="942"/>
      <c r="E198" s="942"/>
      <c r="F198" s="226">
        <v>0</v>
      </c>
      <c r="G198" s="226">
        <v>0</v>
      </c>
      <c r="H198" s="226">
        <v>0</v>
      </c>
      <c r="I198" s="226">
        <v>0</v>
      </c>
      <c r="J198" s="227">
        <f t="shared" si="2"/>
        <v>0</v>
      </c>
      <c r="K198" s="653"/>
    </row>
    <row r="199" spans="1:11" ht="12.75">
      <c r="A199" s="232"/>
      <c r="B199" s="232"/>
      <c r="C199" s="232"/>
      <c r="D199" s="232"/>
      <c r="E199" s="232"/>
      <c r="F199" s="253"/>
      <c r="G199" s="254"/>
      <c r="H199" s="254"/>
      <c r="I199" s="254"/>
      <c r="J199" s="253">
        <f t="shared" si="2"/>
        <v>0</v>
      </c>
      <c r="K199" s="658"/>
    </row>
    <row r="200" spans="1:11" s="256" customFormat="1" ht="15.75">
      <c r="A200" s="951" t="s">
        <v>455</v>
      </c>
      <c r="B200" s="951"/>
      <c r="C200" s="951"/>
      <c r="D200" s="951"/>
      <c r="E200" s="951"/>
      <c r="F200" s="255">
        <f>SUM(F172+F146+F130+F122+F86+F57+F40+F7)</f>
        <v>2329228824</v>
      </c>
      <c r="G200" s="255">
        <f>SUM(G172+G146+G130+G122+G86+G57+G40+G7)</f>
        <v>7049209</v>
      </c>
      <c r="H200" s="255">
        <f>SUM(H172+H146+H130+H122+H86+H57+H40+H7)</f>
        <v>33971558</v>
      </c>
      <c r="I200" s="255">
        <f>SUM(I172+I146+I130+I122+I86+I57+I40+I7)</f>
        <v>30380000</v>
      </c>
      <c r="J200" s="255">
        <f t="shared" si="2"/>
        <v>2400629591</v>
      </c>
      <c r="K200" s="659"/>
    </row>
  </sheetData>
  <sheetProtection/>
  <mergeCells count="54">
    <mergeCell ref="C197:E197"/>
    <mergeCell ref="C173:E173"/>
    <mergeCell ref="F1:J1"/>
    <mergeCell ref="B6:E6"/>
    <mergeCell ref="A2:J2"/>
    <mergeCell ref="C128:E128"/>
    <mergeCell ref="C42:E42"/>
    <mergeCell ref="C61:E61"/>
    <mergeCell ref="C64:E64"/>
    <mergeCell ref="C160:E160"/>
    <mergeCell ref="A200:E200"/>
    <mergeCell ref="C131:E131"/>
    <mergeCell ref="C134:E134"/>
    <mergeCell ref="C144:E144"/>
    <mergeCell ref="B146:E146"/>
    <mergeCell ref="C198:E198"/>
    <mergeCell ref="B172:E172"/>
    <mergeCell ref="C149:E149"/>
    <mergeCell ref="C150:E150"/>
    <mergeCell ref="C148:E148"/>
    <mergeCell ref="C147:E147"/>
    <mergeCell ref="C196:E196"/>
    <mergeCell ref="C132:E132"/>
    <mergeCell ref="C133:E133"/>
    <mergeCell ref="C43:E43"/>
    <mergeCell ref="C41:E41"/>
    <mergeCell ref="D119:E119"/>
    <mergeCell ref="B122:E122"/>
    <mergeCell ref="C44:E44"/>
    <mergeCell ref="D112:E112"/>
    <mergeCell ref="B57:E57"/>
    <mergeCell ref="D107:E107"/>
    <mergeCell ref="C60:E60"/>
    <mergeCell ref="D104:E104"/>
    <mergeCell ref="C58:E58"/>
    <mergeCell ref="C75:E75"/>
    <mergeCell ref="B86:E86"/>
    <mergeCell ref="C59:E59"/>
    <mergeCell ref="B130:E130"/>
    <mergeCell ref="C125:E125"/>
    <mergeCell ref="C127:E127"/>
    <mergeCell ref="D111:E111"/>
    <mergeCell ref="C129:E129"/>
    <mergeCell ref="C123:E123"/>
    <mergeCell ref="C16:E16"/>
    <mergeCell ref="C17:E17"/>
    <mergeCell ref="C28:E28"/>
    <mergeCell ref="C45:E45"/>
    <mergeCell ref="A5:E5"/>
    <mergeCell ref="B7:E7"/>
    <mergeCell ref="C8:E8"/>
    <mergeCell ref="C15:E15"/>
    <mergeCell ref="B40:E40"/>
    <mergeCell ref="C29:E29"/>
  </mergeCells>
  <printOptions horizontalCentered="1"/>
  <pageMargins left="0.5118110236220472" right="0.5118110236220472" top="0.8661417322834646" bottom="0.8661417322834646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E28"/>
  <sheetViews>
    <sheetView zoomScalePageLayoutView="0" workbookViewId="0" topLeftCell="A1">
      <selection activeCell="C2" sqref="C2"/>
    </sheetView>
  </sheetViews>
  <sheetFormatPr defaultColWidth="8.875" defaultRowHeight="12.75"/>
  <cols>
    <col min="1" max="1" width="4.125" style="95" bestFit="1" customWidth="1"/>
    <col min="2" max="2" width="2.375" style="51" customWidth="1"/>
    <col min="3" max="3" width="59.25390625" style="51" customWidth="1"/>
    <col min="4" max="4" width="13.75390625" style="51" customWidth="1"/>
    <col min="5" max="16384" width="8.875" style="51" customWidth="1"/>
  </cols>
  <sheetData>
    <row r="1" spans="3:5" ht="15">
      <c r="C1" s="986" t="s">
        <v>1072</v>
      </c>
      <c r="D1" s="1234"/>
      <c r="E1" s="89"/>
    </row>
    <row r="2" spans="3:5" ht="15">
      <c r="C2" s="2"/>
      <c r="D2" s="89"/>
      <c r="E2" s="89"/>
    </row>
    <row r="3" spans="2:4" ht="15">
      <c r="B3" s="1242" t="s">
        <v>384</v>
      </c>
      <c r="C3" s="1242"/>
      <c r="D3" s="1242"/>
    </row>
    <row r="4" spans="2:4" ht="15">
      <c r="B4" s="1242" t="s">
        <v>460</v>
      </c>
      <c r="C4" s="1242"/>
      <c r="D4" s="1242"/>
    </row>
    <row r="5" spans="2:4" ht="15">
      <c r="B5" s="53"/>
      <c r="C5" s="53"/>
      <c r="D5" s="53"/>
    </row>
    <row r="6" ht="15">
      <c r="D6" s="52"/>
    </row>
    <row r="7" spans="1:4" s="54" customFormat="1" ht="21" customHeight="1">
      <c r="A7" s="1239" t="s">
        <v>448</v>
      </c>
      <c r="B7" s="1243" t="s">
        <v>369</v>
      </c>
      <c r="C7" s="1243"/>
      <c r="D7" s="97" t="s">
        <v>382</v>
      </c>
    </row>
    <row r="8" spans="1:4" s="94" customFormat="1" ht="12">
      <c r="A8" s="1240"/>
      <c r="B8" s="1244" t="s">
        <v>442</v>
      </c>
      <c r="C8" s="1245"/>
      <c r="D8" s="96" t="s">
        <v>443</v>
      </c>
    </row>
    <row r="9" spans="1:4" s="54" customFormat="1" ht="25.5" customHeight="1">
      <c r="A9" s="96">
        <v>1</v>
      </c>
      <c r="B9" s="56" t="s">
        <v>395</v>
      </c>
      <c r="C9" s="55"/>
      <c r="D9" s="102"/>
    </row>
    <row r="10" spans="1:4" ht="15">
      <c r="A10" s="96">
        <v>2</v>
      </c>
      <c r="B10" s="98"/>
      <c r="C10" s="93" t="s">
        <v>441</v>
      </c>
      <c r="D10" s="183">
        <v>1000000</v>
      </c>
    </row>
    <row r="11" spans="1:4" s="54" customFormat="1" ht="15.75" customHeight="1">
      <c r="A11" s="96">
        <v>3</v>
      </c>
      <c r="B11" s="56" t="s">
        <v>372</v>
      </c>
      <c r="C11" s="56"/>
      <c r="D11" s="184">
        <f>SUM(D10:D10)</f>
        <v>1000000</v>
      </c>
    </row>
    <row r="12" spans="1:4" s="54" customFormat="1" ht="6" customHeight="1">
      <c r="A12" s="101"/>
      <c r="B12" s="100"/>
      <c r="C12" s="100"/>
      <c r="D12" s="102"/>
    </row>
    <row r="13" spans="1:4" s="54" customFormat="1" ht="25.5" customHeight="1">
      <c r="A13" s="96">
        <v>4</v>
      </c>
      <c r="B13" s="1241" t="s">
        <v>394</v>
      </c>
      <c r="C13" s="1241"/>
      <c r="D13" s="1241"/>
    </row>
    <row r="14" spans="1:4" s="54" customFormat="1" ht="30">
      <c r="A14" s="96">
        <v>5</v>
      </c>
      <c r="B14" s="98"/>
      <c r="C14" s="93" t="s">
        <v>895</v>
      </c>
      <c r="D14" s="183">
        <v>350000</v>
      </c>
    </row>
    <row r="15" spans="1:4" s="54" customFormat="1" ht="39.75" customHeight="1">
      <c r="A15" s="96">
        <v>6</v>
      </c>
      <c r="B15" s="98"/>
      <c r="C15" s="93" t="s">
        <v>1060</v>
      </c>
      <c r="D15" s="183">
        <v>200000</v>
      </c>
    </row>
    <row r="16" spans="1:4" ht="15.75" customHeight="1">
      <c r="A16" s="96">
        <v>7</v>
      </c>
      <c r="B16" s="56" t="s">
        <v>372</v>
      </c>
      <c r="C16" s="56"/>
      <c r="D16" s="184">
        <f>SUM(D14:D15)</f>
        <v>550000</v>
      </c>
    </row>
    <row r="17" spans="1:4" s="54" customFormat="1" ht="7.5" customHeight="1">
      <c r="A17" s="101"/>
      <c r="B17" s="100"/>
      <c r="C17" s="100"/>
      <c r="D17" s="102"/>
    </row>
    <row r="18" spans="1:4" s="54" customFormat="1" ht="25.5" customHeight="1">
      <c r="A18" s="96">
        <v>8</v>
      </c>
      <c r="B18" s="56" t="s">
        <v>655</v>
      </c>
      <c r="C18" s="55"/>
      <c r="D18" s="102"/>
    </row>
    <row r="19" spans="1:4" ht="15">
      <c r="A19" s="96">
        <v>9</v>
      </c>
      <c r="B19" s="98"/>
      <c r="C19" s="93" t="s">
        <v>654</v>
      </c>
      <c r="D19" s="183">
        <v>1000000</v>
      </c>
    </row>
    <row r="20" spans="1:4" s="54" customFormat="1" ht="15.75" customHeight="1">
      <c r="A20" s="96">
        <v>10</v>
      </c>
      <c r="B20" s="56" t="s">
        <v>372</v>
      </c>
      <c r="C20" s="56"/>
      <c r="D20" s="184">
        <f>SUM(D19:D19)</f>
        <v>1000000</v>
      </c>
    </row>
    <row r="21" spans="1:4" s="54" customFormat="1" ht="7.5" customHeight="1">
      <c r="A21" s="101"/>
      <c r="B21" s="100"/>
      <c r="C21" s="100"/>
      <c r="D21" s="102"/>
    </row>
    <row r="22" spans="1:4" ht="15.75" customHeight="1">
      <c r="A22" s="96">
        <v>11</v>
      </c>
      <c r="B22" s="56" t="s">
        <v>397</v>
      </c>
      <c r="C22" s="56"/>
      <c r="D22" s="184">
        <f>SUM(D11,D16,D20)</f>
        <v>2550000</v>
      </c>
    </row>
    <row r="23" spans="1:4" s="54" customFormat="1" ht="8.25" customHeight="1">
      <c r="A23" s="101"/>
      <c r="B23" s="100"/>
      <c r="C23" s="100"/>
      <c r="D23" s="102"/>
    </row>
    <row r="24" spans="1:4" s="54" customFormat="1" ht="25.5" customHeight="1">
      <c r="A24" s="96">
        <v>12</v>
      </c>
      <c r="B24" s="1241" t="s">
        <v>379</v>
      </c>
      <c r="C24" s="1241"/>
      <c r="D24" s="1241"/>
    </row>
    <row r="25" spans="1:4" s="54" customFormat="1" ht="6.75" customHeight="1">
      <c r="A25" s="96"/>
      <c r="B25" s="98"/>
      <c r="C25" s="93"/>
      <c r="D25" s="99"/>
    </row>
    <row r="26" spans="1:4" ht="15.75" customHeight="1">
      <c r="A26" s="96">
        <v>13</v>
      </c>
      <c r="B26" s="56" t="s">
        <v>398</v>
      </c>
      <c r="C26" s="56"/>
      <c r="D26" s="184">
        <f>SUM(D25:D25)</f>
        <v>0</v>
      </c>
    </row>
    <row r="27" spans="1:4" s="54" customFormat="1" ht="6.75" customHeight="1">
      <c r="A27" s="101"/>
      <c r="B27" s="100"/>
      <c r="C27" s="100"/>
      <c r="D27" s="102"/>
    </row>
    <row r="28" spans="1:4" ht="15.75" customHeight="1">
      <c r="A28" s="96">
        <v>14</v>
      </c>
      <c r="B28" s="56" t="s">
        <v>396</v>
      </c>
      <c r="C28" s="56"/>
      <c r="D28" s="184">
        <f>SUM(D26,D22)</f>
        <v>2550000</v>
      </c>
    </row>
  </sheetData>
  <sheetProtection/>
  <mergeCells count="8">
    <mergeCell ref="A7:A8"/>
    <mergeCell ref="B24:D24"/>
    <mergeCell ref="B13:D13"/>
    <mergeCell ref="C1:D1"/>
    <mergeCell ref="B3:D3"/>
    <mergeCell ref="B7:C7"/>
    <mergeCell ref="B4:D4"/>
    <mergeCell ref="B8:C8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V51"/>
  <sheetViews>
    <sheetView zoomScalePageLayoutView="0" workbookViewId="0" topLeftCell="F1">
      <selection activeCell="A2" sqref="A2:K2"/>
    </sheetView>
  </sheetViews>
  <sheetFormatPr defaultColWidth="9.00390625" defaultRowHeight="12.75"/>
  <cols>
    <col min="1" max="1" width="5.125" style="36" bestFit="1" customWidth="1"/>
    <col min="2" max="2" width="8.875" style="32" customWidth="1"/>
    <col min="3" max="3" width="69.25390625" style="32" customWidth="1"/>
    <col min="4" max="4" width="9.75390625" style="32" bestFit="1" customWidth="1"/>
    <col min="5" max="5" width="10.375" style="32" bestFit="1" customWidth="1"/>
    <col min="6" max="6" width="16.125" style="32" bestFit="1" customWidth="1"/>
    <col min="7" max="7" width="9.75390625" style="32" bestFit="1" customWidth="1"/>
    <col min="8" max="8" width="11.25390625" style="32" customWidth="1"/>
    <col min="9" max="9" width="9.625" style="32" customWidth="1"/>
    <col min="10" max="10" width="11.25390625" style="32" customWidth="1"/>
    <col min="11" max="12" width="16.125" style="32" bestFit="1" customWidth="1"/>
    <col min="13" max="13" width="9.125" style="32" customWidth="1"/>
    <col min="14" max="14" width="12.375" style="32" bestFit="1" customWidth="1"/>
    <col min="15" max="16384" width="9.125" style="32" customWidth="1"/>
  </cols>
  <sheetData>
    <row r="1" spans="9:13" ht="15" customHeight="1">
      <c r="I1" s="602" t="s">
        <v>1073</v>
      </c>
      <c r="J1" s="182"/>
      <c r="K1" s="182"/>
      <c r="L1" s="601"/>
      <c r="M1" s="182"/>
    </row>
    <row r="2" spans="1:256" ht="15.75">
      <c r="A2" s="1255" t="s">
        <v>864</v>
      </c>
      <c r="B2" s="1255"/>
      <c r="C2" s="1255"/>
      <c r="D2" s="1255"/>
      <c r="E2" s="1255"/>
      <c r="F2" s="1255"/>
      <c r="G2" s="1255"/>
      <c r="H2" s="1255"/>
      <c r="I2" s="1255"/>
      <c r="J2" s="1255"/>
      <c r="K2" s="1255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5.75">
      <c r="A3" s="1256" t="s">
        <v>865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2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ht="13.5" thickBot="1"/>
    <row r="5" spans="1:256" ht="12.75">
      <c r="A5" s="1257" t="s">
        <v>464</v>
      </c>
      <c r="B5" s="1257"/>
      <c r="C5" s="1258"/>
      <c r="D5" s="1259" t="s">
        <v>457</v>
      </c>
      <c r="E5" s="1257"/>
      <c r="F5" s="1260"/>
      <c r="G5" s="1261" t="s">
        <v>600</v>
      </c>
      <c r="H5" s="1262"/>
      <c r="I5" s="1262"/>
      <c r="J5" s="1263"/>
      <c r="K5" s="1264"/>
      <c r="L5" s="1250" t="s">
        <v>374</v>
      </c>
      <c r="M5" s="29"/>
      <c r="N5" s="29" t="s">
        <v>496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25.5">
      <c r="A6" s="1252" t="s">
        <v>465</v>
      </c>
      <c r="B6" s="1253"/>
      <c r="C6" s="24" t="s">
        <v>466</v>
      </c>
      <c r="D6" s="25" t="s">
        <v>467</v>
      </c>
      <c r="E6" s="27" t="s">
        <v>468</v>
      </c>
      <c r="F6" s="28" t="s">
        <v>495</v>
      </c>
      <c r="G6" s="25" t="s">
        <v>469</v>
      </c>
      <c r="H6" s="26" t="s">
        <v>480</v>
      </c>
      <c r="I6" s="26" t="s">
        <v>470</v>
      </c>
      <c r="J6" s="26" t="s">
        <v>480</v>
      </c>
      <c r="K6" s="28" t="s">
        <v>649</v>
      </c>
      <c r="L6" s="125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12.75">
      <c r="A7" s="1254" t="s">
        <v>442</v>
      </c>
      <c r="B7" s="1254"/>
      <c r="C7" s="118" t="s">
        <v>443</v>
      </c>
      <c r="D7" s="119" t="s">
        <v>444</v>
      </c>
      <c r="E7" s="120" t="s">
        <v>445</v>
      </c>
      <c r="F7" s="121" t="s">
        <v>446</v>
      </c>
      <c r="G7" s="119" t="s">
        <v>447</v>
      </c>
      <c r="H7" s="122" t="s">
        <v>449</v>
      </c>
      <c r="I7" s="122" t="s">
        <v>450</v>
      </c>
      <c r="J7" s="122" t="s">
        <v>400</v>
      </c>
      <c r="K7" s="121" t="s">
        <v>401</v>
      </c>
      <c r="L7" s="163" t="s">
        <v>402</v>
      </c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  <c r="IV7" s="123"/>
    </row>
    <row r="8" spans="1:256" ht="12.75">
      <c r="A8" s="141" t="s">
        <v>483</v>
      </c>
      <c r="B8" s="142"/>
      <c r="C8" s="143" t="s">
        <v>493</v>
      </c>
      <c r="D8" s="144"/>
      <c r="E8" s="145"/>
      <c r="F8" s="146">
        <f>F9+F10+F15+F16+F17+F18</f>
        <v>187405500</v>
      </c>
      <c r="G8" s="144"/>
      <c r="H8" s="147"/>
      <c r="I8" s="147"/>
      <c r="J8" s="145"/>
      <c r="K8" s="146"/>
      <c r="L8" s="164">
        <f aca="true" t="shared" si="0" ref="L8:L14">F8+K8</f>
        <v>187405500</v>
      </c>
      <c r="M8" s="138"/>
      <c r="N8" s="166">
        <f>SUM(N9:N18)</f>
        <v>187405500</v>
      </c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  <c r="IR8" s="139"/>
      <c r="IS8" s="139"/>
      <c r="IT8" s="139"/>
      <c r="IU8" s="139"/>
      <c r="IV8" s="139"/>
    </row>
    <row r="9" spans="1:256" ht="12.75">
      <c r="A9" s="132"/>
      <c r="B9" s="133" t="s">
        <v>538</v>
      </c>
      <c r="C9" s="134" t="s">
        <v>481</v>
      </c>
      <c r="D9" s="604">
        <v>26.16</v>
      </c>
      <c r="E9" s="605">
        <v>4580000</v>
      </c>
      <c r="F9" s="606">
        <f>D9*E9</f>
        <v>119812800</v>
      </c>
      <c r="G9" s="607"/>
      <c r="H9" s="608"/>
      <c r="I9" s="608"/>
      <c r="J9" s="605"/>
      <c r="K9" s="606"/>
      <c r="L9" s="609">
        <f t="shared" si="0"/>
        <v>119812800</v>
      </c>
      <c r="M9" s="135"/>
      <c r="N9" s="181">
        <f>SUM(L9)</f>
        <v>119812800</v>
      </c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</row>
    <row r="10" spans="1:256" ht="12.75">
      <c r="A10" s="132"/>
      <c r="B10" s="133" t="s">
        <v>539</v>
      </c>
      <c r="C10" s="134" t="s">
        <v>866</v>
      </c>
      <c r="D10" s="607"/>
      <c r="E10" s="605"/>
      <c r="F10" s="606">
        <f>SUM(F11:F14)</f>
        <v>63536320</v>
      </c>
      <c r="G10" s="607"/>
      <c r="H10" s="608"/>
      <c r="I10" s="608"/>
      <c r="J10" s="605"/>
      <c r="K10" s="606"/>
      <c r="L10" s="609">
        <f t="shared" si="0"/>
        <v>63536320</v>
      </c>
      <c r="M10" s="135"/>
      <c r="N10" s="181">
        <f>SUM(L11:L14)</f>
        <v>63536320</v>
      </c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  <c r="IS10" s="136"/>
      <c r="IT10" s="136"/>
      <c r="IU10" s="136"/>
      <c r="IV10" s="136"/>
    </row>
    <row r="11" spans="1:14" ht="12.75">
      <c r="A11" s="30"/>
      <c r="B11" s="130" t="s">
        <v>540</v>
      </c>
      <c r="C11" s="131" t="s">
        <v>867</v>
      </c>
      <c r="D11" s="610"/>
      <c r="E11" s="611"/>
      <c r="F11" s="612">
        <v>18207950</v>
      </c>
      <c r="G11" s="610"/>
      <c r="H11" s="613"/>
      <c r="I11" s="613"/>
      <c r="J11" s="611"/>
      <c r="K11" s="612"/>
      <c r="L11" s="614">
        <f t="shared" si="0"/>
        <v>18207950</v>
      </c>
      <c r="M11" s="31"/>
      <c r="N11" s="181"/>
    </row>
    <row r="12" spans="1:14" ht="12.75">
      <c r="A12" s="30"/>
      <c r="B12" s="130" t="s">
        <v>541</v>
      </c>
      <c r="C12" s="131" t="s">
        <v>868</v>
      </c>
      <c r="D12" s="610"/>
      <c r="E12" s="611"/>
      <c r="F12" s="612">
        <v>30176000</v>
      </c>
      <c r="G12" s="610"/>
      <c r="H12" s="613"/>
      <c r="I12" s="613"/>
      <c r="J12" s="611"/>
      <c r="K12" s="612"/>
      <c r="L12" s="614">
        <f t="shared" si="0"/>
        <v>30176000</v>
      </c>
      <c r="M12" s="31"/>
      <c r="N12" s="181"/>
    </row>
    <row r="13" spans="1:14" ht="12.75">
      <c r="A13" s="30"/>
      <c r="B13" s="130" t="s">
        <v>542</v>
      </c>
      <c r="C13" s="131" t="s">
        <v>869</v>
      </c>
      <c r="D13" s="610"/>
      <c r="E13" s="611"/>
      <c r="F13" s="612">
        <v>100000</v>
      </c>
      <c r="G13" s="610"/>
      <c r="H13" s="613"/>
      <c r="I13" s="613"/>
      <c r="J13" s="611"/>
      <c r="K13" s="612"/>
      <c r="L13" s="614">
        <f t="shared" si="0"/>
        <v>100000</v>
      </c>
      <c r="M13" s="31"/>
      <c r="N13" s="181"/>
    </row>
    <row r="14" spans="1:14" ht="12.75">
      <c r="A14" s="30"/>
      <c r="B14" s="130" t="s">
        <v>543</v>
      </c>
      <c r="C14" s="131" t="s">
        <v>870</v>
      </c>
      <c r="D14" s="610"/>
      <c r="E14" s="611"/>
      <c r="F14" s="612">
        <v>15052370</v>
      </c>
      <c r="G14" s="610"/>
      <c r="H14" s="613"/>
      <c r="I14" s="613"/>
      <c r="J14" s="611"/>
      <c r="K14" s="612"/>
      <c r="L14" s="614">
        <f t="shared" si="0"/>
        <v>15052370</v>
      </c>
      <c r="M14" s="31"/>
      <c r="N14" s="181"/>
    </row>
    <row r="15" spans="1:256" ht="12.75">
      <c r="A15" s="132"/>
      <c r="B15" s="133" t="s">
        <v>544</v>
      </c>
      <c r="C15" s="137" t="s">
        <v>885</v>
      </c>
      <c r="D15" s="607">
        <v>8684</v>
      </c>
      <c r="E15" s="605">
        <v>2700</v>
      </c>
      <c r="F15" s="606">
        <v>1670980</v>
      </c>
      <c r="G15" s="607"/>
      <c r="H15" s="608"/>
      <c r="I15" s="608"/>
      <c r="J15" s="605"/>
      <c r="K15" s="606"/>
      <c r="L15" s="609">
        <f>F15+K15</f>
        <v>1670980</v>
      </c>
      <c r="M15" s="135"/>
      <c r="N15" s="181">
        <f>SUM(L15)</f>
        <v>1670980</v>
      </c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  <c r="IS15" s="136"/>
      <c r="IT15" s="136"/>
      <c r="IU15" s="136"/>
      <c r="IV15" s="136"/>
    </row>
    <row r="16" spans="1:256" ht="12.75">
      <c r="A16" s="132"/>
      <c r="B16" s="133" t="s">
        <v>545</v>
      </c>
      <c r="C16" s="137" t="s">
        <v>91</v>
      </c>
      <c r="D16" s="607">
        <v>276</v>
      </c>
      <c r="E16" s="605">
        <v>2550</v>
      </c>
      <c r="F16" s="606">
        <f>D16*E16</f>
        <v>703800</v>
      </c>
      <c r="G16" s="607"/>
      <c r="H16" s="608"/>
      <c r="I16" s="608"/>
      <c r="J16" s="605"/>
      <c r="K16" s="606"/>
      <c r="L16" s="609">
        <f>F16+K16</f>
        <v>703800</v>
      </c>
      <c r="M16" s="135"/>
      <c r="N16" s="181">
        <f>SUM(L16)</f>
        <v>703800</v>
      </c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  <c r="IR16" s="136"/>
      <c r="IS16" s="136"/>
      <c r="IT16" s="136"/>
      <c r="IU16" s="136"/>
      <c r="IV16" s="136"/>
    </row>
    <row r="17" spans="1:256" ht="25.5">
      <c r="A17" s="132"/>
      <c r="B17" s="133" t="s">
        <v>773</v>
      </c>
      <c r="C17" s="134" t="s">
        <v>871</v>
      </c>
      <c r="D17" s="607"/>
      <c r="E17" s="605"/>
      <c r="F17" s="606">
        <v>0</v>
      </c>
      <c r="G17" s="607"/>
      <c r="H17" s="608"/>
      <c r="I17" s="608"/>
      <c r="J17" s="605"/>
      <c r="K17" s="606"/>
      <c r="L17" s="609">
        <f>F17+K17</f>
        <v>0</v>
      </c>
      <c r="M17" s="135"/>
      <c r="N17" s="181">
        <f>SUM(L17)</f>
        <v>0</v>
      </c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  <c r="IS17" s="136"/>
      <c r="IT17" s="136"/>
      <c r="IU17" s="136"/>
      <c r="IV17" s="136"/>
    </row>
    <row r="18" spans="1:256" ht="12.75">
      <c r="A18" s="132"/>
      <c r="B18" s="133" t="s">
        <v>546</v>
      </c>
      <c r="C18" s="137" t="s">
        <v>774</v>
      </c>
      <c r="D18" s="607"/>
      <c r="E18" s="605"/>
      <c r="F18" s="606">
        <v>1681600</v>
      </c>
      <c r="G18" s="607"/>
      <c r="H18" s="608"/>
      <c r="I18" s="608"/>
      <c r="J18" s="605"/>
      <c r="K18" s="606"/>
      <c r="L18" s="609">
        <f>F18+K18</f>
        <v>1681600</v>
      </c>
      <c r="M18" s="135"/>
      <c r="N18" s="181">
        <f>SUM(L18)</f>
        <v>1681600</v>
      </c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  <c r="IS18" s="136"/>
      <c r="IT18" s="136"/>
      <c r="IU18" s="136"/>
      <c r="IV18" s="136"/>
    </row>
    <row r="19" spans="1:14" ht="25.5">
      <c r="A19" s="141" t="s">
        <v>482</v>
      </c>
      <c r="B19" s="148"/>
      <c r="C19" s="143" t="s">
        <v>115</v>
      </c>
      <c r="D19" s="615"/>
      <c r="E19" s="616"/>
      <c r="F19" s="146"/>
      <c r="G19" s="615"/>
      <c r="H19" s="617"/>
      <c r="I19" s="617"/>
      <c r="J19" s="616"/>
      <c r="K19" s="146">
        <f>K20+K23+K24+K25</f>
        <v>113053183.33333333</v>
      </c>
      <c r="L19" s="164">
        <f>F19+K19</f>
        <v>113053183.33333333</v>
      </c>
      <c r="M19" s="31"/>
      <c r="N19" s="165">
        <f>SUM(N23:N25,+N20)</f>
        <v>113053183.33333334</v>
      </c>
    </row>
    <row r="20" spans="1:256" ht="25.5">
      <c r="A20" s="140"/>
      <c r="B20" s="133" t="s">
        <v>484</v>
      </c>
      <c r="C20" s="134" t="s">
        <v>116</v>
      </c>
      <c r="D20" s="607"/>
      <c r="E20" s="605"/>
      <c r="F20" s="606"/>
      <c r="G20" s="607"/>
      <c r="H20" s="608"/>
      <c r="I20" s="608"/>
      <c r="J20" s="605"/>
      <c r="K20" s="606">
        <f>SUM(K21:K22)</f>
        <v>90264650</v>
      </c>
      <c r="L20" s="609">
        <f>SUM(K20,F20)</f>
        <v>90264650</v>
      </c>
      <c r="M20" s="135"/>
      <c r="N20" s="181">
        <f>SUM(L21:L22)</f>
        <v>90264650</v>
      </c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  <c r="IQ20" s="136"/>
      <c r="IR20" s="136"/>
      <c r="IS20" s="136"/>
      <c r="IT20" s="136"/>
      <c r="IU20" s="136"/>
      <c r="IV20" s="136"/>
    </row>
    <row r="21" spans="1:14" ht="12.75">
      <c r="A21" s="30"/>
      <c r="B21" s="130" t="s">
        <v>775</v>
      </c>
      <c r="C21" s="131" t="s">
        <v>485</v>
      </c>
      <c r="D21" s="610"/>
      <c r="E21" s="611"/>
      <c r="F21" s="612"/>
      <c r="G21" s="618">
        <v>15.4</v>
      </c>
      <c r="H21" s="613">
        <v>4371500</v>
      </c>
      <c r="I21" s="619">
        <v>14.5</v>
      </c>
      <c r="J21" s="613">
        <v>4371500</v>
      </c>
      <c r="K21" s="612">
        <f>(G21*H21/12*8)+(I21*J21/12*4)</f>
        <v>66009650</v>
      </c>
      <c r="L21" s="614">
        <f aca="true" t="shared" si="1" ref="L21:L47">F21+K21</f>
        <v>66009650</v>
      </c>
      <c r="M21" s="31"/>
      <c r="N21" s="181"/>
    </row>
    <row r="22" spans="1:14" ht="25.5">
      <c r="A22" s="30"/>
      <c r="B22" s="130" t="s">
        <v>776</v>
      </c>
      <c r="C22" s="169" t="s">
        <v>602</v>
      </c>
      <c r="D22" s="610"/>
      <c r="E22" s="611"/>
      <c r="F22" s="612"/>
      <c r="G22" s="610">
        <v>11</v>
      </c>
      <c r="H22" s="613">
        <v>2205000</v>
      </c>
      <c r="I22" s="613">
        <v>11</v>
      </c>
      <c r="J22" s="611">
        <v>2205000</v>
      </c>
      <c r="K22" s="612">
        <f>(G22*H22/12*8)+(I22*J22/12*4)</f>
        <v>24255000</v>
      </c>
      <c r="L22" s="614">
        <f t="shared" si="1"/>
        <v>24255000</v>
      </c>
      <c r="M22" s="31"/>
      <c r="N22" s="181"/>
    </row>
    <row r="23" spans="1:256" ht="12.75">
      <c r="A23" s="132"/>
      <c r="B23" s="133" t="s">
        <v>486</v>
      </c>
      <c r="C23" s="137" t="s">
        <v>487</v>
      </c>
      <c r="D23" s="620"/>
      <c r="E23" s="621"/>
      <c r="F23" s="606"/>
      <c r="G23" s="622">
        <v>175</v>
      </c>
      <c r="H23" s="608">
        <v>97400</v>
      </c>
      <c r="I23" s="623">
        <v>165</v>
      </c>
      <c r="J23" s="605">
        <v>97400</v>
      </c>
      <c r="K23" s="606">
        <f>(G23*H23/12*8)+(I23*J23/12*4)</f>
        <v>16720333.333333334</v>
      </c>
      <c r="L23" s="609">
        <f t="shared" si="1"/>
        <v>16720333.333333334</v>
      </c>
      <c r="M23" s="135"/>
      <c r="N23" s="181">
        <f>SUM(L23)</f>
        <v>16720333.333333334</v>
      </c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  <c r="IS23" s="136"/>
      <c r="IT23" s="136"/>
      <c r="IU23" s="136"/>
      <c r="IV23" s="136"/>
    </row>
    <row r="24" spans="1:256" ht="12.75">
      <c r="A24" s="132"/>
      <c r="B24" s="133" t="s">
        <v>650</v>
      </c>
      <c r="C24" s="137" t="s">
        <v>651</v>
      </c>
      <c r="D24" s="624"/>
      <c r="E24" s="625"/>
      <c r="F24" s="606"/>
      <c r="G24" s="622"/>
      <c r="H24" s="608"/>
      <c r="I24" s="623"/>
      <c r="J24" s="605"/>
      <c r="K24" s="606">
        <v>0</v>
      </c>
      <c r="L24" s="609">
        <f>F24+K24</f>
        <v>0</v>
      </c>
      <c r="M24" s="135"/>
      <c r="N24" s="181">
        <f>SUM(L24)</f>
        <v>0</v>
      </c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6"/>
      <c r="IT24" s="136"/>
      <c r="IU24" s="136"/>
      <c r="IV24" s="136"/>
    </row>
    <row r="25" spans="1:256" ht="25.5">
      <c r="A25" s="132"/>
      <c r="B25" s="133" t="s">
        <v>547</v>
      </c>
      <c r="C25" s="134" t="s">
        <v>548</v>
      </c>
      <c r="D25" s="620"/>
      <c r="E25" s="621"/>
      <c r="F25" s="606"/>
      <c r="G25" s="622"/>
      <c r="H25" s="608"/>
      <c r="I25" s="623"/>
      <c r="J25" s="605"/>
      <c r="K25" s="606">
        <f>SUM(K26:K29)</f>
        <v>6068200</v>
      </c>
      <c r="L25" s="609">
        <f>F25+K25</f>
        <v>6068200</v>
      </c>
      <c r="M25" s="135"/>
      <c r="N25" s="181">
        <f>SUM(L26:L29)</f>
        <v>6068200</v>
      </c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6"/>
      <c r="IT25" s="136"/>
      <c r="IU25" s="136"/>
      <c r="IV25" s="136"/>
    </row>
    <row r="26" spans="1:14" ht="25.5">
      <c r="A26" s="30"/>
      <c r="B26" s="130" t="s">
        <v>652</v>
      </c>
      <c r="C26" s="169" t="s">
        <v>872</v>
      </c>
      <c r="D26" s="610"/>
      <c r="E26" s="611"/>
      <c r="F26" s="612"/>
      <c r="G26" s="610">
        <v>8</v>
      </c>
      <c r="H26" s="613">
        <v>396700</v>
      </c>
      <c r="I26" s="613"/>
      <c r="J26" s="611"/>
      <c r="K26" s="612">
        <f>G26*H26</f>
        <v>3173600</v>
      </c>
      <c r="L26" s="614">
        <f>SUM(K26)</f>
        <v>3173600</v>
      </c>
      <c r="M26" s="31"/>
      <c r="N26" s="181"/>
    </row>
    <row r="27" spans="1:14" ht="38.25">
      <c r="A27" s="30"/>
      <c r="B27" s="130"/>
      <c r="C27" s="169" t="s">
        <v>873</v>
      </c>
      <c r="D27" s="610"/>
      <c r="E27" s="611"/>
      <c r="F27" s="612"/>
      <c r="G27" s="610">
        <v>0</v>
      </c>
      <c r="H27" s="613">
        <v>363642</v>
      </c>
      <c r="I27" s="613"/>
      <c r="J27" s="611"/>
      <c r="K27" s="612">
        <f>G27*H27</f>
        <v>0</v>
      </c>
      <c r="L27" s="614">
        <f>SUM(K27)</f>
        <v>0</v>
      </c>
      <c r="M27" s="31"/>
      <c r="N27" s="181"/>
    </row>
    <row r="28" spans="1:14" ht="25.5">
      <c r="A28" s="30"/>
      <c r="B28" s="130" t="s">
        <v>653</v>
      </c>
      <c r="C28" s="169" t="s">
        <v>874</v>
      </c>
      <c r="D28" s="610"/>
      <c r="E28" s="611"/>
      <c r="F28" s="612"/>
      <c r="G28" s="610">
        <v>2</v>
      </c>
      <c r="H28" s="613">
        <v>1447300</v>
      </c>
      <c r="I28" s="613"/>
      <c r="J28" s="611"/>
      <c r="K28" s="612">
        <f>G28*H28</f>
        <v>2894600</v>
      </c>
      <c r="L28" s="614">
        <f>SUM(K28)</f>
        <v>2894600</v>
      </c>
      <c r="M28" s="31"/>
      <c r="N28" s="181"/>
    </row>
    <row r="29" spans="1:14" ht="38.25">
      <c r="A29" s="30"/>
      <c r="B29" s="130"/>
      <c r="C29" s="169" t="s">
        <v>875</v>
      </c>
      <c r="D29" s="610"/>
      <c r="E29" s="611"/>
      <c r="F29" s="612"/>
      <c r="G29" s="610">
        <v>0</v>
      </c>
      <c r="H29" s="613">
        <v>1326692</v>
      </c>
      <c r="I29" s="613"/>
      <c r="J29" s="611"/>
      <c r="K29" s="612">
        <f>G29*H29</f>
        <v>0</v>
      </c>
      <c r="L29" s="614">
        <f>SUM(K29)</f>
        <v>0</v>
      </c>
      <c r="M29" s="31"/>
      <c r="N29" s="181"/>
    </row>
    <row r="30" spans="1:256" ht="25.5">
      <c r="A30" s="141" t="s">
        <v>488</v>
      </c>
      <c r="B30" s="149"/>
      <c r="C30" s="143" t="s">
        <v>117</v>
      </c>
      <c r="D30" s="144"/>
      <c r="E30" s="145"/>
      <c r="F30" s="146">
        <f>SUM(F31:F33,F37,F41)</f>
        <v>122626901</v>
      </c>
      <c r="G30" s="626"/>
      <c r="H30" s="147"/>
      <c r="I30" s="627"/>
      <c r="J30" s="145"/>
      <c r="K30" s="146">
        <f>SUM(K31:K33,K37,K40,K41)</f>
        <v>40731579</v>
      </c>
      <c r="L30" s="146">
        <f>SUM(L31:L33,L37,L41)</f>
        <v>163358480</v>
      </c>
      <c r="M30" s="135"/>
      <c r="N30" s="165">
        <f>SUM(N32:N44)</f>
        <v>163358480</v>
      </c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  <c r="IS30" s="136"/>
      <c r="IT30" s="136"/>
      <c r="IU30" s="136"/>
      <c r="IV30" s="136"/>
    </row>
    <row r="31" spans="1:256" ht="12.75">
      <c r="A31" s="132"/>
      <c r="B31" s="133" t="s">
        <v>489</v>
      </c>
      <c r="C31" s="137" t="s">
        <v>876</v>
      </c>
      <c r="D31" s="620"/>
      <c r="E31" s="621"/>
      <c r="F31" s="606"/>
      <c r="G31" s="622"/>
      <c r="H31" s="608"/>
      <c r="I31" s="623"/>
      <c r="J31" s="605"/>
      <c r="K31" s="606"/>
      <c r="L31" s="609">
        <f t="shared" si="1"/>
        <v>0</v>
      </c>
      <c r="M31" s="135"/>
      <c r="N31" s="181">
        <f>SUM(L31)</f>
        <v>0</v>
      </c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36"/>
    </row>
    <row r="32" spans="1:256" ht="12.75">
      <c r="A32" s="132"/>
      <c r="B32" s="133" t="s">
        <v>490</v>
      </c>
      <c r="C32" s="137" t="s">
        <v>1033</v>
      </c>
      <c r="D32" s="620"/>
      <c r="E32" s="621"/>
      <c r="F32" s="606">
        <v>49762591</v>
      </c>
      <c r="G32" s="622"/>
      <c r="H32" s="608"/>
      <c r="I32" s="623"/>
      <c r="J32" s="605"/>
      <c r="K32" s="606"/>
      <c r="L32" s="609">
        <f t="shared" si="1"/>
        <v>49762591</v>
      </c>
      <c r="M32" s="135"/>
      <c r="N32" s="181">
        <f>SUM(L32)</f>
        <v>49762591</v>
      </c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  <c r="IT32" s="136"/>
      <c r="IU32" s="136"/>
      <c r="IV32" s="136"/>
    </row>
    <row r="33" spans="1:256" ht="12.75">
      <c r="A33" s="132"/>
      <c r="B33" s="133" t="s">
        <v>491</v>
      </c>
      <c r="C33" s="137" t="s">
        <v>492</v>
      </c>
      <c r="D33" s="620"/>
      <c r="E33" s="621"/>
      <c r="F33" s="606">
        <f>SUM(F34:F35)</f>
        <v>0</v>
      </c>
      <c r="G33" s="622"/>
      <c r="H33" s="608"/>
      <c r="I33" s="623"/>
      <c r="J33" s="605"/>
      <c r="K33" s="606">
        <f>SUM(K34:K36)</f>
        <v>29187579</v>
      </c>
      <c r="L33" s="609">
        <f t="shared" si="1"/>
        <v>29187579</v>
      </c>
      <c r="M33" s="135"/>
      <c r="N33" s="181">
        <f>SUM(L34:L35)</f>
        <v>21890000</v>
      </c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  <c r="IT33" s="136"/>
      <c r="IU33" s="136"/>
      <c r="IV33" s="136"/>
    </row>
    <row r="34" spans="1:14" ht="12.75">
      <c r="A34" s="30"/>
      <c r="B34" s="130" t="s">
        <v>603</v>
      </c>
      <c r="C34" s="131" t="s">
        <v>604</v>
      </c>
      <c r="D34" s="610"/>
      <c r="E34" s="611"/>
      <c r="F34" s="612"/>
      <c r="G34" s="628"/>
      <c r="H34" s="613"/>
      <c r="I34" s="629"/>
      <c r="J34" s="611"/>
      <c r="K34" s="612">
        <v>3740000</v>
      </c>
      <c r="L34" s="614">
        <f t="shared" si="1"/>
        <v>3740000</v>
      </c>
      <c r="M34" s="31"/>
      <c r="N34" s="31"/>
    </row>
    <row r="35" spans="1:14" ht="12.75">
      <c r="A35" s="30"/>
      <c r="B35" s="130" t="s">
        <v>606</v>
      </c>
      <c r="C35" s="131" t="s">
        <v>605</v>
      </c>
      <c r="D35" s="610"/>
      <c r="E35" s="611"/>
      <c r="F35" s="612"/>
      <c r="G35" s="628"/>
      <c r="H35" s="613"/>
      <c r="I35" s="629"/>
      <c r="J35" s="611"/>
      <c r="K35" s="612">
        <v>18150000</v>
      </c>
      <c r="L35" s="614">
        <f t="shared" si="1"/>
        <v>18150000</v>
      </c>
      <c r="M35" s="31"/>
      <c r="N35" s="31"/>
    </row>
    <row r="36" spans="1:14" ht="12.75">
      <c r="A36" s="30"/>
      <c r="B36" s="130" t="s">
        <v>886</v>
      </c>
      <c r="C36" s="131" t="s">
        <v>887</v>
      </c>
      <c r="D36" s="610"/>
      <c r="E36" s="611"/>
      <c r="F36" s="612"/>
      <c r="G36" s="628"/>
      <c r="H36" s="613"/>
      <c r="I36" s="629"/>
      <c r="J36" s="611"/>
      <c r="K36" s="612">
        <v>7297579</v>
      </c>
      <c r="L36" s="614">
        <f t="shared" si="1"/>
        <v>7297579</v>
      </c>
      <c r="M36" s="31"/>
      <c r="N36" s="31">
        <f>SUM(L36)</f>
        <v>7297579</v>
      </c>
    </row>
    <row r="37" spans="1:256" ht="12.75">
      <c r="A37" s="132"/>
      <c r="B37" s="133" t="s">
        <v>118</v>
      </c>
      <c r="C37" s="137" t="s">
        <v>781</v>
      </c>
      <c r="D37" s="620"/>
      <c r="E37" s="621"/>
      <c r="F37" s="606">
        <f>SUM(F38:F40)</f>
        <v>72864310</v>
      </c>
      <c r="G37" s="622"/>
      <c r="H37" s="608"/>
      <c r="I37" s="623"/>
      <c r="J37" s="605"/>
      <c r="K37" s="606">
        <f>SUM(K38:K40)</f>
        <v>0</v>
      </c>
      <c r="L37" s="609">
        <f t="shared" si="1"/>
        <v>72864310</v>
      </c>
      <c r="M37" s="135"/>
      <c r="N37" s="181">
        <f>SUM(L38:L40)</f>
        <v>72864310</v>
      </c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  <c r="IV37" s="136"/>
    </row>
    <row r="38" spans="1:14" ht="12.75">
      <c r="A38" s="30"/>
      <c r="B38" s="130" t="s">
        <v>877</v>
      </c>
      <c r="C38" s="169" t="s">
        <v>782</v>
      </c>
      <c r="D38" s="630">
        <v>10.69</v>
      </c>
      <c r="E38" s="631">
        <v>1900000</v>
      </c>
      <c r="F38" s="612">
        <f>E38*D38</f>
        <v>20311000</v>
      </c>
      <c r="G38" s="618"/>
      <c r="H38" s="613"/>
      <c r="I38" s="619"/>
      <c r="J38" s="611"/>
      <c r="K38" s="612"/>
      <c r="L38" s="632">
        <f t="shared" si="1"/>
        <v>20311000</v>
      </c>
      <c r="M38" s="31"/>
      <c r="N38" s="181"/>
    </row>
    <row r="39" spans="1:14" ht="12.75">
      <c r="A39" s="30"/>
      <c r="B39" s="130" t="s">
        <v>878</v>
      </c>
      <c r="C39" s="169" t="s">
        <v>120</v>
      </c>
      <c r="D39" s="630"/>
      <c r="E39" s="611"/>
      <c r="F39" s="837">
        <v>50774910</v>
      </c>
      <c r="G39" s="610"/>
      <c r="H39" s="613"/>
      <c r="I39" s="613"/>
      <c r="J39" s="611"/>
      <c r="K39" s="612"/>
      <c r="L39" s="632">
        <f>F39+K39</f>
        <v>50774910</v>
      </c>
      <c r="M39" s="31"/>
      <c r="N39" s="31"/>
    </row>
    <row r="40" spans="1:256" ht="12.75">
      <c r="A40" s="132"/>
      <c r="B40" s="130" t="s">
        <v>119</v>
      </c>
      <c r="C40" s="169" t="s">
        <v>783</v>
      </c>
      <c r="D40" s="832">
        <v>3120</v>
      </c>
      <c r="E40" s="833">
        <v>570</v>
      </c>
      <c r="F40" s="834">
        <f>D40*E40</f>
        <v>1778400</v>
      </c>
      <c r="G40" s="622"/>
      <c r="H40" s="608"/>
      <c r="I40" s="623"/>
      <c r="J40" s="605"/>
      <c r="K40" s="606"/>
      <c r="L40" s="632">
        <f t="shared" si="1"/>
        <v>1778400</v>
      </c>
      <c r="M40" s="135"/>
      <c r="N40" s="181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36"/>
    </row>
    <row r="41" spans="1:256" ht="12.75">
      <c r="A41" s="132"/>
      <c r="B41" s="133" t="s">
        <v>879</v>
      </c>
      <c r="C41" s="137" t="s">
        <v>777</v>
      </c>
      <c r="D41" s="620"/>
      <c r="E41" s="621"/>
      <c r="F41" s="606"/>
      <c r="G41" s="622"/>
      <c r="H41" s="608"/>
      <c r="I41" s="623"/>
      <c r="J41" s="605"/>
      <c r="K41" s="606">
        <f>SUM(K42:K44)</f>
        <v>11544000</v>
      </c>
      <c r="L41" s="609">
        <f t="shared" si="1"/>
        <v>11544000</v>
      </c>
      <c r="M41" s="135"/>
      <c r="N41" s="181">
        <f>SUM(L42:L43)</f>
        <v>10405000</v>
      </c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36"/>
    </row>
    <row r="42" spans="1:14" ht="12.75">
      <c r="A42" s="30"/>
      <c r="B42" s="130" t="s">
        <v>880</v>
      </c>
      <c r="C42" s="169" t="s">
        <v>778</v>
      </c>
      <c r="D42" s="630"/>
      <c r="E42" s="611"/>
      <c r="F42" s="612"/>
      <c r="G42" s="610">
        <v>1</v>
      </c>
      <c r="H42" s="613">
        <v>4419000</v>
      </c>
      <c r="I42" s="613"/>
      <c r="J42" s="611"/>
      <c r="K42" s="612">
        <f>G42*H42</f>
        <v>4419000</v>
      </c>
      <c r="L42" s="632">
        <f t="shared" si="1"/>
        <v>4419000</v>
      </c>
      <c r="M42" s="31"/>
      <c r="N42" s="31"/>
    </row>
    <row r="43" spans="1:14" ht="25.5">
      <c r="A43" s="30"/>
      <c r="B43" s="130" t="s">
        <v>881</v>
      </c>
      <c r="C43" s="169" t="s">
        <v>779</v>
      </c>
      <c r="D43" s="630"/>
      <c r="E43" s="611"/>
      <c r="F43" s="612"/>
      <c r="G43" s="610">
        <v>2</v>
      </c>
      <c r="H43" s="613">
        <v>2993000</v>
      </c>
      <c r="I43" s="613"/>
      <c r="J43" s="611"/>
      <c r="K43" s="612">
        <f>G43*H43</f>
        <v>5986000</v>
      </c>
      <c r="L43" s="632">
        <f t="shared" si="1"/>
        <v>5986000</v>
      </c>
      <c r="M43" s="31"/>
      <c r="N43" s="31"/>
    </row>
    <row r="44" spans="1:14" ht="12.75">
      <c r="A44" s="30"/>
      <c r="B44" s="130" t="s">
        <v>882</v>
      </c>
      <c r="C44" s="169" t="s">
        <v>780</v>
      </c>
      <c r="D44" s="630"/>
      <c r="E44" s="611"/>
      <c r="F44" s="612"/>
      <c r="G44" s="610"/>
      <c r="H44" s="613"/>
      <c r="I44" s="613"/>
      <c r="J44" s="611"/>
      <c r="K44" s="837">
        <v>1139000</v>
      </c>
      <c r="L44" s="632">
        <f t="shared" si="1"/>
        <v>1139000</v>
      </c>
      <c r="M44" s="31"/>
      <c r="N44" s="31">
        <f>SUM(L44)</f>
        <v>1139000</v>
      </c>
    </row>
    <row r="45" spans="1:256" ht="12.75">
      <c r="A45" s="141" t="s">
        <v>494</v>
      </c>
      <c r="B45" s="149"/>
      <c r="C45" s="143" t="s">
        <v>479</v>
      </c>
      <c r="D45" s="144"/>
      <c r="E45" s="145"/>
      <c r="F45" s="146">
        <f>SUM(F47)</f>
        <v>10507640</v>
      </c>
      <c r="G45" s="626"/>
      <c r="H45" s="147"/>
      <c r="I45" s="627"/>
      <c r="J45" s="145"/>
      <c r="K45" s="146"/>
      <c r="L45" s="164">
        <f t="shared" si="1"/>
        <v>10507640</v>
      </c>
      <c r="M45" s="135"/>
      <c r="N45" s="165">
        <f>SUM(L47)</f>
        <v>10507640</v>
      </c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6"/>
      <c r="HH45" s="136"/>
      <c r="HI45" s="136"/>
      <c r="HJ45" s="136"/>
      <c r="HK45" s="136"/>
      <c r="HL45" s="136"/>
      <c r="HM45" s="136"/>
      <c r="HN45" s="136"/>
      <c r="HO45" s="136"/>
      <c r="HP45" s="136"/>
      <c r="HQ45" s="136"/>
      <c r="HR45" s="136"/>
      <c r="HS45" s="136"/>
      <c r="HT45" s="136"/>
      <c r="HU45" s="136"/>
      <c r="HV45" s="136"/>
      <c r="HW45" s="136"/>
      <c r="HX45" s="136"/>
      <c r="HY45" s="136"/>
      <c r="HZ45" s="136"/>
      <c r="IA45" s="136"/>
      <c r="IB45" s="136"/>
      <c r="IC45" s="136"/>
      <c r="ID45" s="136"/>
      <c r="IE45" s="136"/>
      <c r="IF45" s="136"/>
      <c r="IG45" s="136"/>
      <c r="IH45" s="136"/>
      <c r="II45" s="136"/>
      <c r="IJ45" s="136"/>
      <c r="IK45" s="136"/>
      <c r="IL45" s="136"/>
      <c r="IM45" s="136"/>
      <c r="IN45" s="136"/>
      <c r="IO45" s="136"/>
      <c r="IP45" s="136"/>
      <c r="IQ45" s="136"/>
      <c r="IR45" s="136"/>
      <c r="IS45" s="136"/>
      <c r="IT45" s="136"/>
      <c r="IU45" s="136"/>
      <c r="IV45" s="136"/>
    </row>
    <row r="46" spans="1:256" ht="12.75">
      <c r="A46" s="132"/>
      <c r="B46" s="133" t="s">
        <v>550</v>
      </c>
      <c r="C46" s="137" t="s">
        <v>551</v>
      </c>
      <c r="D46" s="620"/>
      <c r="E46" s="621"/>
      <c r="F46" s="606"/>
      <c r="G46" s="622"/>
      <c r="H46" s="608"/>
      <c r="I46" s="623"/>
      <c r="J46" s="605"/>
      <c r="K46" s="606"/>
      <c r="L46" s="609"/>
      <c r="M46" s="135"/>
      <c r="N46" s="181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 s="136"/>
      <c r="GO46" s="136"/>
      <c r="GP46" s="136"/>
      <c r="GQ46" s="136"/>
      <c r="GR46" s="136"/>
      <c r="GS46" s="136"/>
      <c r="GT46" s="136"/>
      <c r="GU46" s="136"/>
      <c r="GV46" s="136"/>
      <c r="GW46" s="136"/>
      <c r="GX46" s="136"/>
      <c r="GY46" s="136"/>
      <c r="GZ46" s="136"/>
      <c r="HA46" s="136"/>
      <c r="HB46" s="136"/>
      <c r="HC46" s="136"/>
      <c r="HD46" s="136"/>
      <c r="HE46" s="136"/>
      <c r="HF46" s="136"/>
      <c r="HG46" s="136"/>
      <c r="HH46" s="136"/>
      <c r="HI46" s="136"/>
      <c r="HJ46" s="136"/>
      <c r="HK46" s="136"/>
      <c r="HL46" s="136"/>
      <c r="HM46" s="136"/>
      <c r="HN46" s="136"/>
      <c r="HO46" s="136"/>
      <c r="HP46" s="136"/>
      <c r="HQ46" s="136"/>
      <c r="HR46" s="136"/>
      <c r="HS46" s="136"/>
      <c r="HT46" s="136"/>
      <c r="HU46" s="136"/>
      <c r="HV46" s="136"/>
      <c r="HW46" s="136"/>
      <c r="HX46" s="136"/>
      <c r="HY46" s="136"/>
      <c r="HZ46" s="136"/>
      <c r="IA46" s="136"/>
      <c r="IB46" s="136"/>
      <c r="IC46" s="136"/>
      <c r="ID46" s="136"/>
      <c r="IE46" s="136"/>
      <c r="IF46" s="136"/>
      <c r="IG46" s="136"/>
      <c r="IH46" s="136"/>
      <c r="II46" s="136"/>
      <c r="IJ46" s="136"/>
      <c r="IK46" s="136"/>
      <c r="IL46" s="136"/>
      <c r="IM46" s="136"/>
      <c r="IN46" s="136"/>
      <c r="IO46" s="136"/>
      <c r="IP46" s="136"/>
      <c r="IQ46" s="136"/>
      <c r="IR46" s="136"/>
      <c r="IS46" s="136"/>
      <c r="IT46" s="136"/>
      <c r="IU46" s="136"/>
      <c r="IV46" s="136"/>
    </row>
    <row r="47" spans="1:14" ht="25.5">
      <c r="A47" s="30"/>
      <c r="B47" s="130" t="s">
        <v>549</v>
      </c>
      <c r="C47" s="169" t="s">
        <v>121</v>
      </c>
      <c r="D47" s="610">
        <v>8684</v>
      </c>
      <c r="E47" s="611">
        <v>1210</v>
      </c>
      <c r="F47" s="612">
        <f>D47*E47</f>
        <v>10507640</v>
      </c>
      <c r="G47" s="633"/>
      <c r="H47" s="634"/>
      <c r="I47" s="629"/>
      <c r="J47" s="631"/>
      <c r="K47" s="612"/>
      <c r="L47" s="614">
        <f t="shared" si="1"/>
        <v>10507640</v>
      </c>
      <c r="M47" s="31"/>
      <c r="N47" s="31"/>
    </row>
    <row r="48" spans="1:256" ht="12.75">
      <c r="A48" s="132"/>
      <c r="B48" s="133" t="s">
        <v>883</v>
      </c>
      <c r="C48" s="137" t="s">
        <v>884</v>
      </c>
      <c r="D48" s="620"/>
      <c r="E48" s="621"/>
      <c r="F48" s="606"/>
      <c r="G48" s="622"/>
      <c r="H48" s="608"/>
      <c r="I48" s="623"/>
      <c r="J48" s="605"/>
      <c r="K48" s="606"/>
      <c r="L48" s="609"/>
      <c r="M48" s="135"/>
      <c r="N48" s="181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  <c r="IB48" s="136"/>
      <c r="IC48" s="136"/>
      <c r="ID48" s="13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  <c r="IQ48" s="136"/>
      <c r="IR48" s="136"/>
      <c r="IS48" s="136"/>
      <c r="IT48" s="136"/>
      <c r="IU48" s="136"/>
      <c r="IV48" s="136"/>
    </row>
    <row r="49" spans="1:256" ht="15">
      <c r="A49" s="1246" t="s">
        <v>497</v>
      </c>
      <c r="B49" s="1246"/>
      <c r="C49" s="1247"/>
      <c r="D49" s="635" t="s">
        <v>471</v>
      </c>
      <c r="E49" s="636" t="s">
        <v>471</v>
      </c>
      <c r="F49" s="637">
        <f>SUM(F45,F30,F19,F8)</f>
        <v>320540041</v>
      </c>
      <c r="G49" s="635" t="s">
        <v>471</v>
      </c>
      <c r="H49" s="638" t="s">
        <v>471</v>
      </c>
      <c r="I49" s="638" t="s">
        <v>471</v>
      </c>
      <c r="J49" s="636" t="s">
        <v>471</v>
      </c>
      <c r="K49" s="637">
        <f>SUM(K45,K30,K19,K8)</f>
        <v>153784762.3333333</v>
      </c>
      <c r="L49" s="639">
        <f>SUM(L45,L30,L19,L8)</f>
        <v>474324803.3333333</v>
      </c>
      <c r="M49" s="33"/>
      <c r="N49" s="34">
        <f>SUM(N45,N30,N19,N8)</f>
        <v>474324803.3333334</v>
      </c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4:12" ht="12.75">
      <c r="D50" s="640"/>
      <c r="E50" s="640"/>
      <c r="F50" s="640"/>
      <c r="G50" s="640"/>
      <c r="H50" s="640"/>
      <c r="I50" s="640"/>
      <c r="J50" s="640"/>
      <c r="K50" s="640"/>
      <c r="L50" s="640"/>
    </row>
    <row r="51" spans="1:256" ht="16.5">
      <c r="A51" s="1248" t="s">
        <v>122</v>
      </c>
      <c r="B51" s="1248"/>
      <c r="C51" s="1249"/>
      <c r="D51" s="641" t="s">
        <v>471</v>
      </c>
      <c r="E51" s="642" t="s">
        <v>471</v>
      </c>
      <c r="F51" s="643">
        <f>SUM(F49)</f>
        <v>320540041</v>
      </c>
      <c r="G51" s="641" t="s">
        <v>471</v>
      </c>
      <c r="H51" s="644" t="s">
        <v>471</v>
      </c>
      <c r="I51" s="644" t="s">
        <v>471</v>
      </c>
      <c r="J51" s="642" t="s">
        <v>471</v>
      </c>
      <c r="K51" s="643">
        <f>SUM(K49)</f>
        <v>153784762.3333333</v>
      </c>
      <c r="L51" s="645">
        <f>SUM(K51+F51)</f>
        <v>474324803.3333333</v>
      </c>
      <c r="M51" s="33"/>
      <c r="N51" s="34">
        <f>SUM(N49)</f>
        <v>474324803.3333334</v>
      </c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</row>
  </sheetData>
  <sheetProtection/>
  <mergeCells count="10">
    <mergeCell ref="A49:C49"/>
    <mergeCell ref="A51:C51"/>
    <mergeCell ref="L5:L6"/>
    <mergeCell ref="A6:B6"/>
    <mergeCell ref="A7:B7"/>
    <mergeCell ref="A2:K2"/>
    <mergeCell ref="A3:K3"/>
    <mergeCell ref="A5:C5"/>
    <mergeCell ref="D5:F5"/>
    <mergeCell ref="G5:K5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81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625" style="721" customWidth="1"/>
    <col min="2" max="2" width="36.125" style="191" customWidth="1"/>
    <col min="3" max="3" width="15.00390625" style="191" customWidth="1"/>
    <col min="4" max="4" width="11.125" style="191" bestFit="1" customWidth="1"/>
    <col min="5" max="5" width="11.875" style="191" customWidth="1"/>
    <col min="6" max="6" width="11.75390625" style="191" customWidth="1"/>
    <col min="7" max="8" width="11.25390625" style="191" customWidth="1"/>
    <col min="9" max="9" width="11.75390625" style="191" customWidth="1"/>
    <col min="10" max="11" width="15.375" style="191" customWidth="1"/>
    <col min="12" max="12" width="16.625" style="191" customWidth="1"/>
  </cols>
  <sheetData>
    <row r="1" spans="2:12" ht="15">
      <c r="B1" s="1265" t="s">
        <v>1074</v>
      </c>
      <c r="C1" s="1265"/>
      <c r="D1" s="1265"/>
      <c r="E1" s="1265"/>
      <c r="F1" s="1265"/>
      <c r="G1" s="1265"/>
      <c r="H1" s="1265"/>
      <c r="I1" s="1265"/>
      <c r="J1" s="1265"/>
      <c r="K1" s="1265"/>
      <c r="L1" s="1265"/>
    </row>
    <row r="4" spans="2:12" ht="41.25" customHeight="1">
      <c r="B4" s="1266" t="s">
        <v>993</v>
      </c>
      <c r="C4" s="1266"/>
      <c r="D4" s="1266"/>
      <c r="E4" s="1266"/>
      <c r="F4" s="1266"/>
      <c r="G4" s="1266"/>
      <c r="H4" s="1266"/>
      <c r="I4" s="1266"/>
      <c r="J4" s="1266"/>
      <c r="K4" s="1266"/>
      <c r="L4" s="1266"/>
    </row>
    <row r="7" ht="13.5" thickBot="1"/>
    <row r="8" spans="1:12" ht="12.75" customHeight="1">
      <c r="A8" s="1267" t="s">
        <v>448</v>
      </c>
      <c r="B8" s="1270" t="s">
        <v>369</v>
      </c>
      <c r="C8" s="1273" t="s">
        <v>838</v>
      </c>
      <c r="D8" s="1274"/>
      <c r="E8" s="1274"/>
      <c r="F8" s="1274"/>
      <c r="G8" s="1274"/>
      <c r="H8" s="1275"/>
      <c r="I8" s="1275"/>
      <c r="J8" s="1276" t="s">
        <v>1007</v>
      </c>
      <c r="K8" s="1276" t="s">
        <v>1008</v>
      </c>
      <c r="L8" s="1276" t="s">
        <v>1009</v>
      </c>
    </row>
    <row r="9" spans="1:12" ht="12.75">
      <c r="A9" s="1268"/>
      <c r="B9" s="1271"/>
      <c r="C9" s="1279" t="s">
        <v>437</v>
      </c>
      <c r="D9" s="1280" t="s">
        <v>839</v>
      </c>
      <c r="E9" s="1281"/>
      <c r="F9" s="1281"/>
      <c r="G9" s="1281"/>
      <c r="H9" s="1282"/>
      <c r="I9" s="1282"/>
      <c r="J9" s="1277"/>
      <c r="K9" s="1277"/>
      <c r="L9" s="1277"/>
    </row>
    <row r="10" spans="1:12" ht="42" customHeight="1">
      <c r="A10" s="1269"/>
      <c r="B10" s="1272"/>
      <c r="C10" s="1279"/>
      <c r="D10" s="723" t="s">
        <v>458</v>
      </c>
      <c r="E10" s="723" t="s">
        <v>459</v>
      </c>
      <c r="F10" s="723" t="s">
        <v>460</v>
      </c>
      <c r="G10" s="723" t="s">
        <v>461</v>
      </c>
      <c r="H10" s="724" t="s">
        <v>462</v>
      </c>
      <c r="I10" s="724" t="s">
        <v>463</v>
      </c>
      <c r="J10" s="1278"/>
      <c r="K10" s="1278"/>
      <c r="L10" s="1278"/>
    </row>
    <row r="11" spans="1:12" ht="13.5" thickBot="1">
      <c r="A11" s="722" t="s">
        <v>442</v>
      </c>
      <c r="B11" s="725" t="s">
        <v>443</v>
      </c>
      <c r="C11" s="726" t="s">
        <v>444</v>
      </c>
      <c r="D11" s="727" t="s">
        <v>445</v>
      </c>
      <c r="E11" s="728" t="s">
        <v>446</v>
      </c>
      <c r="F11" s="728" t="s">
        <v>447</v>
      </c>
      <c r="G11" s="728" t="s">
        <v>449</v>
      </c>
      <c r="H11" s="728" t="s">
        <v>450</v>
      </c>
      <c r="I11" s="728" t="s">
        <v>400</v>
      </c>
      <c r="J11" s="729" t="s">
        <v>401</v>
      </c>
      <c r="K11" s="729" t="s">
        <v>401</v>
      </c>
      <c r="L11" s="730" t="s">
        <v>402</v>
      </c>
    </row>
    <row r="12" spans="1:12" ht="19.5" thickBot="1" thickTop="1">
      <c r="A12" s="868">
        <v>1</v>
      </c>
      <c r="B12" s="1286" t="s">
        <v>87</v>
      </c>
      <c r="C12" s="1287"/>
      <c r="D12" s="1287"/>
      <c r="E12" s="1287"/>
      <c r="F12" s="1287"/>
      <c r="G12" s="1287"/>
      <c r="H12" s="1287"/>
      <c r="I12" s="1287"/>
      <c r="J12" s="1287"/>
      <c r="K12" s="1287"/>
      <c r="L12" s="1288"/>
    </row>
    <row r="13" spans="1:12" ht="16.5" thickBot="1" thickTop="1">
      <c r="A13" s="869">
        <v>2</v>
      </c>
      <c r="B13" s="1289" t="s">
        <v>994</v>
      </c>
      <c r="C13" s="1290"/>
      <c r="D13" s="1290"/>
      <c r="E13" s="1290"/>
      <c r="F13" s="1290"/>
      <c r="G13" s="1290"/>
      <c r="H13" s="1290"/>
      <c r="I13" s="1290"/>
      <c r="J13" s="1291"/>
      <c r="K13" s="1291"/>
      <c r="L13" s="870"/>
    </row>
    <row r="14" spans="1:12" ht="12.75">
      <c r="A14" s="731">
        <v>3</v>
      </c>
      <c r="B14" s="734" t="s">
        <v>840</v>
      </c>
      <c r="C14" s="735">
        <f>SUM(I14+G14+F14+E14+D14)</f>
        <v>0</v>
      </c>
      <c r="D14" s="736">
        <v>0</v>
      </c>
      <c r="E14" s="736">
        <v>0</v>
      </c>
      <c r="F14" s="736">
        <v>0</v>
      </c>
      <c r="G14" s="737"/>
      <c r="H14" s="737"/>
      <c r="I14" s="737"/>
      <c r="J14" s="738">
        <v>0</v>
      </c>
      <c r="K14" s="738">
        <v>0</v>
      </c>
      <c r="L14" s="1283"/>
    </row>
    <row r="15" spans="1:12" ht="13.5" thickBot="1">
      <c r="A15" s="733">
        <v>4</v>
      </c>
      <c r="B15" s="739" t="s">
        <v>841</v>
      </c>
      <c r="C15" s="740">
        <v>7000000</v>
      </c>
      <c r="D15" s="741">
        <v>7000000</v>
      </c>
      <c r="E15" s="742">
        <v>0</v>
      </c>
      <c r="F15" s="742">
        <v>0</v>
      </c>
      <c r="G15" s="743"/>
      <c r="H15" s="743"/>
      <c r="I15" s="743"/>
      <c r="J15" s="744">
        <v>257950</v>
      </c>
      <c r="K15" s="744">
        <v>0</v>
      </c>
      <c r="L15" s="1284"/>
    </row>
    <row r="16" spans="1:12" ht="13.5" thickBot="1">
      <c r="A16" s="733">
        <v>5</v>
      </c>
      <c r="B16" s="745" t="s">
        <v>842</v>
      </c>
      <c r="C16" s="746">
        <f>SUM(I16+G16+F16+E16+D16)</f>
        <v>7000000</v>
      </c>
      <c r="D16" s="747">
        <f>SUM(D14+D15)</f>
        <v>7000000</v>
      </c>
      <c r="E16" s="747">
        <f>SUM(E14+E15)</f>
        <v>0</v>
      </c>
      <c r="F16" s="747">
        <f>SUM(F14+F15)</f>
        <v>0</v>
      </c>
      <c r="G16" s="748"/>
      <c r="H16" s="749"/>
      <c r="I16" s="750"/>
      <c r="J16" s="751">
        <f>SUM(J14+J15)</f>
        <v>257950</v>
      </c>
      <c r="K16" s="751">
        <f>SUM(K14+K15)</f>
        <v>0</v>
      </c>
      <c r="L16" s="1292"/>
    </row>
    <row r="17" spans="1:12" ht="13.5" thickBot="1">
      <c r="A17" s="733"/>
      <c r="B17" s="1293"/>
      <c r="C17" s="1294"/>
      <c r="D17" s="1295"/>
      <c r="E17" s="1295"/>
      <c r="F17" s="1295"/>
      <c r="G17" s="1295"/>
      <c r="H17" s="1295"/>
      <c r="I17" s="1295"/>
      <c r="J17" s="1296"/>
      <c r="K17" s="1297"/>
      <c r="L17" s="732"/>
    </row>
    <row r="18" spans="1:12" ht="12.75">
      <c r="A18" s="752">
        <v>6</v>
      </c>
      <c r="B18" s="753" t="s">
        <v>843</v>
      </c>
      <c r="C18" s="754">
        <v>3150000</v>
      </c>
      <c r="D18" s="736">
        <v>3150000</v>
      </c>
      <c r="E18" s="755">
        <v>0</v>
      </c>
      <c r="F18" s="755">
        <v>0</v>
      </c>
      <c r="G18" s="737"/>
      <c r="H18" s="737"/>
      <c r="I18" s="737"/>
      <c r="J18" s="1283"/>
      <c r="K18" s="1283"/>
      <c r="L18" s="738">
        <v>0</v>
      </c>
    </row>
    <row r="19" spans="1:12" ht="13.5" thickBot="1">
      <c r="A19" s="752">
        <v>7</v>
      </c>
      <c r="B19" s="756" t="s">
        <v>844</v>
      </c>
      <c r="C19" s="757">
        <v>3850000</v>
      </c>
      <c r="D19" s="741">
        <f>3850000-257950</f>
        <v>3592050</v>
      </c>
      <c r="E19" s="741">
        <v>0</v>
      </c>
      <c r="F19" s="741">
        <v>257950</v>
      </c>
      <c r="G19" s="743"/>
      <c r="H19" s="743"/>
      <c r="I19" s="743"/>
      <c r="J19" s="1284"/>
      <c r="K19" s="1284"/>
      <c r="L19" s="744">
        <v>257950</v>
      </c>
    </row>
    <row r="20" spans="1:12" ht="13.5" thickBot="1">
      <c r="A20" s="758">
        <v>8</v>
      </c>
      <c r="B20" s="759" t="s">
        <v>378</v>
      </c>
      <c r="C20" s="760">
        <f>SUM(C18:C19)</f>
        <v>7000000</v>
      </c>
      <c r="D20" s="761">
        <f>SUM(D18:D19)</f>
        <v>6742050</v>
      </c>
      <c r="E20" s="761">
        <f>SUM(E18:E19)</f>
        <v>0</v>
      </c>
      <c r="F20" s="761">
        <f>SUM(F18:F19)</f>
        <v>257950</v>
      </c>
      <c r="G20" s="748"/>
      <c r="H20" s="749"/>
      <c r="I20" s="750"/>
      <c r="J20" s="1292"/>
      <c r="K20" s="1292"/>
      <c r="L20" s="762">
        <f>SUM(L18:L19)</f>
        <v>257950</v>
      </c>
    </row>
    <row r="21" spans="1:12" ht="14.25" thickBot="1" thickTop="1">
      <c r="A21" s="763"/>
      <c r="B21" s="1298"/>
      <c r="C21" s="1299"/>
      <c r="D21" s="1299"/>
      <c r="E21" s="1299"/>
      <c r="F21" s="1299"/>
      <c r="G21" s="1299"/>
      <c r="H21" s="1299"/>
      <c r="I21" s="1299"/>
      <c r="J21" s="1299"/>
      <c r="K21" s="1299"/>
      <c r="L21" s="1300"/>
    </row>
    <row r="22" spans="1:12" ht="30" customHeight="1" thickBot="1" thickTop="1">
      <c r="A22" s="869">
        <v>9</v>
      </c>
      <c r="B22" s="1304" t="s">
        <v>995</v>
      </c>
      <c r="C22" s="1305"/>
      <c r="D22" s="1305"/>
      <c r="E22" s="1305"/>
      <c r="F22" s="1305"/>
      <c r="G22" s="1305"/>
      <c r="H22" s="1305"/>
      <c r="I22" s="1305"/>
      <c r="J22" s="1306"/>
      <c r="K22" s="1306"/>
      <c r="L22" s="871"/>
    </row>
    <row r="23" spans="1:12" ht="12.75">
      <c r="A23" s="731">
        <v>10</v>
      </c>
      <c r="B23" s="734" t="s">
        <v>845</v>
      </c>
      <c r="C23" s="764">
        <v>0</v>
      </c>
      <c r="D23" s="765">
        <v>0</v>
      </c>
      <c r="E23" s="765">
        <v>0</v>
      </c>
      <c r="F23" s="765">
        <v>0</v>
      </c>
      <c r="G23" s="765">
        <v>0</v>
      </c>
      <c r="H23" s="765">
        <v>0</v>
      </c>
      <c r="I23" s="765">
        <v>0</v>
      </c>
      <c r="J23" s="738">
        <v>0</v>
      </c>
      <c r="K23" s="738">
        <v>0</v>
      </c>
      <c r="L23" s="1283"/>
    </row>
    <row r="24" spans="1:12" ht="13.5" thickBot="1">
      <c r="A24" s="766">
        <v>11</v>
      </c>
      <c r="B24" s="739" t="s">
        <v>841</v>
      </c>
      <c r="C24" s="767">
        <f>SUM(D24:I24)</f>
        <v>250634800</v>
      </c>
      <c r="D24" s="768">
        <v>0</v>
      </c>
      <c r="E24" s="742">
        <v>59135000</v>
      </c>
      <c r="F24" s="742">
        <v>52411853</v>
      </c>
      <c r="G24" s="742">
        <v>46362649</v>
      </c>
      <c r="H24" s="742">
        <v>46362649</v>
      </c>
      <c r="I24" s="742">
        <v>46362649</v>
      </c>
      <c r="J24" s="744">
        <f>5816143+11411381</f>
        <v>17227524</v>
      </c>
      <c r="K24" s="744">
        <v>52411853</v>
      </c>
      <c r="L24" s="1284"/>
    </row>
    <row r="25" spans="1:12" ht="13.5" thickBot="1">
      <c r="A25" s="733">
        <v>12</v>
      </c>
      <c r="B25" s="745" t="s">
        <v>842</v>
      </c>
      <c r="C25" s="746">
        <f aca="true" t="shared" si="0" ref="C25:K25">SUM(C23:C24)</f>
        <v>250634800</v>
      </c>
      <c r="D25" s="747">
        <f t="shared" si="0"/>
        <v>0</v>
      </c>
      <c r="E25" s="747">
        <f t="shared" si="0"/>
        <v>59135000</v>
      </c>
      <c r="F25" s="747">
        <f t="shared" si="0"/>
        <v>52411853</v>
      </c>
      <c r="G25" s="747">
        <f t="shared" si="0"/>
        <v>46362649</v>
      </c>
      <c r="H25" s="747">
        <f t="shared" si="0"/>
        <v>46362649</v>
      </c>
      <c r="I25" s="747">
        <f t="shared" si="0"/>
        <v>46362649</v>
      </c>
      <c r="J25" s="751">
        <f>SUM(J23:J24)</f>
        <v>17227524</v>
      </c>
      <c r="K25" s="751">
        <f t="shared" si="0"/>
        <v>52411853</v>
      </c>
      <c r="L25" s="1292"/>
    </row>
    <row r="26" spans="1:12" ht="13.5" thickBot="1">
      <c r="A26" s="733"/>
      <c r="B26" s="1301"/>
      <c r="C26" s="1302"/>
      <c r="D26" s="1302"/>
      <c r="E26" s="1302"/>
      <c r="F26" s="1302"/>
      <c r="G26" s="1302"/>
      <c r="H26" s="1302"/>
      <c r="I26" s="1302"/>
      <c r="J26" s="1302"/>
      <c r="K26" s="1303"/>
      <c r="L26" s="732"/>
    </row>
    <row r="27" spans="1:12" ht="12.75">
      <c r="A27" s="769">
        <v>13</v>
      </c>
      <c r="B27" s="770" t="s">
        <v>846</v>
      </c>
      <c r="C27" s="754">
        <f>SUM(D27:I27)</f>
        <v>146735476</v>
      </c>
      <c r="D27" s="918">
        <v>2681560</v>
      </c>
      <c r="E27" s="918">
        <v>20997974</v>
      </c>
      <c r="F27" s="918">
        <v>41039699</v>
      </c>
      <c r="G27" s="918">
        <v>27338748</v>
      </c>
      <c r="H27" s="918">
        <v>27338748</v>
      </c>
      <c r="I27" s="918">
        <v>27338747</v>
      </c>
      <c r="J27" s="1283"/>
      <c r="K27" s="1283"/>
      <c r="L27" s="738">
        <v>41039699</v>
      </c>
    </row>
    <row r="28" spans="1:12" ht="12.75">
      <c r="A28" s="752">
        <v>14</v>
      </c>
      <c r="B28" s="756" t="s">
        <v>844</v>
      </c>
      <c r="C28" s="757">
        <f>SUM(D28:I28)</f>
        <v>88344324</v>
      </c>
      <c r="D28" s="918">
        <v>0</v>
      </c>
      <c r="E28" s="918">
        <v>14084323</v>
      </c>
      <c r="F28" s="918">
        <v>17188297</v>
      </c>
      <c r="G28" s="918">
        <v>19023901</v>
      </c>
      <c r="H28" s="918">
        <v>19023901</v>
      </c>
      <c r="I28" s="918">
        <v>19023902</v>
      </c>
      <c r="J28" s="1284"/>
      <c r="K28" s="1284"/>
      <c r="L28" s="744">
        <v>17188297</v>
      </c>
    </row>
    <row r="29" spans="1:12" ht="13.5" thickBot="1">
      <c r="A29" s="752">
        <v>15</v>
      </c>
      <c r="B29" s="753" t="s">
        <v>843</v>
      </c>
      <c r="C29" s="782">
        <f>SUM(D29:I29)</f>
        <v>15555000</v>
      </c>
      <c r="D29" s="919">
        <v>0</v>
      </c>
      <c r="E29" s="919">
        <f>2893619+1250000</f>
        <v>4143619</v>
      </c>
      <c r="F29" s="919">
        <v>11411381</v>
      </c>
      <c r="G29" s="919">
        <v>0</v>
      </c>
      <c r="H29" s="919">
        <v>0</v>
      </c>
      <c r="I29" s="919">
        <v>0</v>
      </c>
      <c r="J29" s="1284"/>
      <c r="K29" s="1284"/>
      <c r="L29" s="872">
        <v>11411381</v>
      </c>
    </row>
    <row r="30" spans="1:12" ht="13.5" thickBot="1">
      <c r="A30" s="771">
        <v>16</v>
      </c>
      <c r="B30" s="772" t="s">
        <v>378</v>
      </c>
      <c r="C30" s="760">
        <f aca="true" t="shared" si="1" ref="C30:I30">SUM(C27:C29)</f>
        <v>250634800</v>
      </c>
      <c r="D30" s="773">
        <f t="shared" si="1"/>
        <v>2681560</v>
      </c>
      <c r="E30" s="773">
        <f t="shared" si="1"/>
        <v>39225916</v>
      </c>
      <c r="F30" s="773">
        <f t="shared" si="1"/>
        <v>69639377</v>
      </c>
      <c r="G30" s="773">
        <f t="shared" si="1"/>
        <v>46362649</v>
      </c>
      <c r="H30" s="773">
        <f t="shared" si="1"/>
        <v>46362649</v>
      </c>
      <c r="I30" s="773">
        <f t="shared" si="1"/>
        <v>46362649</v>
      </c>
      <c r="J30" s="1285"/>
      <c r="K30" s="1285"/>
      <c r="L30" s="762">
        <f>SUM(L27:L29)</f>
        <v>69639377</v>
      </c>
    </row>
    <row r="31" spans="1:12" ht="14.25" thickBot="1" thickTop="1">
      <c r="A31" s="873"/>
      <c r="B31" s="1298"/>
      <c r="C31" s="1299"/>
      <c r="D31" s="1299"/>
      <c r="E31" s="1299"/>
      <c r="F31" s="1299"/>
      <c r="G31" s="1299"/>
      <c r="H31" s="1299"/>
      <c r="I31" s="1299"/>
      <c r="J31" s="1299"/>
      <c r="K31" s="1299"/>
      <c r="L31" s="1300"/>
    </row>
    <row r="32" spans="1:12" ht="16.5" thickBot="1" thickTop="1">
      <c r="A32" s="869">
        <v>17</v>
      </c>
      <c r="B32" s="1289" t="s">
        <v>847</v>
      </c>
      <c r="C32" s="1290"/>
      <c r="D32" s="1290"/>
      <c r="E32" s="1290"/>
      <c r="F32" s="1290"/>
      <c r="G32" s="1290"/>
      <c r="H32" s="1290"/>
      <c r="I32" s="1290"/>
      <c r="J32" s="1291"/>
      <c r="K32" s="1291"/>
      <c r="L32" s="871"/>
    </row>
    <row r="33" spans="1:12" ht="12.75">
      <c r="A33" s="731">
        <v>18</v>
      </c>
      <c r="B33" s="789" t="s">
        <v>845</v>
      </c>
      <c r="C33" s="757">
        <f>SUM(D33:F33)</f>
        <v>22542700</v>
      </c>
      <c r="D33" s="775">
        <v>0</v>
      </c>
      <c r="E33" s="775">
        <v>151044</v>
      </c>
      <c r="F33" s="775">
        <v>22391656</v>
      </c>
      <c r="G33" s="776"/>
      <c r="H33" s="776"/>
      <c r="I33" s="776"/>
      <c r="J33" s="738"/>
      <c r="K33" s="738">
        <v>22391656</v>
      </c>
      <c r="L33" s="1283"/>
    </row>
    <row r="34" spans="1:12" ht="13.5" thickBot="1">
      <c r="A34" s="733">
        <v>19</v>
      </c>
      <c r="B34" s="739" t="s">
        <v>841</v>
      </c>
      <c r="C34" s="757">
        <f>SUM(D34:F34)</f>
        <v>242560000</v>
      </c>
      <c r="D34" s="768">
        <v>242560000</v>
      </c>
      <c r="E34" s="742">
        <v>0</v>
      </c>
      <c r="F34" s="742">
        <v>0</v>
      </c>
      <c r="G34" s="777"/>
      <c r="H34" s="777"/>
      <c r="I34" s="778"/>
      <c r="J34" s="744">
        <v>230043575</v>
      </c>
      <c r="K34" s="744"/>
      <c r="L34" s="1284"/>
    </row>
    <row r="35" spans="1:12" ht="13.5" thickBot="1">
      <c r="A35" s="733">
        <v>20</v>
      </c>
      <c r="B35" s="745" t="s">
        <v>842</v>
      </c>
      <c r="C35" s="746">
        <f aca="true" t="shared" si="2" ref="C35:K35">SUM(C33:C34)</f>
        <v>265102700</v>
      </c>
      <c r="D35" s="747">
        <f t="shared" si="2"/>
        <v>242560000</v>
      </c>
      <c r="E35" s="747">
        <f t="shared" si="2"/>
        <v>151044</v>
      </c>
      <c r="F35" s="747">
        <f t="shared" si="2"/>
        <v>22391656</v>
      </c>
      <c r="G35" s="737"/>
      <c r="H35" s="737"/>
      <c r="I35" s="737"/>
      <c r="J35" s="751">
        <f>SUM(J33:J34)</f>
        <v>230043575</v>
      </c>
      <c r="K35" s="751">
        <f t="shared" si="2"/>
        <v>22391656</v>
      </c>
      <c r="L35" s="1292"/>
    </row>
    <row r="36" spans="1:12" ht="13.5" thickBot="1">
      <c r="A36" s="733"/>
      <c r="B36" s="1301"/>
      <c r="C36" s="1302"/>
      <c r="D36" s="1302"/>
      <c r="E36" s="1302"/>
      <c r="F36" s="1302"/>
      <c r="G36" s="1302"/>
      <c r="H36" s="1302"/>
      <c r="I36" s="1302"/>
      <c r="J36" s="1302"/>
      <c r="K36" s="1303"/>
      <c r="L36" s="732"/>
    </row>
    <row r="37" spans="1:12" ht="12.75">
      <c r="A37" s="752">
        <v>21</v>
      </c>
      <c r="B37" s="770" t="s">
        <v>843</v>
      </c>
      <c r="C37" s="886">
        <f>SUM(D37:F37)</f>
        <v>242560000</v>
      </c>
      <c r="D37" s="736">
        <v>392025</v>
      </c>
      <c r="E37" s="736">
        <v>12124400</v>
      </c>
      <c r="F37" s="736">
        <v>230043575</v>
      </c>
      <c r="G37" s="776"/>
      <c r="H37" s="776"/>
      <c r="I37" s="776"/>
      <c r="J37" s="1283"/>
      <c r="K37" s="1283"/>
      <c r="L37" s="738">
        <v>230043575</v>
      </c>
    </row>
    <row r="38" spans="1:12" ht="13.5" thickBot="1">
      <c r="A38" s="752">
        <v>22</v>
      </c>
      <c r="B38" s="779" t="s">
        <v>848</v>
      </c>
      <c r="C38" s="782">
        <f>SUM(D38:F38)</f>
        <v>22542700</v>
      </c>
      <c r="D38" s="780">
        <v>0</v>
      </c>
      <c r="E38" s="780">
        <v>151044</v>
      </c>
      <c r="F38" s="780">
        <v>22391656</v>
      </c>
      <c r="G38" s="777"/>
      <c r="H38" s="777"/>
      <c r="I38" s="778"/>
      <c r="J38" s="1284"/>
      <c r="K38" s="1284"/>
      <c r="L38" s="744">
        <v>22391656</v>
      </c>
    </row>
    <row r="39" spans="1:12" ht="13.5" thickBot="1">
      <c r="A39" s="771">
        <v>23</v>
      </c>
      <c r="B39" s="772" t="s">
        <v>378</v>
      </c>
      <c r="C39" s="760">
        <f>SUM(C37:C38)</f>
        <v>265102700</v>
      </c>
      <c r="D39" s="773">
        <f>SUM(D37:D38)</f>
        <v>392025</v>
      </c>
      <c r="E39" s="773">
        <f>SUM(E37:E38)</f>
        <v>12275444</v>
      </c>
      <c r="F39" s="773">
        <f>SUM(F37:F38)</f>
        <v>252435231</v>
      </c>
      <c r="G39" s="737"/>
      <c r="H39" s="737"/>
      <c r="I39" s="737"/>
      <c r="J39" s="1285"/>
      <c r="K39" s="1285"/>
      <c r="L39" s="762">
        <f>SUM(L37:L38)</f>
        <v>252435231</v>
      </c>
    </row>
    <row r="40" spans="1:12" ht="14.25" thickBot="1" thickTop="1">
      <c r="A40" s="873"/>
      <c r="B40" s="1298"/>
      <c r="C40" s="1299"/>
      <c r="D40" s="1299"/>
      <c r="E40" s="1299"/>
      <c r="F40" s="1299"/>
      <c r="G40" s="1299"/>
      <c r="H40" s="1299"/>
      <c r="I40" s="1299"/>
      <c r="J40" s="1299"/>
      <c r="K40" s="1299"/>
      <c r="L40" s="1300"/>
    </row>
    <row r="41" spans="1:12" ht="16.5" thickBot="1" thickTop="1">
      <c r="A41" s="869">
        <v>24</v>
      </c>
      <c r="B41" s="1289" t="s">
        <v>1011</v>
      </c>
      <c r="C41" s="1290"/>
      <c r="D41" s="1290"/>
      <c r="E41" s="1290"/>
      <c r="F41" s="1290"/>
      <c r="G41" s="1290"/>
      <c r="H41" s="1290"/>
      <c r="I41" s="1290"/>
      <c r="J41" s="1291"/>
      <c r="K41" s="1291"/>
      <c r="L41" s="871"/>
    </row>
    <row r="42" spans="1:12" ht="12.75">
      <c r="A42" s="731">
        <v>25</v>
      </c>
      <c r="B42" s="781" t="s">
        <v>845</v>
      </c>
      <c r="C42" s="754">
        <v>3350900</v>
      </c>
      <c r="D42" s="775">
        <v>2500000</v>
      </c>
      <c r="E42" s="775">
        <v>850900</v>
      </c>
      <c r="F42" s="775">
        <v>0</v>
      </c>
      <c r="G42" s="776"/>
      <c r="H42" s="776"/>
      <c r="I42" s="776"/>
      <c r="J42" s="744">
        <v>0</v>
      </c>
      <c r="K42" s="744"/>
      <c r="L42" s="1283"/>
    </row>
    <row r="43" spans="1:12" ht="13.5" thickBot="1">
      <c r="A43" s="733">
        <v>26</v>
      </c>
      <c r="B43" s="739" t="s">
        <v>841</v>
      </c>
      <c r="C43" s="782">
        <v>19779919</v>
      </c>
      <c r="D43" s="768">
        <v>9889959</v>
      </c>
      <c r="E43" s="768">
        <v>0</v>
      </c>
      <c r="F43" s="768">
        <v>9889960</v>
      </c>
      <c r="G43" s="777"/>
      <c r="H43" s="777"/>
      <c r="I43" s="778"/>
      <c r="J43" s="744">
        <v>0</v>
      </c>
      <c r="K43" s="744">
        <v>9889960</v>
      </c>
      <c r="L43" s="1284"/>
    </row>
    <row r="44" spans="1:12" ht="13.5" thickBot="1">
      <c r="A44" s="733">
        <v>27</v>
      </c>
      <c r="B44" s="745" t="s">
        <v>842</v>
      </c>
      <c r="C44" s="746">
        <f>SUM(C42:C43)</f>
        <v>23130819</v>
      </c>
      <c r="D44" s="747">
        <f>SUM(D42:D43)</f>
        <v>12389959</v>
      </c>
      <c r="E44" s="747">
        <f>SUM(E42:E43)</f>
        <v>850900</v>
      </c>
      <c r="F44" s="747">
        <f>SUM(F42:F43)</f>
        <v>9889960</v>
      </c>
      <c r="G44" s="783"/>
      <c r="H44" s="783"/>
      <c r="I44" s="784"/>
      <c r="J44" s="751">
        <f>SUM(J42+J43)</f>
        <v>0</v>
      </c>
      <c r="K44" s="751">
        <f>SUM(K42+K43)</f>
        <v>9889960</v>
      </c>
      <c r="L44" s="1292"/>
    </row>
    <row r="45" spans="1:12" ht="13.5" thickBot="1">
      <c r="A45" s="733"/>
      <c r="B45" s="1301"/>
      <c r="C45" s="1302"/>
      <c r="D45" s="1302"/>
      <c r="E45" s="1302"/>
      <c r="F45" s="1302"/>
      <c r="G45" s="1302"/>
      <c r="H45" s="1302"/>
      <c r="I45" s="1302"/>
      <c r="J45" s="1302"/>
      <c r="K45" s="1303"/>
      <c r="L45" s="732"/>
    </row>
    <row r="46" spans="1:12" ht="12.75">
      <c r="A46" s="752">
        <v>28</v>
      </c>
      <c r="B46" s="770" t="s">
        <v>849</v>
      </c>
      <c r="C46" s="754">
        <v>20820975</v>
      </c>
      <c r="D46" s="775">
        <v>0</v>
      </c>
      <c r="E46" s="775">
        <v>14245643</v>
      </c>
      <c r="F46" s="775">
        <v>6575332</v>
      </c>
      <c r="G46" s="776"/>
      <c r="H46" s="776"/>
      <c r="I46" s="776"/>
      <c r="J46" s="1283"/>
      <c r="K46" s="1283"/>
      <c r="L46" s="738">
        <v>6575332</v>
      </c>
    </row>
    <row r="47" spans="1:12" ht="13.5" thickBot="1">
      <c r="A47" s="752">
        <v>29</v>
      </c>
      <c r="B47" s="779" t="s">
        <v>850</v>
      </c>
      <c r="C47" s="757">
        <v>2309844</v>
      </c>
      <c r="D47" s="768">
        <v>1250000</v>
      </c>
      <c r="E47" s="768">
        <v>1059844</v>
      </c>
      <c r="F47" s="768">
        <v>0</v>
      </c>
      <c r="G47" s="777"/>
      <c r="H47" s="777"/>
      <c r="I47" s="778"/>
      <c r="J47" s="1284"/>
      <c r="K47" s="1284"/>
      <c r="L47" s="744"/>
    </row>
    <row r="48" spans="1:12" ht="13.5" thickBot="1">
      <c r="A48" s="771">
        <v>30</v>
      </c>
      <c r="B48" s="772" t="s">
        <v>378</v>
      </c>
      <c r="C48" s="760">
        <f>SUM(C46:C47)</f>
        <v>23130819</v>
      </c>
      <c r="D48" s="773">
        <f>SUM(D46:D47)</f>
        <v>1250000</v>
      </c>
      <c r="E48" s="773">
        <f>SUM(E46:E47)</f>
        <v>15305487</v>
      </c>
      <c r="F48" s="773">
        <f>SUM(F46:F47)</f>
        <v>6575332</v>
      </c>
      <c r="G48" s="785"/>
      <c r="H48" s="785"/>
      <c r="I48" s="786"/>
      <c r="J48" s="1292"/>
      <c r="K48" s="1292"/>
      <c r="L48" s="762">
        <f>SUM(L45:L47)</f>
        <v>6575332</v>
      </c>
    </row>
    <row r="49" spans="1:12" ht="14.25" thickBot="1" thickTop="1">
      <c r="A49" s="873"/>
      <c r="B49" s="1298"/>
      <c r="C49" s="1299"/>
      <c r="D49" s="1299"/>
      <c r="E49" s="1299"/>
      <c r="F49" s="1299"/>
      <c r="G49" s="1299"/>
      <c r="H49" s="1299"/>
      <c r="I49" s="1299"/>
      <c r="J49" s="1299"/>
      <c r="K49" s="1299"/>
      <c r="L49" s="1300"/>
    </row>
    <row r="50" spans="1:12" ht="16.5" thickBot="1" thickTop="1">
      <c r="A50" s="869">
        <v>31</v>
      </c>
      <c r="B50" s="1289" t="s">
        <v>1010</v>
      </c>
      <c r="C50" s="1290"/>
      <c r="D50" s="1290"/>
      <c r="E50" s="1290"/>
      <c r="F50" s="1290"/>
      <c r="G50" s="1290"/>
      <c r="H50" s="1290"/>
      <c r="I50" s="1290"/>
      <c r="J50" s="1291"/>
      <c r="K50" s="1291"/>
      <c r="L50" s="871"/>
    </row>
    <row r="51" spans="1:12" ht="12.75">
      <c r="A51" s="731">
        <v>32</v>
      </c>
      <c r="B51" s="781" t="s">
        <v>845</v>
      </c>
      <c r="C51" s="754">
        <v>10986749</v>
      </c>
      <c r="D51" s="775">
        <v>0</v>
      </c>
      <c r="E51" s="775">
        <v>10986749</v>
      </c>
      <c r="F51" s="775">
        <v>0</v>
      </c>
      <c r="G51" s="776"/>
      <c r="H51" s="776"/>
      <c r="I51" s="776"/>
      <c r="J51" s="744">
        <v>0</v>
      </c>
      <c r="K51" s="744"/>
      <c r="L51" s="1283"/>
    </row>
    <row r="52" spans="1:12" ht="25.5">
      <c r="A52" s="731">
        <v>33</v>
      </c>
      <c r="B52" s="926" t="s">
        <v>1044</v>
      </c>
      <c r="C52" s="923">
        <v>1000000</v>
      </c>
      <c r="D52" s="915"/>
      <c r="E52" s="915"/>
      <c r="F52" s="915">
        <v>1000000</v>
      </c>
      <c r="G52" s="924"/>
      <c r="H52" s="924"/>
      <c r="I52" s="925"/>
      <c r="J52" s="744"/>
      <c r="K52" s="744"/>
      <c r="L52" s="1284"/>
    </row>
    <row r="53" spans="1:12" ht="13.5" thickBot="1">
      <c r="A53" s="733">
        <v>34</v>
      </c>
      <c r="B53" s="739" t="s">
        <v>841</v>
      </c>
      <c r="C53" s="782">
        <v>19999984</v>
      </c>
      <c r="D53" s="768">
        <v>0</v>
      </c>
      <c r="E53" s="768">
        <v>9999992</v>
      </c>
      <c r="F53" s="768">
        <v>9999992</v>
      </c>
      <c r="G53" s="777"/>
      <c r="H53" s="777"/>
      <c r="I53" s="778"/>
      <c r="J53" s="744">
        <v>0</v>
      </c>
      <c r="K53" s="744">
        <v>9999992</v>
      </c>
      <c r="L53" s="1284"/>
    </row>
    <row r="54" spans="1:12" ht="13.5" thickBot="1">
      <c r="A54" s="733">
        <v>35</v>
      </c>
      <c r="B54" s="745" t="s">
        <v>842</v>
      </c>
      <c r="C54" s="746">
        <f>SUM(C51:C53)</f>
        <v>31986733</v>
      </c>
      <c r="D54" s="747">
        <f>SUM(D51:D53)</f>
        <v>0</v>
      </c>
      <c r="E54" s="747">
        <f>SUM(E51:E53)</f>
        <v>20986741</v>
      </c>
      <c r="F54" s="747">
        <f>SUM(F51:F53)</f>
        <v>10999992</v>
      </c>
      <c r="G54" s="783"/>
      <c r="H54" s="783"/>
      <c r="I54" s="784"/>
      <c r="J54" s="751">
        <f>SUM(J51+J53)</f>
        <v>0</v>
      </c>
      <c r="K54" s="751">
        <f>SUM(K51+K53)</f>
        <v>9999992</v>
      </c>
      <c r="L54" s="1292"/>
    </row>
    <row r="55" spans="1:12" ht="13.5" thickBot="1">
      <c r="A55" s="733"/>
      <c r="B55" s="1301"/>
      <c r="C55" s="1302"/>
      <c r="D55" s="1302"/>
      <c r="E55" s="1302"/>
      <c r="F55" s="1302"/>
      <c r="G55" s="1302"/>
      <c r="H55" s="1302"/>
      <c r="I55" s="1302"/>
      <c r="J55" s="1302"/>
      <c r="K55" s="1303"/>
      <c r="L55" s="732"/>
    </row>
    <row r="56" spans="1:12" ht="12.75">
      <c r="A56" s="752">
        <v>36</v>
      </c>
      <c r="B56" s="770" t="s">
        <v>843</v>
      </c>
      <c r="C56" s="754">
        <v>21052620</v>
      </c>
      <c r="D56" s="775">
        <v>0</v>
      </c>
      <c r="E56" s="775">
        <v>21052620</v>
      </c>
      <c r="F56" s="775">
        <v>0</v>
      </c>
      <c r="G56" s="776"/>
      <c r="H56" s="776"/>
      <c r="I56" s="776"/>
      <c r="J56" s="1283"/>
      <c r="K56" s="1283"/>
      <c r="L56" s="738"/>
    </row>
    <row r="57" spans="1:12" ht="13.5" thickBot="1">
      <c r="A57" s="752">
        <v>37</v>
      </c>
      <c r="B57" s="779" t="s">
        <v>848</v>
      </c>
      <c r="C57" s="757">
        <f>9934113+1000000</f>
        <v>10934113</v>
      </c>
      <c r="D57" s="768">
        <v>0</v>
      </c>
      <c r="E57" s="768">
        <v>3533565</v>
      </c>
      <c r="F57" s="768">
        <f>6400548+1000000</f>
        <v>7400548</v>
      </c>
      <c r="G57" s="777"/>
      <c r="H57" s="777"/>
      <c r="I57" s="778"/>
      <c r="J57" s="1284"/>
      <c r="K57" s="1284"/>
      <c r="L57" s="744">
        <f>6400548+1000000</f>
        <v>7400548</v>
      </c>
    </row>
    <row r="58" spans="1:12" ht="13.5" thickBot="1">
      <c r="A58" s="771">
        <v>38</v>
      </c>
      <c r="B58" s="772" t="s">
        <v>378</v>
      </c>
      <c r="C58" s="760">
        <f>SUM(C56:C57)</f>
        <v>31986733</v>
      </c>
      <c r="D58" s="773">
        <f>SUM(D56:D57)</f>
        <v>0</v>
      </c>
      <c r="E58" s="773">
        <f>SUM(E56:E57)</f>
        <v>24586185</v>
      </c>
      <c r="F58" s="773">
        <f>SUM(F56:F57)</f>
        <v>7400548</v>
      </c>
      <c r="G58" s="785"/>
      <c r="H58" s="785"/>
      <c r="I58" s="786"/>
      <c r="J58" s="1292"/>
      <c r="K58" s="1292"/>
      <c r="L58" s="762">
        <f>SUM(L55:L57)</f>
        <v>7400548</v>
      </c>
    </row>
    <row r="59" spans="1:12" ht="14.25" thickBot="1" thickTop="1">
      <c r="A59" s="873"/>
      <c r="B59" s="1298"/>
      <c r="C59" s="1299"/>
      <c r="D59" s="1299"/>
      <c r="E59" s="1299"/>
      <c r="F59" s="1299"/>
      <c r="G59" s="1299"/>
      <c r="H59" s="1299"/>
      <c r="I59" s="1299"/>
      <c r="J59" s="1299"/>
      <c r="K59" s="1299"/>
      <c r="L59" s="1300"/>
    </row>
    <row r="60" spans="1:12" ht="16.5" thickBot="1" thickTop="1">
      <c r="A60" s="869">
        <v>39</v>
      </c>
      <c r="B60" s="1289" t="s">
        <v>1012</v>
      </c>
      <c r="C60" s="1290"/>
      <c r="D60" s="1290"/>
      <c r="E60" s="1290"/>
      <c r="F60" s="1290"/>
      <c r="G60" s="1290"/>
      <c r="H60" s="1290"/>
      <c r="I60" s="1290"/>
      <c r="J60" s="1291"/>
      <c r="K60" s="1291"/>
      <c r="L60" s="871"/>
    </row>
    <row r="61" spans="1:12" ht="12.75">
      <c r="A61" s="731">
        <v>40</v>
      </c>
      <c r="B61" s="781" t="s">
        <v>845</v>
      </c>
      <c r="C61" s="754">
        <v>396853</v>
      </c>
      <c r="D61" s="775">
        <v>8868</v>
      </c>
      <c r="E61" s="775">
        <v>387985</v>
      </c>
      <c r="F61" s="775">
        <v>0</v>
      </c>
      <c r="G61" s="776"/>
      <c r="H61" s="776"/>
      <c r="I61" s="776"/>
      <c r="J61" s="744">
        <v>0</v>
      </c>
      <c r="K61" s="744"/>
      <c r="L61" s="1283"/>
    </row>
    <row r="62" spans="1:12" ht="13.5" thickBot="1">
      <c r="A62" s="733">
        <v>41</v>
      </c>
      <c r="B62" s="739" t="s">
        <v>841</v>
      </c>
      <c r="C62" s="782">
        <v>9980698</v>
      </c>
      <c r="D62" s="768">
        <v>0</v>
      </c>
      <c r="E62" s="768">
        <v>4990349</v>
      </c>
      <c r="F62" s="768">
        <v>4990349</v>
      </c>
      <c r="G62" s="777"/>
      <c r="H62" s="777"/>
      <c r="I62" s="778"/>
      <c r="J62" s="744">
        <v>0</v>
      </c>
      <c r="K62" s="744">
        <v>4990349</v>
      </c>
      <c r="L62" s="1284"/>
    </row>
    <row r="63" spans="1:12" ht="13.5" thickBot="1">
      <c r="A63" s="733">
        <v>42</v>
      </c>
      <c r="B63" s="745" t="s">
        <v>842</v>
      </c>
      <c r="C63" s="746">
        <f>SUM(C61:C62)</f>
        <v>10377551</v>
      </c>
      <c r="D63" s="747">
        <f>SUM(D61:D62)</f>
        <v>8868</v>
      </c>
      <c r="E63" s="747">
        <f>SUM(E61:E62)</f>
        <v>5378334</v>
      </c>
      <c r="F63" s="747">
        <f>SUM(F61:F62)</f>
        <v>4990349</v>
      </c>
      <c r="G63" s="783"/>
      <c r="H63" s="783"/>
      <c r="I63" s="784"/>
      <c r="J63" s="751">
        <f>SUM(J61+J62)</f>
        <v>0</v>
      </c>
      <c r="K63" s="751">
        <f>SUM(K61+K62)</f>
        <v>4990349</v>
      </c>
      <c r="L63" s="1292"/>
    </row>
    <row r="64" spans="1:12" ht="13.5" thickBot="1">
      <c r="A64" s="733"/>
      <c r="B64" s="1301"/>
      <c r="C64" s="1302"/>
      <c r="D64" s="1302"/>
      <c r="E64" s="1302"/>
      <c r="F64" s="1302"/>
      <c r="G64" s="1302"/>
      <c r="H64" s="1302"/>
      <c r="I64" s="1302"/>
      <c r="J64" s="1302"/>
      <c r="K64" s="1303"/>
      <c r="L64" s="732"/>
    </row>
    <row r="65" spans="1:12" ht="12.75">
      <c r="A65" s="752">
        <v>43</v>
      </c>
      <c r="B65" s="770" t="s">
        <v>843</v>
      </c>
      <c r="C65" s="754">
        <v>9989566</v>
      </c>
      <c r="D65" s="775">
        <v>0</v>
      </c>
      <c r="E65" s="775">
        <v>9989566</v>
      </c>
      <c r="F65" s="775">
        <v>0</v>
      </c>
      <c r="G65" s="776"/>
      <c r="H65" s="776"/>
      <c r="I65" s="776"/>
      <c r="J65" s="1283"/>
      <c r="K65" s="1283"/>
      <c r="L65" s="738"/>
    </row>
    <row r="66" spans="1:12" ht="13.5" thickBot="1">
      <c r="A66" s="752">
        <v>44</v>
      </c>
      <c r="B66" s="779" t="s">
        <v>848</v>
      </c>
      <c r="C66" s="757">
        <v>387985</v>
      </c>
      <c r="D66" s="768">
        <v>0</v>
      </c>
      <c r="E66" s="768">
        <v>387985</v>
      </c>
      <c r="F66" s="768">
        <v>0</v>
      </c>
      <c r="G66" s="777"/>
      <c r="H66" s="777"/>
      <c r="I66" s="778"/>
      <c r="J66" s="1284"/>
      <c r="K66" s="1284"/>
      <c r="L66" s="744"/>
    </row>
    <row r="67" spans="1:12" ht="13.5" thickBot="1">
      <c r="A67" s="771">
        <v>45</v>
      </c>
      <c r="B67" s="772" t="s">
        <v>378</v>
      </c>
      <c r="C67" s="760">
        <f>SUM(C65:C66)</f>
        <v>10377551</v>
      </c>
      <c r="D67" s="773">
        <f>SUM(D65:D66)</f>
        <v>0</v>
      </c>
      <c r="E67" s="773">
        <f>SUM(E65:E66)</f>
        <v>10377551</v>
      </c>
      <c r="F67" s="773">
        <f>SUM(F65:F66)</f>
        <v>0</v>
      </c>
      <c r="G67" s="785"/>
      <c r="H67" s="785"/>
      <c r="I67" s="786"/>
      <c r="J67" s="1292"/>
      <c r="K67" s="1292"/>
      <c r="L67" s="762">
        <f>SUM(L64:L66)</f>
        <v>0</v>
      </c>
    </row>
    <row r="68" spans="1:12" ht="14.25" thickBot="1" thickTop="1">
      <c r="A68" s="763"/>
      <c r="B68" s="1298"/>
      <c r="C68" s="1299"/>
      <c r="D68" s="1299"/>
      <c r="E68" s="1299"/>
      <c r="F68" s="1299"/>
      <c r="G68" s="1299"/>
      <c r="H68" s="1299"/>
      <c r="I68" s="1299"/>
      <c r="J68" s="1299"/>
      <c r="K68" s="1299"/>
      <c r="L68" s="1300"/>
    </row>
    <row r="69" spans="1:12" ht="16.5" thickBot="1" thickTop="1">
      <c r="A69" s="869">
        <v>46</v>
      </c>
      <c r="B69" s="1304" t="s">
        <v>996</v>
      </c>
      <c r="C69" s="1305"/>
      <c r="D69" s="1305"/>
      <c r="E69" s="1305"/>
      <c r="F69" s="1305"/>
      <c r="G69" s="1305"/>
      <c r="H69" s="1305"/>
      <c r="I69" s="1305"/>
      <c r="J69" s="1306"/>
      <c r="K69" s="1306"/>
      <c r="L69" s="871"/>
    </row>
    <row r="70" spans="1:12" ht="12.75">
      <c r="A70" s="731">
        <v>47</v>
      </c>
      <c r="B70" s="734" t="s">
        <v>845</v>
      </c>
      <c r="C70" s="764">
        <v>0</v>
      </c>
      <c r="D70" s="874"/>
      <c r="E70" s="765">
        <v>0</v>
      </c>
      <c r="F70" s="765">
        <v>0</v>
      </c>
      <c r="G70" s="765">
        <v>0</v>
      </c>
      <c r="H70" s="874"/>
      <c r="I70" s="874"/>
      <c r="J70" s="738">
        <v>0</v>
      </c>
      <c r="K70" s="738">
        <v>0</v>
      </c>
      <c r="L70" s="1283"/>
    </row>
    <row r="71" spans="1:12" ht="13.5" thickBot="1">
      <c r="A71" s="766">
        <v>48</v>
      </c>
      <c r="B71" s="739" t="s">
        <v>841</v>
      </c>
      <c r="C71" s="767">
        <v>202321812</v>
      </c>
      <c r="D71" s="875"/>
      <c r="E71" s="742">
        <f>104483115+10976885</f>
        <v>115460000</v>
      </c>
      <c r="F71" s="742">
        <v>75330433</v>
      </c>
      <c r="G71" s="742">
        <v>11531379</v>
      </c>
      <c r="H71" s="875"/>
      <c r="I71" s="875"/>
      <c r="J71" s="744">
        <f>79738385+8508586</f>
        <v>88246971</v>
      </c>
      <c r="K71" s="744"/>
      <c r="L71" s="1284"/>
    </row>
    <row r="72" spans="1:12" ht="13.5" thickBot="1">
      <c r="A72" s="733">
        <v>49</v>
      </c>
      <c r="B72" s="745" t="s">
        <v>842</v>
      </c>
      <c r="C72" s="746">
        <f aca="true" t="shared" si="3" ref="C72:K72">SUM(C70:C71)</f>
        <v>202321812</v>
      </c>
      <c r="D72" s="748"/>
      <c r="E72" s="747">
        <f t="shared" si="3"/>
        <v>115460000</v>
      </c>
      <c r="F72" s="747">
        <f t="shared" si="3"/>
        <v>75330433</v>
      </c>
      <c r="G72" s="747">
        <f t="shared" si="3"/>
        <v>11531379</v>
      </c>
      <c r="H72" s="748"/>
      <c r="I72" s="748"/>
      <c r="J72" s="751">
        <f>SUM(J70:J71)</f>
        <v>88246971</v>
      </c>
      <c r="K72" s="751">
        <f t="shared" si="3"/>
        <v>0</v>
      </c>
      <c r="L72" s="1292"/>
    </row>
    <row r="73" spans="1:12" ht="13.5" thickBot="1">
      <c r="A73" s="733"/>
      <c r="B73" s="1301"/>
      <c r="C73" s="1302"/>
      <c r="D73" s="1302"/>
      <c r="E73" s="1302"/>
      <c r="F73" s="1302"/>
      <c r="G73" s="1302"/>
      <c r="H73" s="1302"/>
      <c r="I73" s="1302"/>
      <c r="J73" s="1302"/>
      <c r="K73" s="1303"/>
      <c r="L73" s="732"/>
    </row>
    <row r="74" spans="1:12" ht="13.5" thickBot="1">
      <c r="A74" s="769">
        <v>50</v>
      </c>
      <c r="B74" s="770" t="s">
        <v>846</v>
      </c>
      <c r="C74" s="1314">
        <v>89908666</v>
      </c>
      <c r="D74" s="876"/>
      <c r="E74" s="736">
        <f>8545743+1</f>
        <v>8545744</v>
      </c>
      <c r="F74" s="775">
        <v>63219192</v>
      </c>
      <c r="G74" s="775">
        <v>9109530</v>
      </c>
      <c r="H74" s="876"/>
      <c r="I74" s="876"/>
      <c r="J74" s="1283"/>
      <c r="K74" s="1283"/>
      <c r="L74" s="738">
        <v>17304194</v>
      </c>
    </row>
    <row r="75" spans="1:12" ht="25.5">
      <c r="A75" s="913">
        <v>51</v>
      </c>
      <c r="B75" s="916" t="s">
        <v>1014</v>
      </c>
      <c r="C75" s="1315"/>
      <c r="D75" s="914"/>
      <c r="E75" s="912">
        <v>860400</v>
      </c>
      <c r="F75" s="915">
        <v>6883200</v>
      </c>
      <c r="G75" s="915">
        <v>1290600</v>
      </c>
      <c r="H75" s="914"/>
      <c r="I75" s="914"/>
      <c r="J75" s="1284"/>
      <c r="K75" s="1284"/>
      <c r="L75" s="911">
        <v>6883200</v>
      </c>
    </row>
    <row r="76" spans="1:12" ht="12.75">
      <c r="A76" s="752">
        <v>52</v>
      </c>
      <c r="B76" s="756" t="s">
        <v>844</v>
      </c>
      <c r="C76" s="877">
        <v>88083888</v>
      </c>
      <c r="D76" s="878"/>
      <c r="E76" s="742">
        <v>4803780</v>
      </c>
      <c r="F76" s="768">
        <v>82148859</v>
      </c>
      <c r="G76" s="768">
        <v>1131249</v>
      </c>
      <c r="H76" s="878"/>
      <c r="I76" s="878"/>
      <c r="J76" s="1284"/>
      <c r="K76" s="1284"/>
      <c r="L76" s="744">
        <v>58739847</v>
      </c>
    </row>
    <row r="77" spans="1:12" ht="12.75">
      <c r="A77" s="752">
        <v>53</v>
      </c>
      <c r="B77" s="879" t="s">
        <v>843</v>
      </c>
      <c r="C77" s="880">
        <v>17800696</v>
      </c>
      <c r="D77" s="881"/>
      <c r="E77" s="742">
        <v>13003105</v>
      </c>
      <c r="F77" s="768">
        <v>4797591</v>
      </c>
      <c r="G77" s="768">
        <v>0</v>
      </c>
      <c r="H77" s="881"/>
      <c r="I77" s="881"/>
      <c r="J77" s="1284"/>
      <c r="K77" s="1284"/>
      <c r="L77" s="744">
        <v>4797591</v>
      </c>
    </row>
    <row r="78" spans="1:12" ht="13.5" thickBot="1">
      <c r="A78" s="752">
        <v>54</v>
      </c>
      <c r="B78" s="882" t="s">
        <v>849</v>
      </c>
      <c r="C78" s="877">
        <v>6528562</v>
      </c>
      <c r="D78" s="883"/>
      <c r="E78" s="741"/>
      <c r="F78" s="884">
        <v>6528562</v>
      </c>
      <c r="G78" s="884">
        <v>0</v>
      </c>
      <c r="H78" s="883"/>
      <c r="I78" s="883"/>
      <c r="J78" s="1284"/>
      <c r="K78" s="1284"/>
      <c r="L78" s="885">
        <v>522139</v>
      </c>
    </row>
    <row r="79" spans="1:12" ht="13.5" thickBot="1">
      <c r="A79" s="771">
        <v>55</v>
      </c>
      <c r="B79" s="772" t="s">
        <v>378</v>
      </c>
      <c r="C79" s="760">
        <f>SUM(C74:C78)</f>
        <v>202321812</v>
      </c>
      <c r="D79" s="785"/>
      <c r="E79" s="773">
        <f>SUM(E74:E78)</f>
        <v>27213029</v>
      </c>
      <c r="F79" s="773">
        <f>SUM(F74:F78)</f>
        <v>163577404</v>
      </c>
      <c r="G79" s="773">
        <f>SUM(G74:G78)</f>
        <v>11531379</v>
      </c>
      <c r="H79" s="785"/>
      <c r="I79" s="785"/>
      <c r="J79" s="1285"/>
      <c r="K79" s="1285"/>
      <c r="L79" s="762">
        <f>SUM(L74:L78)</f>
        <v>88246971</v>
      </c>
    </row>
    <row r="80" spans="1:12" ht="14.25" thickBot="1" thickTop="1">
      <c r="A80" s="763"/>
      <c r="B80" s="1298"/>
      <c r="C80" s="1299"/>
      <c r="D80" s="1299"/>
      <c r="E80" s="1299"/>
      <c r="F80" s="1299"/>
      <c r="G80" s="1299"/>
      <c r="H80" s="1299"/>
      <c r="I80" s="1299"/>
      <c r="J80" s="1299"/>
      <c r="K80" s="1299"/>
      <c r="L80" s="1300"/>
    </row>
    <row r="81" spans="1:12" ht="16.5" thickBot="1" thickTop="1">
      <c r="A81" s="869">
        <v>56</v>
      </c>
      <c r="B81" s="1304" t="s">
        <v>997</v>
      </c>
      <c r="C81" s="1305"/>
      <c r="D81" s="1305"/>
      <c r="E81" s="1305"/>
      <c r="F81" s="1305"/>
      <c r="G81" s="1305"/>
      <c r="H81" s="1305"/>
      <c r="I81" s="1305"/>
      <c r="J81" s="1306"/>
      <c r="K81" s="1306"/>
      <c r="L81" s="871"/>
    </row>
    <row r="82" spans="1:12" ht="12.75">
      <c r="A82" s="731">
        <v>57</v>
      </c>
      <c r="B82" s="734" t="s">
        <v>845</v>
      </c>
      <c r="C82" s="764">
        <v>0</v>
      </c>
      <c r="D82" s="874"/>
      <c r="E82" s="765">
        <v>0</v>
      </c>
      <c r="F82" s="765">
        <v>0</v>
      </c>
      <c r="G82" s="765">
        <v>0</v>
      </c>
      <c r="H82" s="765"/>
      <c r="I82" s="874"/>
      <c r="J82" s="738">
        <v>0</v>
      </c>
      <c r="K82" s="738">
        <v>0</v>
      </c>
      <c r="L82" s="1283"/>
    </row>
    <row r="83" spans="1:12" ht="13.5" thickBot="1">
      <c r="A83" s="766">
        <v>58</v>
      </c>
      <c r="B83" s="739" t="s">
        <v>841</v>
      </c>
      <c r="C83" s="767">
        <v>62107135</v>
      </c>
      <c r="D83" s="875"/>
      <c r="E83" s="742">
        <v>32379432</v>
      </c>
      <c r="F83" s="742">
        <v>8244379</v>
      </c>
      <c r="G83" s="742">
        <v>20495112</v>
      </c>
      <c r="H83" s="742">
        <v>988212</v>
      </c>
      <c r="I83" s="875"/>
      <c r="J83" s="744">
        <f>16987125</f>
        <v>16987125</v>
      </c>
      <c r="K83" s="744"/>
      <c r="L83" s="1284"/>
    </row>
    <row r="84" spans="1:12" ht="13.5" thickBot="1">
      <c r="A84" s="733">
        <v>59</v>
      </c>
      <c r="B84" s="745" t="s">
        <v>842</v>
      </c>
      <c r="C84" s="746">
        <f>SUM(C82:C83)</f>
        <v>62107135</v>
      </c>
      <c r="D84" s="748"/>
      <c r="E84" s="747">
        <f>SUM(E82:E83)</f>
        <v>32379432</v>
      </c>
      <c r="F84" s="747">
        <f>SUM(F82:F83)</f>
        <v>8244379</v>
      </c>
      <c r="G84" s="747">
        <f>SUM(G82:G83)</f>
        <v>20495112</v>
      </c>
      <c r="H84" s="747">
        <f>SUM(H82:H83)</f>
        <v>988212</v>
      </c>
      <c r="I84" s="748"/>
      <c r="J84" s="751">
        <f>SUM(J82:J83)</f>
        <v>16987125</v>
      </c>
      <c r="K84" s="751">
        <f>SUM(K82:K83)</f>
        <v>0</v>
      </c>
      <c r="L84" s="1292"/>
    </row>
    <row r="85" spans="1:12" ht="13.5" thickBot="1">
      <c r="A85" s="733"/>
      <c r="B85" s="1301"/>
      <c r="C85" s="1302"/>
      <c r="D85" s="1302"/>
      <c r="E85" s="1302"/>
      <c r="F85" s="1302"/>
      <c r="G85" s="1302"/>
      <c r="H85" s="1302"/>
      <c r="I85" s="1302"/>
      <c r="J85" s="1302"/>
      <c r="K85" s="1303"/>
      <c r="L85" s="732"/>
    </row>
    <row r="86" spans="1:12" ht="13.5" thickBot="1">
      <c r="A86" s="769">
        <v>60</v>
      </c>
      <c r="B86" s="770" t="s">
        <v>846</v>
      </c>
      <c r="C86" s="1314">
        <v>30232800</v>
      </c>
      <c r="D86" s="876"/>
      <c r="E86" s="736">
        <v>1493750</v>
      </c>
      <c r="F86" s="775">
        <v>10460450</v>
      </c>
      <c r="G86" s="775">
        <v>6062400</v>
      </c>
      <c r="H86" s="775">
        <v>505200</v>
      </c>
      <c r="I86" s="876"/>
      <c r="J86" s="1283"/>
      <c r="K86" s="1283"/>
      <c r="L86" s="738">
        <v>7143232</v>
      </c>
    </row>
    <row r="87" spans="1:12" ht="25.5">
      <c r="A87" s="913">
        <v>61</v>
      </c>
      <c r="B87" s="916" t="s">
        <v>1013</v>
      </c>
      <c r="C87" s="1315"/>
      <c r="D87" s="914"/>
      <c r="E87" s="912">
        <v>3346000</v>
      </c>
      <c r="F87" s="915">
        <v>4015200</v>
      </c>
      <c r="G87" s="915">
        <v>4015200</v>
      </c>
      <c r="H87" s="915">
        <v>334600</v>
      </c>
      <c r="I87" s="914"/>
      <c r="J87" s="1284"/>
      <c r="K87" s="1284"/>
      <c r="L87" s="911">
        <v>4015200</v>
      </c>
    </row>
    <row r="88" spans="1:12" ht="12.75">
      <c r="A88" s="752">
        <v>62</v>
      </c>
      <c r="B88" s="756" t="s">
        <v>844</v>
      </c>
      <c r="C88" s="757">
        <v>28874335</v>
      </c>
      <c r="D88" s="878"/>
      <c r="E88" s="742">
        <v>10552557</v>
      </c>
      <c r="F88" s="768">
        <v>8855854</v>
      </c>
      <c r="G88" s="768">
        <v>9417512</v>
      </c>
      <c r="H88" s="768">
        <v>48412</v>
      </c>
      <c r="I88" s="878"/>
      <c r="J88" s="1284"/>
      <c r="K88" s="1284"/>
      <c r="L88" s="744">
        <v>4264649</v>
      </c>
    </row>
    <row r="89" spans="1:12" ht="13.5" thickBot="1">
      <c r="A89" s="752">
        <v>63</v>
      </c>
      <c r="B89" s="879" t="s">
        <v>998</v>
      </c>
      <c r="C89" s="887">
        <v>3000000</v>
      </c>
      <c r="D89" s="881"/>
      <c r="E89" s="742">
        <v>0</v>
      </c>
      <c r="F89" s="768">
        <v>1900000</v>
      </c>
      <c r="G89" s="768">
        <v>1000000</v>
      </c>
      <c r="H89" s="768">
        <v>100000</v>
      </c>
      <c r="I89" s="881"/>
      <c r="J89" s="1284"/>
      <c r="K89" s="1284"/>
      <c r="L89" s="744">
        <v>1564044</v>
      </c>
    </row>
    <row r="90" spans="1:12" ht="13.5" thickBot="1">
      <c r="A90" s="771">
        <v>64</v>
      </c>
      <c r="B90" s="772" t="s">
        <v>378</v>
      </c>
      <c r="C90" s="760">
        <f>SUM(C86:C89)</f>
        <v>62107135</v>
      </c>
      <c r="D90" s="785"/>
      <c r="E90" s="773">
        <f>SUM(E86:E89)</f>
        <v>15392307</v>
      </c>
      <c r="F90" s="773">
        <f>SUM(F86:F89)</f>
        <v>25231504</v>
      </c>
      <c r="G90" s="773">
        <f>SUM(G86:G89)</f>
        <v>20495112</v>
      </c>
      <c r="H90" s="773">
        <f>SUM(H86:H89)</f>
        <v>988212</v>
      </c>
      <c r="I90" s="785"/>
      <c r="J90" s="1285"/>
      <c r="K90" s="1285"/>
      <c r="L90" s="762">
        <f>SUM(L86:L89)</f>
        <v>16987125</v>
      </c>
    </row>
    <row r="91" spans="1:12" ht="14.25" thickBot="1" thickTop="1">
      <c r="A91" s="733"/>
      <c r="B91" s="1301"/>
      <c r="C91" s="1302"/>
      <c r="D91" s="1302"/>
      <c r="E91" s="1302"/>
      <c r="F91" s="1302"/>
      <c r="G91" s="1302"/>
      <c r="H91" s="1302"/>
      <c r="I91" s="1302"/>
      <c r="J91" s="1302"/>
      <c r="K91" s="1303"/>
      <c r="L91" s="732"/>
    </row>
    <row r="92" spans="1:12" ht="16.5" thickBot="1" thickTop="1">
      <c r="A92" s="869">
        <v>65</v>
      </c>
      <c r="B92" s="1289" t="s">
        <v>1000</v>
      </c>
      <c r="C92" s="1290"/>
      <c r="D92" s="1290"/>
      <c r="E92" s="1290"/>
      <c r="F92" s="1290"/>
      <c r="G92" s="1290"/>
      <c r="H92" s="1290"/>
      <c r="I92" s="1290"/>
      <c r="J92" s="1291"/>
      <c r="K92" s="1291"/>
      <c r="L92" s="871"/>
    </row>
    <row r="93" spans="1:12" ht="12.75">
      <c r="A93" s="731">
        <v>66</v>
      </c>
      <c r="B93" s="789" t="s">
        <v>845</v>
      </c>
      <c r="C93" s="754">
        <v>0</v>
      </c>
      <c r="D93" s="881"/>
      <c r="E93" s="736">
        <v>0</v>
      </c>
      <c r="F93" s="775">
        <v>0</v>
      </c>
      <c r="G93" s="775">
        <v>0</v>
      </c>
      <c r="H93" s="776"/>
      <c r="I93" s="776"/>
      <c r="J93" s="738">
        <v>0</v>
      </c>
      <c r="K93" s="738">
        <v>0</v>
      </c>
      <c r="L93" s="1283"/>
    </row>
    <row r="94" spans="1:12" ht="13.5" thickBot="1">
      <c r="A94" s="733">
        <v>67</v>
      </c>
      <c r="B94" s="739" t="s">
        <v>841</v>
      </c>
      <c r="C94" s="757">
        <v>196302400</v>
      </c>
      <c r="D94" s="881"/>
      <c r="E94" s="742">
        <v>196302400</v>
      </c>
      <c r="F94" s="742">
        <v>0</v>
      </c>
      <c r="G94" s="742">
        <v>0</v>
      </c>
      <c r="H94" s="777"/>
      <c r="I94" s="778"/>
      <c r="J94" s="744">
        <v>196302400</v>
      </c>
      <c r="K94" s="744"/>
      <c r="L94" s="1284"/>
    </row>
    <row r="95" spans="1:12" ht="13.5" thickBot="1">
      <c r="A95" s="733">
        <v>68</v>
      </c>
      <c r="B95" s="745" t="s">
        <v>842</v>
      </c>
      <c r="C95" s="746">
        <f>SUM(C93:C94)</f>
        <v>196302400</v>
      </c>
      <c r="D95" s="783"/>
      <c r="E95" s="747">
        <f>SUM(E93:E94)</f>
        <v>196302400</v>
      </c>
      <c r="F95" s="747">
        <f>SUM(F93:F94)</f>
        <v>0</v>
      </c>
      <c r="G95" s="747">
        <f>SUM(G93:G94)</f>
        <v>0</v>
      </c>
      <c r="H95" s="783"/>
      <c r="I95" s="784"/>
      <c r="J95" s="751">
        <f>SUM(J93:J94)</f>
        <v>196302400</v>
      </c>
      <c r="K95" s="751">
        <f>SUM(K93:K94)</f>
        <v>0</v>
      </c>
      <c r="L95" s="1292"/>
    </row>
    <row r="96" spans="1:12" ht="13.5" thickBot="1">
      <c r="A96" s="733"/>
      <c r="B96" s="1301"/>
      <c r="C96" s="1302"/>
      <c r="D96" s="1302"/>
      <c r="E96" s="1302"/>
      <c r="F96" s="1302"/>
      <c r="G96" s="1302"/>
      <c r="H96" s="1302"/>
      <c r="I96" s="1302"/>
      <c r="J96" s="1302"/>
      <c r="K96" s="1303"/>
      <c r="L96" s="732"/>
    </row>
    <row r="97" spans="1:12" ht="12.75">
      <c r="A97" s="752">
        <v>69</v>
      </c>
      <c r="B97" s="770" t="s">
        <v>843</v>
      </c>
      <c r="C97" s="754">
        <f>SUM(E97:G97)</f>
        <v>196302400</v>
      </c>
      <c r="D97" s="878"/>
      <c r="E97" s="736">
        <v>0</v>
      </c>
      <c r="F97" s="736">
        <v>96822314</v>
      </c>
      <c r="G97" s="736">
        <v>99480086</v>
      </c>
      <c r="H97" s="776"/>
      <c r="I97" s="776"/>
      <c r="J97" s="1283"/>
      <c r="K97" s="1283"/>
      <c r="L97" s="738">
        <v>196302400</v>
      </c>
    </row>
    <row r="98" spans="1:12" ht="13.5" thickBot="1">
      <c r="A98" s="752">
        <v>70</v>
      </c>
      <c r="B98" s="779" t="s">
        <v>848</v>
      </c>
      <c r="C98" s="757">
        <v>0</v>
      </c>
      <c r="D98" s="881"/>
      <c r="E98" s="780">
        <v>0</v>
      </c>
      <c r="F98" s="780">
        <v>0</v>
      </c>
      <c r="G98" s="780">
        <v>0</v>
      </c>
      <c r="H98" s="777"/>
      <c r="I98" s="778"/>
      <c r="J98" s="1284"/>
      <c r="K98" s="1284"/>
      <c r="L98" s="744">
        <v>0</v>
      </c>
    </row>
    <row r="99" spans="1:12" ht="13.5" thickBot="1">
      <c r="A99" s="771">
        <v>71</v>
      </c>
      <c r="B99" s="772" t="s">
        <v>378</v>
      </c>
      <c r="C99" s="760">
        <f>SUM(C97:C98)</f>
        <v>196302400</v>
      </c>
      <c r="D99" s="785"/>
      <c r="E99" s="773">
        <f>SUM(E97:E98)</f>
        <v>0</v>
      </c>
      <c r="F99" s="773">
        <f>SUM(F97:F98)</f>
        <v>96822314</v>
      </c>
      <c r="G99" s="773">
        <f>SUM(G97:G98)</f>
        <v>99480086</v>
      </c>
      <c r="H99" s="785"/>
      <c r="I99" s="785"/>
      <c r="J99" s="1285"/>
      <c r="K99" s="1285"/>
      <c r="L99" s="762">
        <f>SUM(L97:L98)</f>
        <v>196302400</v>
      </c>
    </row>
    <row r="100" spans="1:12" ht="14.25" thickBot="1" thickTop="1">
      <c r="A100" s="733"/>
      <c r="B100" s="1301"/>
      <c r="C100" s="1302"/>
      <c r="D100" s="1302"/>
      <c r="E100" s="1302"/>
      <c r="F100" s="1302"/>
      <c r="G100" s="1302"/>
      <c r="H100" s="1302"/>
      <c r="I100" s="1302"/>
      <c r="J100" s="1302"/>
      <c r="K100" s="1303"/>
      <c r="L100" s="732"/>
    </row>
    <row r="101" spans="1:12" ht="16.5" thickBot="1" thickTop="1">
      <c r="A101" s="869">
        <v>72</v>
      </c>
      <c r="B101" s="1289" t="s">
        <v>1001</v>
      </c>
      <c r="C101" s="1290"/>
      <c r="D101" s="1290"/>
      <c r="E101" s="1290"/>
      <c r="F101" s="1290"/>
      <c r="G101" s="1290"/>
      <c r="H101" s="1290"/>
      <c r="I101" s="1290"/>
      <c r="J101" s="1291"/>
      <c r="K101" s="1291"/>
      <c r="L101" s="871"/>
    </row>
    <row r="102" spans="1:12" ht="12.75">
      <c r="A102" s="731">
        <v>73</v>
      </c>
      <c r="B102" s="789" t="s">
        <v>845</v>
      </c>
      <c r="C102" s="754">
        <v>0</v>
      </c>
      <c r="D102" s="881"/>
      <c r="E102" s="736">
        <v>0</v>
      </c>
      <c r="F102" s="775">
        <v>0</v>
      </c>
      <c r="G102" s="776"/>
      <c r="H102" s="776"/>
      <c r="I102" s="776"/>
      <c r="J102" s="738">
        <v>0</v>
      </c>
      <c r="K102" s="738">
        <v>0</v>
      </c>
      <c r="L102" s="1283"/>
    </row>
    <row r="103" spans="1:12" ht="13.5" thickBot="1">
      <c r="A103" s="733">
        <v>74</v>
      </c>
      <c r="B103" s="739" t="s">
        <v>841</v>
      </c>
      <c r="C103" s="757">
        <v>437625000</v>
      </c>
      <c r="D103" s="881"/>
      <c r="E103" s="742">
        <v>437625000</v>
      </c>
      <c r="F103" s="742">
        <v>0</v>
      </c>
      <c r="G103" s="777"/>
      <c r="H103" s="777"/>
      <c r="I103" s="778"/>
      <c r="J103" s="744">
        <f>7875000+429750000</f>
        <v>437625000</v>
      </c>
      <c r="K103" s="744">
        <v>0</v>
      </c>
      <c r="L103" s="1284"/>
    </row>
    <row r="104" spans="1:12" ht="13.5" thickBot="1">
      <c r="A104" s="733">
        <v>75</v>
      </c>
      <c r="B104" s="745" t="s">
        <v>842</v>
      </c>
      <c r="C104" s="746">
        <f>SUM(C102:C103)</f>
        <v>437625000</v>
      </c>
      <c r="D104" s="783"/>
      <c r="E104" s="747">
        <f>SUM(E102:E103)</f>
        <v>437625000</v>
      </c>
      <c r="F104" s="747">
        <f>SUM(F102:F103)</f>
        <v>0</v>
      </c>
      <c r="G104" s="783"/>
      <c r="H104" s="783"/>
      <c r="I104" s="784"/>
      <c r="J104" s="751">
        <f>SUM(J102:J103)</f>
        <v>437625000</v>
      </c>
      <c r="K104" s="751">
        <f>SUM(K102:K103)</f>
        <v>0</v>
      </c>
      <c r="L104" s="1292"/>
    </row>
    <row r="105" spans="1:12" ht="13.5" thickBot="1">
      <c r="A105" s="733"/>
      <c r="B105" s="1301"/>
      <c r="C105" s="1302"/>
      <c r="D105" s="1302"/>
      <c r="E105" s="1302"/>
      <c r="F105" s="1302"/>
      <c r="G105" s="1302"/>
      <c r="H105" s="1302"/>
      <c r="I105" s="1302"/>
      <c r="J105" s="1302"/>
      <c r="K105" s="1303"/>
      <c r="L105" s="732"/>
    </row>
    <row r="106" spans="1:12" ht="13.5" thickBot="1">
      <c r="A106" s="752">
        <v>76</v>
      </c>
      <c r="B106" s="770" t="s">
        <v>843</v>
      </c>
      <c r="C106" s="754">
        <v>429750000</v>
      </c>
      <c r="D106" s="878"/>
      <c r="E106" s="736">
        <v>0</v>
      </c>
      <c r="F106" s="736">
        <v>429750000</v>
      </c>
      <c r="G106" s="776"/>
      <c r="H106" s="776"/>
      <c r="I106" s="776"/>
      <c r="J106" s="1283"/>
      <c r="K106" s="1283"/>
      <c r="L106" s="738">
        <v>429750000</v>
      </c>
    </row>
    <row r="107" spans="1:12" ht="13.5" thickBot="1">
      <c r="A107" s="752">
        <v>77</v>
      </c>
      <c r="B107" s="779" t="s">
        <v>844</v>
      </c>
      <c r="C107" s="757">
        <v>7875000</v>
      </c>
      <c r="D107" s="881"/>
      <c r="E107" s="780">
        <v>0</v>
      </c>
      <c r="F107" s="736">
        <v>7875000</v>
      </c>
      <c r="G107" s="777"/>
      <c r="H107" s="777"/>
      <c r="I107" s="778"/>
      <c r="J107" s="1284"/>
      <c r="K107" s="1284"/>
      <c r="L107" s="744">
        <v>7875000</v>
      </c>
    </row>
    <row r="108" spans="1:12" ht="13.5" thickBot="1">
      <c r="A108" s="771">
        <v>78</v>
      </c>
      <c r="B108" s="772" t="s">
        <v>378</v>
      </c>
      <c r="C108" s="760">
        <f>SUM(C106:C107)</f>
        <v>437625000</v>
      </c>
      <c r="D108" s="785"/>
      <c r="E108" s="773">
        <f>SUM(E106:E107)</f>
        <v>0</v>
      </c>
      <c r="F108" s="773">
        <f>SUM(F106:F107)</f>
        <v>437625000</v>
      </c>
      <c r="G108" s="785"/>
      <c r="H108" s="785"/>
      <c r="I108" s="785"/>
      <c r="J108" s="1285"/>
      <c r="K108" s="1285"/>
      <c r="L108" s="762">
        <f>SUM(L106:L107)</f>
        <v>437625000</v>
      </c>
    </row>
    <row r="109" spans="1:12" ht="14.25" thickBot="1" thickTop="1">
      <c r="A109" s="733"/>
      <c r="B109" s="1301"/>
      <c r="C109" s="1302"/>
      <c r="D109" s="1302"/>
      <c r="E109" s="1302"/>
      <c r="F109" s="1302"/>
      <c r="G109" s="1302"/>
      <c r="H109" s="1302"/>
      <c r="I109" s="1302"/>
      <c r="J109" s="1302"/>
      <c r="K109" s="1303"/>
      <c r="L109" s="732"/>
    </row>
    <row r="110" spans="1:12" ht="16.5" thickBot="1" thickTop="1">
      <c r="A110" s="869">
        <v>79</v>
      </c>
      <c r="B110" s="1289" t="s">
        <v>1002</v>
      </c>
      <c r="C110" s="1290"/>
      <c r="D110" s="1290"/>
      <c r="E110" s="1290"/>
      <c r="F110" s="1290"/>
      <c r="G110" s="1290"/>
      <c r="H110" s="1290"/>
      <c r="I110" s="1290"/>
      <c r="J110" s="1291"/>
      <c r="K110" s="1291"/>
      <c r="L110" s="871"/>
    </row>
    <row r="111" spans="1:12" ht="12.75">
      <c r="A111" s="731">
        <v>80</v>
      </c>
      <c r="B111" s="789" t="s">
        <v>845</v>
      </c>
      <c r="C111" s="754">
        <v>0</v>
      </c>
      <c r="D111" s="881"/>
      <c r="E111" s="736">
        <v>0</v>
      </c>
      <c r="F111" s="775">
        <v>0</v>
      </c>
      <c r="G111" s="775">
        <v>0</v>
      </c>
      <c r="H111" s="776"/>
      <c r="I111" s="776"/>
      <c r="J111" s="738">
        <v>0</v>
      </c>
      <c r="K111" s="738">
        <v>0</v>
      </c>
      <c r="L111" s="1283"/>
    </row>
    <row r="112" spans="1:12" ht="13.5" thickBot="1">
      <c r="A112" s="733">
        <v>81</v>
      </c>
      <c r="B112" s="739" t="s">
        <v>841</v>
      </c>
      <c r="C112" s="757">
        <v>100000000</v>
      </c>
      <c r="D112" s="881"/>
      <c r="E112" s="742">
        <v>100000000</v>
      </c>
      <c r="F112" s="742">
        <v>0</v>
      </c>
      <c r="G112" s="742">
        <v>0</v>
      </c>
      <c r="H112" s="777"/>
      <c r="I112" s="778"/>
      <c r="J112" s="744">
        <v>97606050</v>
      </c>
      <c r="K112" s="744"/>
      <c r="L112" s="1284"/>
    </row>
    <row r="113" spans="1:12" ht="13.5" thickBot="1">
      <c r="A113" s="733">
        <v>82</v>
      </c>
      <c r="B113" s="745" t="s">
        <v>842</v>
      </c>
      <c r="C113" s="746">
        <f>SUM(C111:C112)</f>
        <v>100000000</v>
      </c>
      <c r="D113" s="783"/>
      <c r="E113" s="747">
        <f>SUM(E111:E112)</f>
        <v>100000000</v>
      </c>
      <c r="F113" s="747">
        <f>SUM(F111:F112)</f>
        <v>0</v>
      </c>
      <c r="G113" s="747">
        <f>SUM(G111:G112)</f>
        <v>0</v>
      </c>
      <c r="H113" s="783"/>
      <c r="I113" s="784"/>
      <c r="J113" s="751">
        <f>SUM(J111:J112)</f>
        <v>97606050</v>
      </c>
      <c r="K113" s="751">
        <f>SUM(K111:K112)</f>
        <v>0</v>
      </c>
      <c r="L113" s="1292"/>
    </row>
    <row r="114" spans="1:12" ht="13.5" thickBot="1">
      <c r="A114" s="733"/>
      <c r="B114" s="1301"/>
      <c r="C114" s="1302"/>
      <c r="D114" s="1302"/>
      <c r="E114" s="1302"/>
      <c r="F114" s="1302"/>
      <c r="G114" s="1302"/>
      <c r="H114" s="1302"/>
      <c r="I114" s="1302"/>
      <c r="J114" s="1302"/>
      <c r="K114" s="1303"/>
      <c r="L114" s="732"/>
    </row>
    <row r="115" spans="1:12" ht="12.75">
      <c r="A115" s="752">
        <v>83</v>
      </c>
      <c r="B115" s="770" t="s">
        <v>849</v>
      </c>
      <c r="C115" s="754">
        <f>SUM(E115:G115)</f>
        <v>100000000</v>
      </c>
      <c r="D115" s="878"/>
      <c r="E115" s="736">
        <v>2393950</v>
      </c>
      <c r="F115" s="736">
        <v>85795050</v>
      </c>
      <c r="G115" s="736">
        <v>11811000</v>
      </c>
      <c r="H115" s="776"/>
      <c r="I115" s="776"/>
      <c r="J115" s="1283"/>
      <c r="K115" s="1283"/>
      <c r="L115" s="738">
        <v>97606050</v>
      </c>
    </row>
    <row r="116" spans="1:12" ht="13.5" thickBot="1">
      <c r="A116" s="752">
        <v>84</v>
      </c>
      <c r="B116" s="779" t="s">
        <v>850</v>
      </c>
      <c r="C116" s="757">
        <v>0</v>
      </c>
      <c r="D116" s="881"/>
      <c r="E116" s="780">
        <v>0</v>
      </c>
      <c r="F116" s="780">
        <v>0</v>
      </c>
      <c r="G116" s="780">
        <v>0</v>
      </c>
      <c r="H116" s="777"/>
      <c r="I116" s="778"/>
      <c r="J116" s="1284"/>
      <c r="K116" s="1284"/>
      <c r="L116" s="744">
        <v>0</v>
      </c>
    </row>
    <row r="117" spans="1:12" ht="13.5" thickBot="1">
      <c r="A117" s="771">
        <v>85</v>
      </c>
      <c r="B117" s="772" t="s">
        <v>378</v>
      </c>
      <c r="C117" s="760">
        <f>SUM(C115:C116)</f>
        <v>100000000</v>
      </c>
      <c r="D117" s="785"/>
      <c r="E117" s="773">
        <f>SUM(E115:E116)</f>
        <v>2393950</v>
      </c>
      <c r="F117" s="773">
        <f>SUM(F115:F116)</f>
        <v>85795050</v>
      </c>
      <c r="G117" s="773">
        <f>SUM(G115:G116)</f>
        <v>11811000</v>
      </c>
      <c r="H117" s="785"/>
      <c r="I117" s="785"/>
      <c r="J117" s="1285"/>
      <c r="K117" s="1285"/>
      <c r="L117" s="762">
        <f>SUM(L115:L116)</f>
        <v>97606050</v>
      </c>
    </row>
    <row r="118" spans="1:12" ht="14.25" thickBot="1" thickTop="1">
      <c r="A118" s="733"/>
      <c r="B118" s="1301"/>
      <c r="C118" s="1302"/>
      <c r="D118" s="1302"/>
      <c r="E118" s="1302"/>
      <c r="F118" s="1302"/>
      <c r="G118" s="1302"/>
      <c r="H118" s="1302"/>
      <c r="I118" s="1302"/>
      <c r="J118" s="1302"/>
      <c r="K118" s="1303"/>
      <c r="L118" s="732"/>
    </row>
    <row r="119" spans="1:12" ht="16.5" thickBot="1" thickTop="1">
      <c r="A119" s="869">
        <v>86</v>
      </c>
      <c r="B119" s="1289" t="s">
        <v>1003</v>
      </c>
      <c r="C119" s="1290"/>
      <c r="D119" s="1290"/>
      <c r="E119" s="1290"/>
      <c r="F119" s="1290"/>
      <c r="G119" s="1290"/>
      <c r="H119" s="1290"/>
      <c r="I119" s="1290"/>
      <c r="J119" s="1291"/>
      <c r="K119" s="1291"/>
      <c r="L119" s="871"/>
    </row>
    <row r="120" spans="1:12" ht="12.75">
      <c r="A120" s="731">
        <v>87</v>
      </c>
      <c r="B120" s="789" t="s">
        <v>845</v>
      </c>
      <c r="C120" s="754">
        <v>10000000</v>
      </c>
      <c r="D120" s="881"/>
      <c r="E120" s="736">
        <v>0</v>
      </c>
      <c r="F120" s="775">
        <v>10000000</v>
      </c>
      <c r="G120" s="776"/>
      <c r="H120" s="776"/>
      <c r="I120" s="776"/>
      <c r="J120" s="738">
        <v>0</v>
      </c>
      <c r="K120" s="738">
        <v>10000000</v>
      </c>
      <c r="L120" s="1283"/>
    </row>
    <row r="121" spans="1:12" ht="13.5" thickBot="1">
      <c r="A121" s="733">
        <v>88</v>
      </c>
      <c r="B121" s="739" t="s">
        <v>841</v>
      </c>
      <c r="C121" s="757">
        <v>118000000</v>
      </c>
      <c r="D121" s="881"/>
      <c r="E121" s="742">
        <v>112219000</v>
      </c>
      <c r="F121" s="742">
        <v>5781000</v>
      </c>
      <c r="G121" s="777"/>
      <c r="H121" s="777"/>
      <c r="I121" s="778"/>
      <c r="J121" s="744">
        <v>106361800</v>
      </c>
      <c r="K121" s="744"/>
      <c r="L121" s="1284"/>
    </row>
    <row r="122" spans="1:12" ht="13.5" thickBot="1">
      <c r="A122" s="733">
        <v>89</v>
      </c>
      <c r="B122" s="745" t="s">
        <v>842</v>
      </c>
      <c r="C122" s="746">
        <f>SUM(C120:C121)</f>
        <v>128000000</v>
      </c>
      <c r="D122" s="783"/>
      <c r="E122" s="747">
        <f>SUM(E120:E121)</f>
        <v>112219000</v>
      </c>
      <c r="F122" s="747">
        <f>SUM(F120:F121)</f>
        <v>15781000</v>
      </c>
      <c r="G122" s="783"/>
      <c r="H122" s="783"/>
      <c r="I122" s="784"/>
      <c r="J122" s="751">
        <f>SUM(J120:J121)</f>
        <v>106361800</v>
      </c>
      <c r="K122" s="751">
        <f>SUM(K120:K121)</f>
        <v>10000000</v>
      </c>
      <c r="L122" s="1292"/>
    </row>
    <row r="123" spans="1:12" ht="13.5" thickBot="1">
      <c r="A123" s="733"/>
      <c r="B123" s="1301"/>
      <c r="C123" s="1302"/>
      <c r="D123" s="1302"/>
      <c r="E123" s="1302"/>
      <c r="F123" s="1302"/>
      <c r="G123" s="1302"/>
      <c r="H123" s="1302"/>
      <c r="I123" s="1302"/>
      <c r="J123" s="1302"/>
      <c r="K123" s="1303"/>
      <c r="L123" s="732"/>
    </row>
    <row r="124" spans="1:12" ht="13.5" thickBot="1">
      <c r="A124" s="752">
        <v>90</v>
      </c>
      <c r="B124" s="770" t="s">
        <v>843</v>
      </c>
      <c r="C124" s="754">
        <f>SUM(E124:G124)</f>
        <v>118000000</v>
      </c>
      <c r="D124" s="881"/>
      <c r="E124" s="736">
        <v>5857200</v>
      </c>
      <c r="F124" s="736">
        <v>112142800</v>
      </c>
      <c r="G124" s="776"/>
      <c r="H124" s="776"/>
      <c r="I124" s="776"/>
      <c r="J124" s="1283"/>
      <c r="K124" s="1283"/>
      <c r="L124" s="738">
        <v>106361800</v>
      </c>
    </row>
    <row r="125" spans="1:12" ht="13.5" thickBot="1">
      <c r="A125" s="752">
        <v>91</v>
      </c>
      <c r="B125" s="779" t="s">
        <v>848</v>
      </c>
      <c r="C125" s="754">
        <f>SUM(E125:G125)</f>
        <v>10000000</v>
      </c>
      <c r="D125" s="881"/>
      <c r="E125" s="780">
        <v>0</v>
      </c>
      <c r="F125" s="920">
        <v>10000000</v>
      </c>
      <c r="G125" s="777"/>
      <c r="H125" s="777"/>
      <c r="I125" s="778"/>
      <c r="J125" s="1284"/>
      <c r="K125" s="1284"/>
      <c r="L125" s="744">
        <v>10000000</v>
      </c>
    </row>
    <row r="126" spans="1:12" ht="13.5" thickBot="1">
      <c r="A126" s="771">
        <v>92</v>
      </c>
      <c r="B126" s="772" t="s">
        <v>378</v>
      </c>
      <c r="C126" s="760">
        <f>SUM(C124:C125)</f>
        <v>128000000</v>
      </c>
      <c r="D126" s="785"/>
      <c r="E126" s="773">
        <f>SUM(E124:E125)</f>
        <v>5857200</v>
      </c>
      <c r="F126" s="773">
        <f>SUM(F124:F125)</f>
        <v>122142800</v>
      </c>
      <c r="G126" s="785"/>
      <c r="H126" s="785"/>
      <c r="I126" s="785"/>
      <c r="J126" s="1285"/>
      <c r="K126" s="1285"/>
      <c r="L126" s="762">
        <f>SUM(L124:L125)</f>
        <v>116361800</v>
      </c>
    </row>
    <row r="127" spans="1:12" ht="14.25" thickBot="1" thickTop="1">
      <c r="A127" s="774"/>
      <c r="B127" s="888"/>
      <c r="C127" s="889"/>
      <c r="D127" s="890"/>
      <c r="E127" s="891"/>
      <c r="F127" s="891"/>
      <c r="G127" s="890"/>
      <c r="H127" s="890"/>
      <c r="I127" s="890"/>
      <c r="J127" s="892"/>
      <c r="K127" s="892"/>
      <c r="L127" s="893"/>
    </row>
    <row r="128" spans="1:12" ht="16.5" thickBot="1" thickTop="1">
      <c r="A128" s="869">
        <v>93</v>
      </c>
      <c r="B128" s="1289" t="s">
        <v>1004</v>
      </c>
      <c r="C128" s="1290"/>
      <c r="D128" s="1290"/>
      <c r="E128" s="1290"/>
      <c r="F128" s="1290"/>
      <c r="G128" s="1290"/>
      <c r="H128" s="1290"/>
      <c r="I128" s="1290"/>
      <c r="J128" s="1291"/>
      <c r="K128" s="1291"/>
      <c r="L128" s="871"/>
    </row>
    <row r="129" spans="1:12" ht="12.75">
      <c r="A129" s="731">
        <v>94</v>
      </c>
      <c r="B129" s="789" t="s">
        <v>845</v>
      </c>
      <c r="C129" s="754">
        <v>0</v>
      </c>
      <c r="D129" s="881"/>
      <c r="E129" s="736">
        <v>0</v>
      </c>
      <c r="F129" s="775">
        <v>0</v>
      </c>
      <c r="G129" s="776"/>
      <c r="H129" s="776"/>
      <c r="I129" s="776"/>
      <c r="J129" s="738">
        <v>0</v>
      </c>
      <c r="K129" s="738">
        <v>0</v>
      </c>
      <c r="L129" s="1283"/>
    </row>
    <row r="130" spans="1:12" ht="13.5" thickBot="1">
      <c r="A130" s="733">
        <v>95</v>
      </c>
      <c r="B130" s="739" t="s">
        <v>841</v>
      </c>
      <c r="C130" s="757">
        <v>50000000</v>
      </c>
      <c r="D130" s="881"/>
      <c r="E130" s="742">
        <v>50000000</v>
      </c>
      <c r="F130" s="742">
        <v>0</v>
      </c>
      <c r="G130" s="777"/>
      <c r="H130" s="777"/>
      <c r="I130" s="778"/>
      <c r="J130" s="744">
        <v>47550000</v>
      </c>
      <c r="K130" s="744"/>
      <c r="L130" s="1284"/>
    </row>
    <row r="131" spans="1:12" ht="13.5" thickBot="1">
      <c r="A131" s="733">
        <v>96</v>
      </c>
      <c r="B131" s="745" t="s">
        <v>842</v>
      </c>
      <c r="C131" s="746">
        <f>SUM(C129:C130)</f>
        <v>50000000</v>
      </c>
      <c r="D131" s="783"/>
      <c r="E131" s="747">
        <f>SUM(E129:E130)</f>
        <v>50000000</v>
      </c>
      <c r="F131" s="747">
        <f>SUM(F129:F130)</f>
        <v>0</v>
      </c>
      <c r="G131" s="783"/>
      <c r="H131" s="783"/>
      <c r="I131" s="784"/>
      <c r="J131" s="751">
        <f>SUM(J129:J130)</f>
        <v>47550000</v>
      </c>
      <c r="K131" s="751">
        <f>SUM(K129:K130)</f>
        <v>0</v>
      </c>
      <c r="L131" s="1292"/>
    </row>
    <row r="132" spans="1:12" ht="13.5" thickBot="1">
      <c r="A132" s="733"/>
      <c r="B132" s="1301"/>
      <c r="C132" s="1302"/>
      <c r="D132" s="1302"/>
      <c r="E132" s="1302"/>
      <c r="F132" s="1302"/>
      <c r="G132" s="1302"/>
      <c r="H132" s="1302"/>
      <c r="I132" s="1302"/>
      <c r="J132" s="1302"/>
      <c r="K132" s="1303"/>
      <c r="L132" s="732"/>
    </row>
    <row r="133" spans="1:12" ht="12.75">
      <c r="A133" s="752">
        <v>97</v>
      </c>
      <c r="B133" s="770" t="s">
        <v>849</v>
      </c>
      <c r="C133" s="754">
        <v>50000000</v>
      </c>
      <c r="D133" s="878"/>
      <c r="E133" s="894">
        <v>2450000</v>
      </c>
      <c r="F133" s="894">
        <v>47550000</v>
      </c>
      <c r="G133" s="776"/>
      <c r="H133" s="776"/>
      <c r="I133" s="776"/>
      <c r="J133" s="1283"/>
      <c r="K133" s="1283"/>
      <c r="L133" s="738">
        <v>47550000</v>
      </c>
    </row>
    <row r="134" spans="1:12" ht="13.5" thickBot="1">
      <c r="A134" s="752">
        <v>98</v>
      </c>
      <c r="B134" s="779" t="s">
        <v>850</v>
      </c>
      <c r="C134" s="757">
        <v>0</v>
      </c>
      <c r="D134" s="881"/>
      <c r="E134" s="780">
        <v>0</v>
      </c>
      <c r="F134" s="780">
        <v>0</v>
      </c>
      <c r="G134" s="777"/>
      <c r="H134" s="777"/>
      <c r="I134" s="778"/>
      <c r="J134" s="1284"/>
      <c r="K134" s="1284"/>
      <c r="L134" s="744">
        <v>0</v>
      </c>
    </row>
    <row r="135" spans="1:12" ht="13.5" thickBot="1">
      <c r="A135" s="771">
        <v>99</v>
      </c>
      <c r="B135" s="772" t="s">
        <v>378</v>
      </c>
      <c r="C135" s="760">
        <f>SUM(C133:C134)</f>
        <v>50000000</v>
      </c>
      <c r="D135" s="785"/>
      <c r="E135" s="773">
        <f>SUM(E133:E134)</f>
        <v>2450000</v>
      </c>
      <c r="F135" s="773">
        <f>SUM(F133:F134)</f>
        <v>47550000</v>
      </c>
      <c r="G135" s="785"/>
      <c r="H135" s="785"/>
      <c r="I135" s="785"/>
      <c r="J135" s="1285"/>
      <c r="K135" s="1285"/>
      <c r="L135" s="762">
        <f>SUM(L133:L134)</f>
        <v>47550000</v>
      </c>
    </row>
    <row r="136" spans="1:12" ht="14.25" thickBot="1" thickTop="1">
      <c r="A136" s="752"/>
      <c r="B136" s="895"/>
      <c r="C136" s="896"/>
      <c r="D136" s="897"/>
      <c r="E136" s="896"/>
      <c r="F136" s="896"/>
      <c r="G136" s="897"/>
      <c r="H136" s="897"/>
      <c r="I136" s="897"/>
      <c r="J136" s="898"/>
      <c r="K136" s="898"/>
      <c r="L136" s="899"/>
    </row>
    <row r="137" spans="1:12" ht="16.5" thickBot="1" thickTop="1">
      <c r="A137" s="869">
        <v>100</v>
      </c>
      <c r="B137" s="1289" t="s">
        <v>1005</v>
      </c>
      <c r="C137" s="1290"/>
      <c r="D137" s="1290"/>
      <c r="E137" s="1290"/>
      <c r="F137" s="1290"/>
      <c r="G137" s="1290"/>
      <c r="H137" s="1290"/>
      <c r="I137" s="1290"/>
      <c r="J137" s="1291"/>
      <c r="K137" s="1291"/>
      <c r="L137" s="871"/>
    </row>
    <row r="138" spans="1:12" ht="12.75">
      <c r="A138" s="731">
        <v>101</v>
      </c>
      <c r="B138" s="789" t="s">
        <v>845</v>
      </c>
      <c r="C138" s="754">
        <v>0</v>
      </c>
      <c r="D138" s="881"/>
      <c r="E138" s="736">
        <v>0</v>
      </c>
      <c r="F138" s="775">
        <v>0</v>
      </c>
      <c r="G138" s="900">
        <v>0</v>
      </c>
      <c r="H138" s="900">
        <v>0</v>
      </c>
      <c r="I138" s="900">
        <v>0</v>
      </c>
      <c r="J138" s="738">
        <v>0</v>
      </c>
      <c r="K138" s="738">
        <v>0</v>
      </c>
      <c r="L138" s="1283"/>
    </row>
    <row r="139" spans="1:12" ht="13.5" thickBot="1">
      <c r="A139" s="733">
        <v>102</v>
      </c>
      <c r="B139" s="739" t="s">
        <v>841</v>
      </c>
      <c r="C139" s="757">
        <v>21635062</v>
      </c>
      <c r="D139" s="881"/>
      <c r="E139" s="742">
        <v>21635062</v>
      </c>
      <c r="F139" s="742">
        <v>0</v>
      </c>
      <c r="G139" s="901">
        <v>0</v>
      </c>
      <c r="H139" s="901">
        <v>0</v>
      </c>
      <c r="I139" s="902">
        <v>0</v>
      </c>
      <c r="J139" s="744">
        <f>19772715+55</f>
        <v>19772770</v>
      </c>
      <c r="K139" s="744"/>
      <c r="L139" s="1284"/>
    </row>
    <row r="140" spans="1:12" ht="13.5" thickBot="1">
      <c r="A140" s="733">
        <v>103</v>
      </c>
      <c r="B140" s="745" t="s">
        <v>842</v>
      </c>
      <c r="C140" s="746">
        <f>SUM(C138:C139)</f>
        <v>21635062</v>
      </c>
      <c r="D140" s="783"/>
      <c r="E140" s="747">
        <f aca="true" t="shared" si="4" ref="E140:K140">SUM(E138:E139)</f>
        <v>21635062</v>
      </c>
      <c r="F140" s="747">
        <f t="shared" si="4"/>
        <v>0</v>
      </c>
      <c r="G140" s="747">
        <f t="shared" si="4"/>
        <v>0</v>
      </c>
      <c r="H140" s="747">
        <f t="shared" si="4"/>
        <v>0</v>
      </c>
      <c r="I140" s="747">
        <f t="shared" si="4"/>
        <v>0</v>
      </c>
      <c r="J140" s="751">
        <f t="shared" si="4"/>
        <v>19772770</v>
      </c>
      <c r="K140" s="751">
        <f t="shared" si="4"/>
        <v>0</v>
      </c>
      <c r="L140" s="1292"/>
    </row>
    <row r="141" spans="1:12" ht="13.5" thickBot="1">
      <c r="A141" s="733"/>
      <c r="B141" s="1301"/>
      <c r="C141" s="1302"/>
      <c r="D141" s="1302"/>
      <c r="E141" s="1302"/>
      <c r="F141" s="1302"/>
      <c r="G141" s="1302"/>
      <c r="H141" s="1302"/>
      <c r="I141" s="1302"/>
      <c r="J141" s="1302"/>
      <c r="K141" s="1303"/>
      <c r="L141" s="732"/>
    </row>
    <row r="142" spans="1:12" ht="12.75">
      <c r="A142" s="752">
        <v>104</v>
      </c>
      <c r="B142" s="770" t="s">
        <v>846</v>
      </c>
      <c r="C142" s="754">
        <v>10295000</v>
      </c>
      <c r="D142" s="878"/>
      <c r="E142" s="894">
        <v>717000</v>
      </c>
      <c r="F142" s="894">
        <v>3123000</v>
      </c>
      <c r="G142" s="894">
        <v>2880000</v>
      </c>
      <c r="H142" s="894">
        <v>2880000</v>
      </c>
      <c r="I142" s="894">
        <v>695000</v>
      </c>
      <c r="J142" s="1307"/>
      <c r="K142" s="1307"/>
      <c r="L142" s="754">
        <v>9578000</v>
      </c>
    </row>
    <row r="143" spans="1:12" ht="12.75">
      <c r="A143" s="752">
        <v>105</v>
      </c>
      <c r="B143" s="756" t="s">
        <v>844</v>
      </c>
      <c r="C143" s="887">
        <v>10510062</v>
      </c>
      <c r="D143" s="878"/>
      <c r="E143" s="903">
        <v>315347</v>
      </c>
      <c r="F143" s="903">
        <f>3984278+55</f>
        <v>3984333</v>
      </c>
      <c r="G143" s="904">
        <v>2149813</v>
      </c>
      <c r="H143" s="904">
        <v>2149812</v>
      </c>
      <c r="I143" s="904">
        <v>1910757</v>
      </c>
      <c r="J143" s="1308"/>
      <c r="K143" s="1308"/>
      <c r="L143" s="887">
        <f>10194715+55</f>
        <v>10194770</v>
      </c>
    </row>
    <row r="144" spans="1:12" ht="13.5" thickBot="1">
      <c r="A144" s="752">
        <v>106</v>
      </c>
      <c r="B144" s="879" t="s">
        <v>843</v>
      </c>
      <c r="C144" s="757">
        <v>830000</v>
      </c>
      <c r="D144" s="881"/>
      <c r="E144" s="920">
        <v>829945</v>
      </c>
      <c r="F144" s="780">
        <f>55-55</f>
        <v>0</v>
      </c>
      <c r="G144" s="901">
        <v>0</v>
      </c>
      <c r="H144" s="901">
        <v>0</v>
      </c>
      <c r="I144" s="902">
        <v>0</v>
      </c>
      <c r="J144" s="1284"/>
      <c r="K144" s="1284"/>
      <c r="L144" s="757">
        <f>55-55</f>
        <v>0</v>
      </c>
    </row>
    <row r="145" spans="1:12" ht="13.5" thickBot="1">
      <c r="A145" s="771">
        <v>107</v>
      </c>
      <c r="B145" s="772" t="s">
        <v>378</v>
      </c>
      <c r="C145" s="760">
        <f>SUM(C142:C144)</f>
        <v>21635062</v>
      </c>
      <c r="D145" s="785"/>
      <c r="E145" s="773">
        <f>SUM(E142:E144)</f>
        <v>1862292</v>
      </c>
      <c r="F145" s="773">
        <f>SUM(F142:F144)</f>
        <v>7107333</v>
      </c>
      <c r="G145" s="773">
        <f>SUM(G142:G144)</f>
        <v>5029813</v>
      </c>
      <c r="H145" s="773">
        <f>SUM(H142:H144)</f>
        <v>5029812</v>
      </c>
      <c r="I145" s="773">
        <f>SUM(I142:I144)</f>
        <v>2605757</v>
      </c>
      <c r="J145" s="1285"/>
      <c r="K145" s="1285"/>
      <c r="L145" s="762">
        <f>SUM(L142:L144)</f>
        <v>19772770</v>
      </c>
    </row>
    <row r="146" spans="1:12" ht="14.25" thickBot="1" thickTop="1">
      <c r="A146" s="752"/>
      <c r="B146" s="905"/>
      <c r="C146" s="896"/>
      <c r="D146" s="897"/>
      <c r="E146" s="896"/>
      <c r="F146" s="896"/>
      <c r="G146" s="897"/>
      <c r="H146" s="897"/>
      <c r="I146" s="897"/>
      <c r="J146" s="898"/>
      <c r="K146" s="898"/>
      <c r="L146" s="899"/>
    </row>
    <row r="147" spans="1:12" ht="14.25" thickBot="1" thickTop="1">
      <c r="A147" s="733"/>
      <c r="B147" s="1309"/>
      <c r="C147" s="1310"/>
      <c r="D147" s="1310"/>
      <c r="E147" s="1310"/>
      <c r="F147" s="1310"/>
      <c r="G147" s="1310"/>
      <c r="H147" s="1310"/>
      <c r="I147" s="1310"/>
      <c r="J147" s="1310"/>
      <c r="K147" s="1310"/>
      <c r="L147" s="1311"/>
    </row>
    <row r="148" spans="1:12" ht="19.5" thickBot="1" thickTop="1">
      <c r="A148" s="906">
        <v>108</v>
      </c>
      <c r="B148" s="1286" t="s">
        <v>785</v>
      </c>
      <c r="C148" s="1287"/>
      <c r="D148" s="1287"/>
      <c r="E148" s="1287"/>
      <c r="F148" s="1287"/>
      <c r="G148" s="1287"/>
      <c r="H148" s="1287"/>
      <c r="I148" s="1287"/>
      <c r="J148" s="1287"/>
      <c r="K148" s="1287"/>
      <c r="L148" s="1288"/>
    </row>
    <row r="149" spans="1:12" ht="14.25" thickBot="1" thickTop="1">
      <c r="A149" s="763"/>
      <c r="B149" s="1298"/>
      <c r="C149" s="1299"/>
      <c r="D149" s="1299"/>
      <c r="E149" s="1299"/>
      <c r="F149" s="1299"/>
      <c r="G149" s="1299"/>
      <c r="H149" s="1299"/>
      <c r="I149" s="1299"/>
      <c r="J149" s="1299"/>
      <c r="K149" s="1299"/>
      <c r="L149" s="1300"/>
    </row>
    <row r="150" spans="1:12" ht="16.5" thickBot="1" thickTop="1">
      <c r="A150" s="869">
        <v>109</v>
      </c>
      <c r="B150" s="1312" t="s">
        <v>997</v>
      </c>
      <c r="C150" s="1313"/>
      <c r="D150" s="1313"/>
      <c r="E150" s="1313"/>
      <c r="F150" s="1313"/>
      <c r="G150" s="1313"/>
      <c r="H150" s="1313"/>
      <c r="I150" s="1313"/>
      <c r="J150" s="1313"/>
      <c r="K150" s="1313"/>
      <c r="L150" s="907"/>
    </row>
    <row r="151" spans="1:12" ht="12.75">
      <c r="A151" s="731">
        <v>110</v>
      </c>
      <c r="B151" s="781" t="s">
        <v>845</v>
      </c>
      <c r="C151" s="908">
        <v>0</v>
      </c>
      <c r="D151" s="909"/>
      <c r="E151" s="910">
        <v>0</v>
      </c>
      <c r="F151" s="910">
        <v>0</v>
      </c>
      <c r="G151" s="910">
        <v>0</v>
      </c>
      <c r="H151" s="910"/>
      <c r="I151" s="909"/>
      <c r="J151" s="911">
        <v>0</v>
      </c>
      <c r="K151" s="911">
        <v>0</v>
      </c>
      <c r="L151" s="1284"/>
    </row>
    <row r="152" spans="1:12" ht="13.5" thickBot="1">
      <c r="A152" s="766">
        <v>111</v>
      </c>
      <c r="B152" s="739" t="s">
        <v>841</v>
      </c>
      <c r="C152" s="767">
        <v>88217316</v>
      </c>
      <c r="D152" s="875"/>
      <c r="E152" s="742">
        <v>45094449</v>
      </c>
      <c r="F152" s="742">
        <v>0</v>
      </c>
      <c r="G152" s="742">
        <v>0</v>
      </c>
      <c r="H152" s="742">
        <v>43122867</v>
      </c>
      <c r="I152" s="875"/>
      <c r="J152" s="744">
        <v>27430982</v>
      </c>
      <c r="K152" s="744">
        <v>0</v>
      </c>
      <c r="L152" s="1284"/>
    </row>
    <row r="153" spans="1:12" ht="13.5" thickBot="1">
      <c r="A153" s="733">
        <v>112</v>
      </c>
      <c r="B153" s="745" t="s">
        <v>842</v>
      </c>
      <c r="C153" s="746">
        <f>SUM(C151:C152)</f>
        <v>88217316</v>
      </c>
      <c r="D153" s="748"/>
      <c r="E153" s="747">
        <f>SUM(E151:E152)</f>
        <v>45094449</v>
      </c>
      <c r="F153" s="747">
        <f>SUM(F151:F152)</f>
        <v>0</v>
      </c>
      <c r="G153" s="747">
        <f>SUM(G151:G152)</f>
        <v>0</v>
      </c>
      <c r="H153" s="747">
        <f>SUM(H151:H152)</f>
        <v>43122867</v>
      </c>
      <c r="I153" s="748"/>
      <c r="J153" s="751">
        <f>SUM(J151:J152)</f>
        <v>27430982</v>
      </c>
      <c r="K153" s="751">
        <f>SUM(K151:K152)</f>
        <v>0</v>
      </c>
      <c r="L153" s="1292"/>
    </row>
    <row r="154" spans="1:12" ht="13.5" thickBot="1">
      <c r="A154" s="733"/>
      <c r="B154" s="1301"/>
      <c r="C154" s="1302"/>
      <c r="D154" s="1302"/>
      <c r="E154" s="1302"/>
      <c r="F154" s="1302"/>
      <c r="G154" s="1302"/>
      <c r="H154" s="1302"/>
      <c r="I154" s="1302"/>
      <c r="J154" s="1302"/>
      <c r="K154" s="1303"/>
      <c r="L154" s="732"/>
    </row>
    <row r="155" spans="1:12" ht="12.75">
      <c r="A155" s="769">
        <v>113</v>
      </c>
      <c r="B155" s="770" t="s">
        <v>846</v>
      </c>
      <c r="C155" s="886">
        <f>SUM(E155:H155)</f>
        <v>53041950</v>
      </c>
      <c r="D155" s="876"/>
      <c r="E155" s="736">
        <v>4082460</v>
      </c>
      <c r="F155" s="775">
        <v>23773325</v>
      </c>
      <c r="G155" s="775">
        <v>23773325</v>
      </c>
      <c r="H155" s="775">
        <v>1412840</v>
      </c>
      <c r="I155" s="876"/>
      <c r="J155" s="1283"/>
      <c r="K155" s="1283"/>
      <c r="L155" s="738">
        <v>23031236</v>
      </c>
    </row>
    <row r="156" spans="1:12" ht="12.75">
      <c r="A156" s="752">
        <v>114</v>
      </c>
      <c r="B156" s="756" t="s">
        <v>844</v>
      </c>
      <c r="C156" s="757">
        <f>SUM(E156:H156)</f>
        <v>33488176</v>
      </c>
      <c r="D156" s="878"/>
      <c r="E156" s="742">
        <v>12718558</v>
      </c>
      <c r="F156" s="768">
        <v>10002127</v>
      </c>
      <c r="G156" s="768">
        <v>10002126</v>
      </c>
      <c r="H156" s="768">
        <v>765365</v>
      </c>
      <c r="I156" s="878"/>
      <c r="J156" s="1284"/>
      <c r="K156" s="1284"/>
      <c r="L156" s="744">
        <v>4399746</v>
      </c>
    </row>
    <row r="157" spans="1:12" ht="13.5" thickBot="1">
      <c r="A157" s="752">
        <v>115</v>
      </c>
      <c r="B157" s="879" t="s">
        <v>843</v>
      </c>
      <c r="C157" s="887">
        <f>SUM(E157:H157)</f>
        <v>1687190</v>
      </c>
      <c r="D157" s="881"/>
      <c r="E157" s="742">
        <v>862449</v>
      </c>
      <c r="F157" s="768">
        <v>412371</v>
      </c>
      <c r="G157" s="768">
        <v>412370</v>
      </c>
      <c r="H157" s="768">
        <v>0</v>
      </c>
      <c r="I157" s="881"/>
      <c r="J157" s="1284"/>
      <c r="K157" s="1284"/>
      <c r="L157" s="744">
        <v>0</v>
      </c>
    </row>
    <row r="158" spans="1:12" ht="13.5" thickBot="1">
      <c r="A158" s="771">
        <v>116</v>
      </c>
      <c r="B158" s="772" t="s">
        <v>378</v>
      </c>
      <c r="C158" s="760">
        <f>SUM(C155:C157)</f>
        <v>88217316</v>
      </c>
      <c r="D158" s="785"/>
      <c r="E158" s="773">
        <f>SUM(E155:E157)</f>
        <v>17663467</v>
      </c>
      <c r="F158" s="773">
        <f>SUM(F155:F157)</f>
        <v>34187823</v>
      </c>
      <c r="G158" s="773">
        <f>SUM(G155:G157)</f>
        <v>34187821</v>
      </c>
      <c r="H158" s="773">
        <f>SUM(H155:H157)</f>
        <v>2178205</v>
      </c>
      <c r="I158" s="785"/>
      <c r="J158" s="1285"/>
      <c r="K158" s="1285"/>
      <c r="L158" s="762">
        <f>SUM(L155:L157)</f>
        <v>27430982</v>
      </c>
    </row>
    <row r="159" spans="1:12" ht="14.25" thickBot="1" thickTop="1">
      <c r="A159" s="763"/>
      <c r="B159" s="1298"/>
      <c r="C159" s="1299"/>
      <c r="D159" s="1299"/>
      <c r="E159" s="1299"/>
      <c r="F159" s="1299"/>
      <c r="G159" s="1299"/>
      <c r="H159" s="1299"/>
      <c r="I159" s="1299"/>
      <c r="J159" s="1299"/>
      <c r="K159" s="1299"/>
      <c r="L159" s="1300"/>
    </row>
    <row r="160" spans="1:12" ht="16.5" thickBot="1" thickTop="1">
      <c r="A160" s="869">
        <v>117</v>
      </c>
      <c r="B160" s="1304" t="s">
        <v>1006</v>
      </c>
      <c r="C160" s="1305"/>
      <c r="D160" s="1305"/>
      <c r="E160" s="1305"/>
      <c r="F160" s="1305"/>
      <c r="G160" s="1305"/>
      <c r="H160" s="1305"/>
      <c r="I160" s="1305"/>
      <c r="J160" s="1306"/>
      <c r="K160" s="1306"/>
      <c r="L160" s="871"/>
    </row>
    <row r="161" spans="1:12" ht="12.75">
      <c r="A161" s="731">
        <v>118</v>
      </c>
      <c r="B161" s="734" t="s">
        <v>845</v>
      </c>
      <c r="C161" s="764">
        <v>0</v>
      </c>
      <c r="D161" s="765">
        <v>0</v>
      </c>
      <c r="E161" s="765">
        <v>0</v>
      </c>
      <c r="F161" s="765">
        <v>0</v>
      </c>
      <c r="G161" s="874"/>
      <c r="H161" s="874"/>
      <c r="I161" s="874"/>
      <c r="J161" s="738">
        <v>0</v>
      </c>
      <c r="K161" s="738">
        <v>0</v>
      </c>
      <c r="L161" s="1283"/>
    </row>
    <row r="162" spans="1:12" ht="13.5" thickBot="1">
      <c r="A162" s="766">
        <v>119</v>
      </c>
      <c r="B162" s="739" t="s">
        <v>841</v>
      </c>
      <c r="C162" s="767">
        <f>SUM(D162:F162)</f>
        <v>40000000</v>
      </c>
      <c r="D162" s="742">
        <v>39200000</v>
      </c>
      <c r="E162" s="742">
        <v>0</v>
      </c>
      <c r="F162" s="742">
        <v>800000</v>
      </c>
      <c r="G162" s="875"/>
      <c r="H162" s="875"/>
      <c r="I162" s="875"/>
      <c r="J162" s="744">
        <v>5459106</v>
      </c>
      <c r="K162" s="744">
        <v>0</v>
      </c>
      <c r="L162" s="1284"/>
    </row>
    <row r="163" spans="1:12" ht="13.5" thickBot="1">
      <c r="A163" s="733">
        <v>120</v>
      </c>
      <c r="B163" s="745" t="s">
        <v>842</v>
      </c>
      <c r="C163" s="746">
        <f>SUM(C161:C162)</f>
        <v>40000000</v>
      </c>
      <c r="D163" s="747">
        <f>SUM(D161:D162)</f>
        <v>39200000</v>
      </c>
      <c r="E163" s="747">
        <f>SUM(E161:E162)</f>
        <v>0</v>
      </c>
      <c r="F163" s="747">
        <f>SUM(F161:F162)</f>
        <v>800000</v>
      </c>
      <c r="G163" s="748"/>
      <c r="H163" s="748"/>
      <c r="I163" s="748"/>
      <c r="J163" s="751">
        <f>SUM(J161:J162)</f>
        <v>5459106</v>
      </c>
      <c r="K163" s="751">
        <f>SUM(K161:K162)</f>
        <v>0</v>
      </c>
      <c r="L163" s="1292"/>
    </row>
    <row r="164" spans="1:12" ht="13.5" thickBot="1">
      <c r="A164" s="733"/>
      <c r="B164" s="1301"/>
      <c r="C164" s="1302"/>
      <c r="D164" s="1302"/>
      <c r="E164" s="1302"/>
      <c r="F164" s="1302"/>
      <c r="G164" s="1302"/>
      <c r="H164" s="1302"/>
      <c r="I164" s="1302"/>
      <c r="J164" s="1302"/>
      <c r="K164" s="1303"/>
      <c r="L164" s="732"/>
    </row>
    <row r="165" spans="1:12" ht="13.5" thickBot="1">
      <c r="A165" s="769">
        <v>121</v>
      </c>
      <c r="B165" s="770" t="s">
        <v>846</v>
      </c>
      <c r="C165" s="886">
        <f>SUM(D165:F165)</f>
        <v>12988120</v>
      </c>
      <c r="D165" s="736">
        <v>1760137</v>
      </c>
      <c r="E165" s="736">
        <v>8475898</v>
      </c>
      <c r="F165" s="775">
        <v>2752085</v>
      </c>
      <c r="G165" s="876"/>
      <c r="H165" s="876"/>
      <c r="I165" s="876"/>
      <c r="J165" s="1283"/>
      <c r="K165" s="1283"/>
      <c r="L165" s="738">
        <v>2752085</v>
      </c>
    </row>
    <row r="166" spans="1:12" ht="13.5" thickBot="1">
      <c r="A166" s="752">
        <v>122</v>
      </c>
      <c r="B166" s="756" t="s">
        <v>844</v>
      </c>
      <c r="C166" s="886">
        <f>SUM(D166:F166)</f>
        <v>23158258</v>
      </c>
      <c r="D166" s="742">
        <v>2486374</v>
      </c>
      <c r="E166" s="742">
        <v>17164863</v>
      </c>
      <c r="F166" s="768">
        <v>3507021</v>
      </c>
      <c r="G166" s="878"/>
      <c r="H166" s="878"/>
      <c r="I166" s="878"/>
      <c r="J166" s="1284"/>
      <c r="K166" s="1284"/>
      <c r="L166" s="744">
        <v>2707021</v>
      </c>
    </row>
    <row r="167" spans="1:12" ht="13.5" thickBot="1">
      <c r="A167" s="752">
        <v>123</v>
      </c>
      <c r="B167" s="879" t="s">
        <v>843</v>
      </c>
      <c r="C167" s="886">
        <f>SUM(D167:F167)</f>
        <v>3853622</v>
      </c>
      <c r="D167" s="742">
        <v>1441069</v>
      </c>
      <c r="E167" s="742">
        <v>2412553</v>
      </c>
      <c r="F167" s="768">
        <v>0</v>
      </c>
      <c r="G167" s="881"/>
      <c r="H167" s="881"/>
      <c r="I167" s="881"/>
      <c r="J167" s="1284"/>
      <c r="K167" s="1284"/>
      <c r="L167" s="744">
        <v>0</v>
      </c>
    </row>
    <row r="168" spans="1:12" ht="13.5" thickBot="1">
      <c r="A168" s="771">
        <v>124</v>
      </c>
      <c r="B168" s="772" t="s">
        <v>378</v>
      </c>
      <c r="C168" s="760">
        <f>SUM(C165:C167)</f>
        <v>40000000</v>
      </c>
      <c r="D168" s="773">
        <f>SUM(D165:D167)</f>
        <v>5687580</v>
      </c>
      <c r="E168" s="773">
        <f>SUM(E165:E167)</f>
        <v>28053314</v>
      </c>
      <c r="F168" s="773">
        <f>SUM(F165:F167)</f>
        <v>6259106</v>
      </c>
      <c r="G168" s="785"/>
      <c r="H168" s="785"/>
      <c r="I168" s="785"/>
      <c r="J168" s="1285"/>
      <c r="K168" s="1285"/>
      <c r="L168" s="762">
        <f>SUM(L165:L167)</f>
        <v>5459106</v>
      </c>
    </row>
    <row r="169" ht="14.25" thickBot="1" thickTop="1"/>
    <row r="170" spans="1:12" ht="19.5" thickBot="1" thickTop="1">
      <c r="A170" s="906">
        <v>125</v>
      </c>
      <c r="B170" s="1286" t="s">
        <v>856</v>
      </c>
      <c r="C170" s="1287"/>
      <c r="D170" s="1287"/>
      <c r="E170" s="1287"/>
      <c r="F170" s="1287"/>
      <c r="G170" s="1287"/>
      <c r="H170" s="1287"/>
      <c r="I170" s="1287"/>
      <c r="J170" s="1287"/>
      <c r="K170" s="1287"/>
      <c r="L170" s="1288"/>
    </row>
    <row r="171" spans="1:12" ht="14.25" thickBot="1" thickTop="1">
      <c r="A171" s="1316"/>
      <c r="B171" s="1317"/>
      <c r="C171" s="1317"/>
      <c r="D171" s="1317"/>
      <c r="E171" s="1317"/>
      <c r="F171" s="1317"/>
      <c r="G171" s="1317"/>
      <c r="H171" s="1317"/>
      <c r="I171" s="1317"/>
      <c r="J171" s="1317"/>
      <c r="K171" s="1317"/>
      <c r="L171" s="1318"/>
    </row>
    <row r="172" spans="1:12" ht="16.5" thickBot="1" thickTop="1">
      <c r="A172" s="869">
        <v>126</v>
      </c>
      <c r="B172" s="1319" t="s">
        <v>999</v>
      </c>
      <c r="C172" s="1320"/>
      <c r="D172" s="1320"/>
      <c r="E172" s="1320"/>
      <c r="F172" s="1320"/>
      <c r="G172" s="1320"/>
      <c r="H172" s="1320"/>
      <c r="I172" s="1320"/>
      <c r="J172" s="1320"/>
      <c r="K172" s="1320"/>
      <c r="L172" s="1321"/>
    </row>
    <row r="173" spans="1:12" ht="12.75">
      <c r="A173" s="731">
        <v>127</v>
      </c>
      <c r="B173" s="734" t="s">
        <v>845</v>
      </c>
      <c r="C173" s="764">
        <v>0</v>
      </c>
      <c r="D173" s="874"/>
      <c r="E173" s="874"/>
      <c r="F173" s="765">
        <v>0</v>
      </c>
      <c r="G173" s="874"/>
      <c r="H173" s="874"/>
      <c r="I173" s="874"/>
      <c r="J173" s="738">
        <v>0</v>
      </c>
      <c r="K173" s="738">
        <v>0</v>
      </c>
      <c r="L173" s="1283"/>
    </row>
    <row r="174" spans="1:12" ht="13.5" thickBot="1">
      <c r="A174" s="766">
        <v>128</v>
      </c>
      <c r="B174" s="739" t="s">
        <v>841</v>
      </c>
      <c r="C174" s="767">
        <v>25000000</v>
      </c>
      <c r="D174" s="875"/>
      <c r="E174" s="875"/>
      <c r="F174" s="742">
        <v>25000000</v>
      </c>
      <c r="G174" s="875"/>
      <c r="H174" s="875"/>
      <c r="I174" s="875"/>
      <c r="J174" s="744">
        <v>0</v>
      </c>
      <c r="K174" s="744">
        <v>25000000</v>
      </c>
      <c r="L174" s="1284"/>
    </row>
    <row r="175" spans="1:12" ht="13.5" thickBot="1">
      <c r="A175" s="733">
        <v>129</v>
      </c>
      <c r="B175" s="745" t="s">
        <v>842</v>
      </c>
      <c r="C175" s="746">
        <f>SUM(C173:C174)</f>
        <v>25000000</v>
      </c>
      <c r="D175" s="748"/>
      <c r="E175" s="748"/>
      <c r="F175" s="747">
        <f>SUM(F173:F174)</f>
        <v>25000000</v>
      </c>
      <c r="G175" s="748"/>
      <c r="H175" s="748"/>
      <c r="I175" s="748"/>
      <c r="J175" s="751">
        <f>SUM(J173:J174)</f>
        <v>0</v>
      </c>
      <c r="K175" s="751">
        <f>SUM(K173:K174)</f>
        <v>25000000</v>
      </c>
      <c r="L175" s="1292"/>
    </row>
    <row r="176" spans="1:12" ht="13.5" thickBot="1">
      <c r="A176" s="733"/>
      <c r="B176" s="1301"/>
      <c r="C176" s="1302"/>
      <c r="D176" s="1302"/>
      <c r="E176" s="1302"/>
      <c r="F176" s="1302"/>
      <c r="G176" s="1302"/>
      <c r="H176" s="1302"/>
      <c r="I176" s="1302"/>
      <c r="J176" s="1302"/>
      <c r="K176" s="1303"/>
      <c r="L176" s="732"/>
    </row>
    <row r="177" spans="1:12" ht="12.75">
      <c r="A177" s="769">
        <v>130</v>
      </c>
      <c r="B177" s="770" t="s">
        <v>846</v>
      </c>
      <c r="C177" s="886">
        <f>SUM(E177:H177)</f>
        <v>8407749</v>
      </c>
      <c r="D177" s="876"/>
      <c r="E177" s="876"/>
      <c r="F177" s="736">
        <v>8407749</v>
      </c>
      <c r="G177" s="876"/>
      <c r="H177" s="876"/>
      <c r="I177" s="876"/>
      <c r="J177" s="1283"/>
      <c r="K177" s="1283"/>
      <c r="L177" s="738">
        <v>8407749</v>
      </c>
    </row>
    <row r="178" spans="1:12" ht="12.75">
      <c r="A178" s="752">
        <v>131</v>
      </c>
      <c r="B178" s="756" t="s">
        <v>844</v>
      </c>
      <c r="C178" s="757">
        <f>SUM(E178:H178)</f>
        <v>14095151</v>
      </c>
      <c r="D178" s="878"/>
      <c r="E178" s="878"/>
      <c r="F178" s="742">
        <v>14095151</v>
      </c>
      <c r="G178" s="878"/>
      <c r="H178" s="878"/>
      <c r="I178" s="878"/>
      <c r="J178" s="1284"/>
      <c r="K178" s="1284"/>
      <c r="L178" s="744">
        <v>14095151</v>
      </c>
    </row>
    <row r="179" spans="1:12" ht="13.5" thickBot="1">
      <c r="A179" s="752">
        <v>132</v>
      </c>
      <c r="B179" s="879" t="s">
        <v>843</v>
      </c>
      <c r="C179" s="887">
        <f>SUM(E179:H179)</f>
        <v>2497100</v>
      </c>
      <c r="D179" s="881"/>
      <c r="E179" s="881"/>
      <c r="F179" s="741">
        <v>2497100</v>
      </c>
      <c r="G179" s="881"/>
      <c r="H179" s="881"/>
      <c r="I179" s="881"/>
      <c r="J179" s="1284"/>
      <c r="K179" s="1284"/>
      <c r="L179" s="744">
        <v>2497100</v>
      </c>
    </row>
    <row r="180" spans="1:12" ht="13.5" thickBot="1">
      <c r="A180" s="771">
        <v>133</v>
      </c>
      <c r="B180" s="772" t="s">
        <v>378</v>
      </c>
      <c r="C180" s="760">
        <f>SUM(C177:C179)</f>
        <v>25000000</v>
      </c>
      <c r="D180" s="785"/>
      <c r="E180" s="785"/>
      <c r="F180" s="773">
        <f>SUM(F177:F179)</f>
        <v>25000000</v>
      </c>
      <c r="G180" s="785"/>
      <c r="H180" s="785"/>
      <c r="I180" s="785"/>
      <c r="J180" s="1285"/>
      <c r="K180" s="1285"/>
      <c r="L180" s="762">
        <f>SUM(L177:L179)</f>
        <v>25000000</v>
      </c>
    </row>
    <row r="181" spans="1:12" ht="13.5" thickTop="1">
      <c r="A181" s="733"/>
      <c r="B181" s="1301"/>
      <c r="C181" s="1302"/>
      <c r="D181" s="1302"/>
      <c r="E181" s="1302"/>
      <c r="F181" s="1302"/>
      <c r="G181" s="1302"/>
      <c r="H181" s="1302"/>
      <c r="I181" s="1302"/>
      <c r="J181" s="1302"/>
      <c r="K181" s="1302"/>
      <c r="L181" s="917"/>
    </row>
  </sheetData>
  <sheetProtection/>
  <mergeCells count="116">
    <mergeCell ref="B181:K181"/>
    <mergeCell ref="A171:L171"/>
    <mergeCell ref="B172:L172"/>
    <mergeCell ref="L173:L175"/>
    <mergeCell ref="B176:K176"/>
    <mergeCell ref="J177:J180"/>
    <mergeCell ref="K177:K180"/>
    <mergeCell ref="B64:K64"/>
    <mergeCell ref="J65:J67"/>
    <mergeCell ref="K65:K67"/>
    <mergeCell ref="C74:C75"/>
    <mergeCell ref="C86:C87"/>
    <mergeCell ref="B170:L170"/>
    <mergeCell ref="K155:K158"/>
    <mergeCell ref="B159:L159"/>
    <mergeCell ref="B160:K160"/>
    <mergeCell ref="L161:L163"/>
    <mergeCell ref="J56:J58"/>
    <mergeCell ref="K56:K58"/>
    <mergeCell ref="B49:L49"/>
    <mergeCell ref="B59:L59"/>
    <mergeCell ref="B60:K60"/>
    <mergeCell ref="L61:L63"/>
    <mergeCell ref="B164:K164"/>
    <mergeCell ref="K165:K168"/>
    <mergeCell ref="J155:J158"/>
    <mergeCell ref="J165:J168"/>
    <mergeCell ref="B147:L147"/>
    <mergeCell ref="B148:L148"/>
    <mergeCell ref="B149:L149"/>
    <mergeCell ref="B150:K150"/>
    <mergeCell ref="L151:L153"/>
    <mergeCell ref="B154:K154"/>
    <mergeCell ref="B132:K132"/>
    <mergeCell ref="K133:K135"/>
    <mergeCell ref="B137:K137"/>
    <mergeCell ref="L138:L140"/>
    <mergeCell ref="B141:K141"/>
    <mergeCell ref="K142:K145"/>
    <mergeCell ref="J133:J135"/>
    <mergeCell ref="J142:J145"/>
    <mergeCell ref="B119:K119"/>
    <mergeCell ref="L120:L122"/>
    <mergeCell ref="B123:K123"/>
    <mergeCell ref="K124:K126"/>
    <mergeCell ref="B128:K128"/>
    <mergeCell ref="L129:L131"/>
    <mergeCell ref="J124:J126"/>
    <mergeCell ref="B109:K109"/>
    <mergeCell ref="B110:K110"/>
    <mergeCell ref="L111:L113"/>
    <mergeCell ref="B114:K114"/>
    <mergeCell ref="K115:K117"/>
    <mergeCell ref="B118:K118"/>
    <mergeCell ref="J115:J117"/>
    <mergeCell ref="K97:K99"/>
    <mergeCell ref="B100:K100"/>
    <mergeCell ref="B101:K101"/>
    <mergeCell ref="L102:L104"/>
    <mergeCell ref="B105:K105"/>
    <mergeCell ref="K106:K108"/>
    <mergeCell ref="J97:J99"/>
    <mergeCell ref="J106:J108"/>
    <mergeCell ref="B91:K91"/>
    <mergeCell ref="B92:K92"/>
    <mergeCell ref="L93:L95"/>
    <mergeCell ref="B96:K96"/>
    <mergeCell ref="B81:K81"/>
    <mergeCell ref="L82:L84"/>
    <mergeCell ref="B85:K85"/>
    <mergeCell ref="K86:K90"/>
    <mergeCell ref="J86:J90"/>
    <mergeCell ref="B68:L68"/>
    <mergeCell ref="B69:K69"/>
    <mergeCell ref="L70:L72"/>
    <mergeCell ref="B73:K73"/>
    <mergeCell ref="K74:K79"/>
    <mergeCell ref="B80:L80"/>
    <mergeCell ref="J74:J79"/>
    <mergeCell ref="B36:K36"/>
    <mergeCell ref="K37:K39"/>
    <mergeCell ref="B41:K41"/>
    <mergeCell ref="L42:L44"/>
    <mergeCell ref="B45:K45"/>
    <mergeCell ref="K46:K48"/>
    <mergeCell ref="J37:J39"/>
    <mergeCell ref="J46:J48"/>
    <mergeCell ref="B40:L40"/>
    <mergeCell ref="B32:K32"/>
    <mergeCell ref="L33:L35"/>
    <mergeCell ref="B50:K50"/>
    <mergeCell ref="L51:L54"/>
    <mergeCell ref="B55:K55"/>
    <mergeCell ref="B22:K22"/>
    <mergeCell ref="L23:L25"/>
    <mergeCell ref="B26:K26"/>
    <mergeCell ref="K27:K30"/>
    <mergeCell ref="B31:L31"/>
    <mergeCell ref="J27:J30"/>
    <mergeCell ref="B12:L12"/>
    <mergeCell ref="B13:K13"/>
    <mergeCell ref="L14:L16"/>
    <mergeCell ref="B17:K17"/>
    <mergeCell ref="K18:K20"/>
    <mergeCell ref="B21:L21"/>
    <mergeCell ref="J18:J20"/>
    <mergeCell ref="B1:L1"/>
    <mergeCell ref="B4:L4"/>
    <mergeCell ref="A8:A10"/>
    <mergeCell ref="B8:B10"/>
    <mergeCell ref="C8:I8"/>
    <mergeCell ref="K8:K10"/>
    <mergeCell ref="L8:L10"/>
    <mergeCell ref="C9:C10"/>
    <mergeCell ref="D9:I9"/>
    <mergeCell ref="J8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  <rowBreaks count="1" manualBreakCount="1">
    <brk id="99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7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125" style="191" customWidth="1"/>
    <col min="2" max="4" width="9.125" style="191" customWidth="1"/>
    <col min="5" max="5" width="40.375" style="191" customWidth="1"/>
    <col min="6" max="6" width="16.125" style="191" bestFit="1" customWidth="1"/>
    <col min="7" max="7" width="14.125" style="191" bestFit="1" customWidth="1"/>
    <col min="8" max="9" width="14.875" style="191" customWidth="1"/>
    <col min="10" max="10" width="16.00390625" style="191" bestFit="1" customWidth="1"/>
    <col min="11" max="16384" width="9.125" style="191" customWidth="1"/>
  </cols>
  <sheetData>
    <row r="1" spans="1:10" s="195" customFormat="1" ht="12.75">
      <c r="A1" s="972" t="s">
        <v>1064</v>
      </c>
      <c r="B1" s="972"/>
      <c r="C1" s="972"/>
      <c r="D1" s="972"/>
      <c r="E1" s="972"/>
      <c r="F1" s="972"/>
      <c r="G1" s="972"/>
      <c r="H1" s="972"/>
      <c r="I1" s="972"/>
      <c r="J1" s="972"/>
    </row>
    <row r="2" spans="1:10" s="195" customFormat="1" ht="9.75" customHeight="1">
      <c r="A2" s="196"/>
      <c r="B2" s="197"/>
      <c r="C2" s="197"/>
      <c r="D2" s="197"/>
      <c r="E2" s="197"/>
      <c r="F2" s="197"/>
      <c r="G2" s="197"/>
      <c r="H2" s="197"/>
      <c r="I2" s="197"/>
      <c r="J2" s="197"/>
    </row>
    <row r="3" spans="1:10" s="195" customFormat="1" ht="16.5">
      <c r="A3" s="973" t="s">
        <v>889</v>
      </c>
      <c r="B3" s="973"/>
      <c r="C3" s="973"/>
      <c r="D3" s="973"/>
      <c r="E3" s="973"/>
      <c r="F3" s="973"/>
      <c r="G3" s="973"/>
      <c r="H3" s="973"/>
      <c r="I3" s="973"/>
      <c r="J3" s="973"/>
    </row>
    <row r="4" spans="1:10" s="195" customFormat="1" ht="12.75">
      <c r="A4" s="196"/>
      <c r="B4" s="197"/>
      <c r="C4" s="197"/>
      <c r="D4" s="197"/>
      <c r="E4" s="197"/>
      <c r="F4" s="197"/>
      <c r="G4" s="197"/>
      <c r="H4" s="197"/>
      <c r="I4" s="197"/>
      <c r="J4" s="197"/>
    </row>
    <row r="5" spans="1:10" ht="78" customHeight="1">
      <c r="A5" s="974" t="s">
        <v>0</v>
      </c>
      <c r="B5" s="975"/>
      <c r="C5" s="975"/>
      <c r="D5" s="975"/>
      <c r="E5" s="976"/>
      <c r="F5" s="198" t="s">
        <v>87</v>
      </c>
      <c r="G5" s="198" t="s">
        <v>380</v>
      </c>
      <c r="H5" s="198" t="s">
        <v>785</v>
      </c>
      <c r="I5" s="198" t="s">
        <v>856</v>
      </c>
      <c r="J5" s="199" t="s">
        <v>373</v>
      </c>
    </row>
    <row r="6" spans="1:10" s="202" customFormat="1" ht="15">
      <c r="A6" s="200" t="s">
        <v>442</v>
      </c>
      <c r="B6" s="977" t="s">
        <v>443</v>
      </c>
      <c r="C6" s="978"/>
      <c r="D6" s="978"/>
      <c r="E6" s="979"/>
      <c r="F6" s="201" t="s">
        <v>444</v>
      </c>
      <c r="G6" s="201" t="s">
        <v>445</v>
      </c>
      <c r="H6" s="201" t="s">
        <v>446</v>
      </c>
      <c r="I6" s="201" t="s">
        <v>447</v>
      </c>
      <c r="J6" s="201" t="s">
        <v>449</v>
      </c>
    </row>
    <row r="7" spans="1:11" ht="14.25" customHeight="1">
      <c r="A7" s="203" t="s">
        <v>1</v>
      </c>
      <c r="B7" s="969" t="s">
        <v>350</v>
      </c>
      <c r="C7" s="969"/>
      <c r="D7" s="969"/>
      <c r="E7" s="969"/>
      <c r="F7" s="190">
        <v>136546622</v>
      </c>
      <c r="G7" s="190">
        <f>103642037+2326520</f>
        <v>105968557</v>
      </c>
      <c r="H7" s="190">
        <f>163138725-240000</f>
        <v>162898725</v>
      </c>
      <c r="I7" s="190">
        <v>17165696</v>
      </c>
      <c r="J7" s="940">
        <f>SUM(F7:I7)</f>
        <v>422579600</v>
      </c>
      <c r="K7" s="667"/>
    </row>
    <row r="8" spans="1:11" ht="13.5" customHeight="1">
      <c r="A8" s="203" t="s">
        <v>3</v>
      </c>
      <c r="B8" s="969" t="s">
        <v>4</v>
      </c>
      <c r="C8" s="969"/>
      <c r="D8" s="969"/>
      <c r="E8" s="969"/>
      <c r="F8" s="190">
        <v>27233284</v>
      </c>
      <c r="G8" s="190">
        <f>20846432+453671</f>
        <v>21300103</v>
      </c>
      <c r="H8" s="190">
        <f>42572412-46800</f>
        <v>42525612</v>
      </c>
      <c r="I8" s="190">
        <v>3698515</v>
      </c>
      <c r="J8" s="940">
        <f aca="true" t="shared" si="0" ref="J8:J70">SUM(F8:I8)</f>
        <v>94757514</v>
      </c>
      <c r="K8" s="667"/>
    </row>
    <row r="9" spans="1:11" ht="12" customHeight="1">
      <c r="A9" s="203" t="s">
        <v>5</v>
      </c>
      <c r="B9" s="969" t="s">
        <v>6</v>
      </c>
      <c r="C9" s="969"/>
      <c r="D9" s="969"/>
      <c r="E9" s="969"/>
      <c r="F9" s="190">
        <v>327018687</v>
      </c>
      <c r="G9" s="190">
        <v>22317134</v>
      </c>
      <c r="H9" s="190">
        <f>66124238-1073150</f>
        <v>65051088</v>
      </c>
      <c r="I9" s="190">
        <f>28552341-1270000</f>
        <v>27282341</v>
      </c>
      <c r="J9" s="940">
        <f t="shared" si="0"/>
        <v>441669250</v>
      </c>
      <c r="K9" s="667"/>
    </row>
    <row r="10" spans="1:11" ht="12.75">
      <c r="A10" s="203" t="s">
        <v>8</v>
      </c>
      <c r="B10" s="969" t="s">
        <v>9</v>
      </c>
      <c r="C10" s="969"/>
      <c r="D10" s="969"/>
      <c r="E10" s="969"/>
      <c r="F10" s="190">
        <f>SUM(F11,F12,F15:F20)</f>
        <v>3804900</v>
      </c>
      <c r="G10" s="190">
        <f>SUM(G11,G12,G15:G20)</f>
        <v>7430000</v>
      </c>
      <c r="H10" s="190">
        <f>SUM(H11,H12,H15:H20)</f>
        <v>0</v>
      </c>
      <c r="I10" s="190">
        <f>SUM(I11,I12,I15:I20)</f>
        <v>0</v>
      </c>
      <c r="J10" s="940">
        <f t="shared" si="0"/>
        <v>11234900</v>
      </c>
      <c r="K10" s="667"/>
    </row>
    <row r="11" spans="1:11" ht="12.75">
      <c r="A11" s="186"/>
      <c r="B11" s="186" t="s">
        <v>10</v>
      </c>
      <c r="C11" s="980" t="s">
        <v>11</v>
      </c>
      <c r="D11" s="981"/>
      <c r="E11" s="982"/>
      <c r="F11" s="189">
        <v>0</v>
      </c>
      <c r="G11" s="189">
        <v>0</v>
      </c>
      <c r="H11" s="189">
        <v>0</v>
      </c>
      <c r="I11" s="189">
        <v>0</v>
      </c>
      <c r="J11" s="190">
        <f t="shared" si="0"/>
        <v>0</v>
      </c>
      <c r="K11" s="667"/>
    </row>
    <row r="12" spans="1:11" ht="12.75">
      <c r="A12" s="186"/>
      <c r="B12" s="186" t="s">
        <v>12</v>
      </c>
      <c r="C12" s="958" t="s">
        <v>13</v>
      </c>
      <c r="D12" s="958"/>
      <c r="E12" s="958"/>
      <c r="F12" s="189">
        <f>SUM(F13:F14)</f>
        <v>0</v>
      </c>
      <c r="G12" s="189">
        <f>SUM(G13:G14)</f>
        <v>7430000</v>
      </c>
      <c r="H12" s="189">
        <f>SUM(H13:H14)</f>
        <v>0</v>
      </c>
      <c r="I12" s="189">
        <f>SUM(I13:I14)</f>
        <v>0</v>
      </c>
      <c r="J12" s="190">
        <f t="shared" si="0"/>
        <v>7430000</v>
      </c>
      <c r="K12" s="667"/>
    </row>
    <row r="13" spans="1:11" ht="23.25" customHeight="1">
      <c r="A13" s="192"/>
      <c r="B13" s="186"/>
      <c r="C13" s="192"/>
      <c r="D13" s="965" t="s">
        <v>674</v>
      </c>
      <c r="E13" s="966"/>
      <c r="F13" s="193">
        <v>0</v>
      </c>
      <c r="G13" s="193">
        <v>7430000</v>
      </c>
      <c r="H13" s="193">
        <v>0</v>
      </c>
      <c r="I13" s="193">
        <v>0</v>
      </c>
      <c r="J13" s="204">
        <f t="shared" si="0"/>
        <v>7430000</v>
      </c>
      <c r="K13" s="667"/>
    </row>
    <row r="14" spans="1:11" ht="22.5" customHeight="1">
      <c r="A14" s="192"/>
      <c r="B14" s="186"/>
      <c r="C14" s="192"/>
      <c r="D14" s="970" t="s">
        <v>675</v>
      </c>
      <c r="E14" s="971"/>
      <c r="F14" s="193">
        <v>0</v>
      </c>
      <c r="G14" s="193">
        <v>0</v>
      </c>
      <c r="H14" s="193">
        <v>0</v>
      </c>
      <c r="I14" s="193">
        <v>0</v>
      </c>
      <c r="J14" s="204">
        <f t="shared" si="0"/>
        <v>0</v>
      </c>
      <c r="K14" s="667"/>
    </row>
    <row r="15" spans="1:11" ht="12.75">
      <c r="A15" s="186"/>
      <c r="B15" s="186" t="s">
        <v>131</v>
      </c>
      <c r="C15" s="958" t="s">
        <v>132</v>
      </c>
      <c r="D15" s="958"/>
      <c r="E15" s="958"/>
      <c r="F15" s="189">
        <v>0</v>
      </c>
      <c r="G15" s="189">
        <v>0</v>
      </c>
      <c r="H15" s="189">
        <v>0</v>
      </c>
      <c r="I15" s="189">
        <v>0</v>
      </c>
      <c r="J15" s="204">
        <f t="shared" si="0"/>
        <v>0</v>
      </c>
      <c r="K15" s="667"/>
    </row>
    <row r="16" spans="1:11" ht="12" customHeight="1">
      <c r="A16" s="186"/>
      <c r="B16" s="186" t="s">
        <v>133</v>
      </c>
      <c r="C16" s="980" t="s">
        <v>134</v>
      </c>
      <c r="D16" s="981"/>
      <c r="E16" s="982"/>
      <c r="F16" s="189">
        <f aca="true" t="shared" si="1" ref="F16:I17">SUM(F17:F18)</f>
        <v>0</v>
      </c>
      <c r="G16" s="189">
        <f t="shared" si="1"/>
        <v>0</v>
      </c>
      <c r="H16" s="189">
        <f t="shared" si="1"/>
        <v>0</v>
      </c>
      <c r="I16" s="189">
        <f t="shared" si="1"/>
        <v>0</v>
      </c>
      <c r="J16" s="204">
        <f t="shared" si="0"/>
        <v>0</v>
      </c>
      <c r="K16" s="667"/>
    </row>
    <row r="17" spans="1:11" ht="13.5" customHeight="1">
      <c r="A17" s="192"/>
      <c r="B17" s="186" t="s">
        <v>135</v>
      </c>
      <c r="C17" s="186" t="s">
        <v>136</v>
      </c>
      <c r="D17" s="187"/>
      <c r="E17" s="188"/>
      <c r="F17" s="189">
        <f t="shared" si="1"/>
        <v>0</v>
      </c>
      <c r="G17" s="189">
        <f t="shared" si="1"/>
        <v>0</v>
      </c>
      <c r="H17" s="189">
        <f t="shared" si="1"/>
        <v>0</v>
      </c>
      <c r="I17" s="189">
        <f t="shared" si="1"/>
        <v>0</v>
      </c>
      <c r="J17" s="204">
        <f t="shared" si="0"/>
        <v>0</v>
      </c>
      <c r="K17" s="667"/>
    </row>
    <row r="18" spans="1:11" ht="12.75">
      <c r="A18" s="186"/>
      <c r="B18" s="186" t="s">
        <v>137</v>
      </c>
      <c r="C18" s="980" t="s">
        <v>138</v>
      </c>
      <c r="D18" s="981"/>
      <c r="E18" s="982"/>
      <c r="F18" s="189">
        <f>SUM(F19)</f>
        <v>0</v>
      </c>
      <c r="G18" s="189">
        <f>SUM(G19)</f>
        <v>0</v>
      </c>
      <c r="H18" s="189">
        <f>SUM(H19)</f>
        <v>0</v>
      </c>
      <c r="I18" s="189">
        <f>SUM(I19)</f>
        <v>0</v>
      </c>
      <c r="J18" s="204">
        <f t="shared" si="0"/>
        <v>0</v>
      </c>
      <c r="K18" s="667"/>
    </row>
    <row r="19" spans="1:11" ht="12.75">
      <c r="A19" s="186"/>
      <c r="B19" s="186" t="s">
        <v>139</v>
      </c>
      <c r="C19" s="958" t="s">
        <v>14</v>
      </c>
      <c r="D19" s="958"/>
      <c r="E19" s="958"/>
      <c r="F19" s="189">
        <v>0</v>
      </c>
      <c r="G19" s="189">
        <v>0</v>
      </c>
      <c r="H19" s="189">
        <v>0</v>
      </c>
      <c r="I19" s="189">
        <v>0</v>
      </c>
      <c r="J19" s="204">
        <f t="shared" si="0"/>
        <v>0</v>
      </c>
      <c r="K19" s="667"/>
    </row>
    <row r="20" spans="1:11" ht="12.75">
      <c r="A20" s="186"/>
      <c r="B20" s="186" t="s">
        <v>140</v>
      </c>
      <c r="C20" s="980" t="s">
        <v>141</v>
      </c>
      <c r="D20" s="981"/>
      <c r="E20" s="982"/>
      <c r="F20" s="189">
        <f>SUM(F21:F22)</f>
        <v>3804900</v>
      </c>
      <c r="G20" s="189">
        <f>SUM(G21:G22)</f>
        <v>0</v>
      </c>
      <c r="H20" s="189">
        <f>SUM(H21:H22)</f>
        <v>0</v>
      </c>
      <c r="I20" s="189">
        <f>SUM(I21:I22)</f>
        <v>0</v>
      </c>
      <c r="J20" s="204">
        <f t="shared" si="0"/>
        <v>3804900</v>
      </c>
      <c r="K20" s="667"/>
    </row>
    <row r="21" spans="1:11" ht="12.75">
      <c r="A21" s="192"/>
      <c r="B21" s="192"/>
      <c r="C21" s="192"/>
      <c r="D21" s="980" t="s">
        <v>624</v>
      </c>
      <c r="E21" s="982"/>
      <c r="F21" s="193">
        <v>1500000</v>
      </c>
      <c r="G21" s="193">
        <v>0</v>
      </c>
      <c r="H21" s="193">
        <v>0</v>
      </c>
      <c r="I21" s="193">
        <v>0</v>
      </c>
      <c r="J21" s="204">
        <f t="shared" si="0"/>
        <v>1500000</v>
      </c>
      <c r="K21" s="667"/>
    </row>
    <row r="22" spans="1:11" s="194" customFormat="1" ht="12.75">
      <c r="A22" s="192"/>
      <c r="B22" s="192"/>
      <c r="C22" s="192"/>
      <c r="D22" s="980" t="s">
        <v>623</v>
      </c>
      <c r="E22" s="982"/>
      <c r="F22" s="193">
        <v>2304900</v>
      </c>
      <c r="G22" s="193">
        <v>0</v>
      </c>
      <c r="H22" s="193">
        <v>0</v>
      </c>
      <c r="I22" s="193">
        <v>0</v>
      </c>
      <c r="J22" s="204">
        <f t="shared" si="0"/>
        <v>2304900</v>
      </c>
      <c r="K22" s="667"/>
    </row>
    <row r="23" spans="1:11" ht="12" customHeight="1">
      <c r="A23" s="203" t="s">
        <v>142</v>
      </c>
      <c r="B23" s="959" t="s">
        <v>143</v>
      </c>
      <c r="C23" s="960"/>
      <c r="D23" s="960"/>
      <c r="E23" s="961"/>
      <c r="F23" s="190">
        <f>SUM(F57+F46+F45+F43+F42+F41+F40+F29+F28+F27+F26+F24+F25)</f>
        <v>181368105</v>
      </c>
      <c r="G23" s="190">
        <f>SUM(G57+G46+G43+G42+G41+G40+G29+G28+G27+G26+G24+G25)</f>
        <v>0</v>
      </c>
      <c r="H23" s="190">
        <f>SUM(H57+H46+H43+H42+H41+H40+H29+H28+H27+H26+H24+H25)</f>
        <v>0</v>
      </c>
      <c r="I23" s="190">
        <f>SUM(I57+I46+I43+I42+I41+I40+I29+I28+I27+I26+I24+I25)</f>
        <v>0</v>
      </c>
      <c r="J23" s="940">
        <f t="shared" si="0"/>
        <v>181368105</v>
      </c>
      <c r="K23" s="667"/>
    </row>
    <row r="24" spans="1:11" ht="6" customHeight="1" hidden="1">
      <c r="A24" s="192"/>
      <c r="B24" s="192"/>
      <c r="C24" s="192" t="s">
        <v>144</v>
      </c>
      <c r="D24" s="192" t="s">
        <v>145</v>
      </c>
      <c r="E24" s="192"/>
      <c r="F24" s="193">
        <v>0</v>
      </c>
      <c r="G24" s="193">
        <v>0</v>
      </c>
      <c r="H24" s="193">
        <v>0</v>
      </c>
      <c r="I24" s="193">
        <v>0</v>
      </c>
      <c r="J24" s="204">
        <f t="shared" si="0"/>
        <v>0</v>
      </c>
      <c r="K24" s="668"/>
    </row>
    <row r="25" spans="1:11" ht="15" customHeight="1">
      <c r="A25" s="192"/>
      <c r="B25" s="192"/>
      <c r="C25" s="192" t="s">
        <v>146</v>
      </c>
      <c r="D25" s="192" t="s">
        <v>147</v>
      </c>
      <c r="E25" s="192"/>
      <c r="F25" s="193">
        <v>0</v>
      </c>
      <c r="G25" s="193">
        <v>0</v>
      </c>
      <c r="H25" s="193">
        <v>0</v>
      </c>
      <c r="I25" s="193">
        <v>0</v>
      </c>
      <c r="J25" s="204">
        <f t="shared" si="0"/>
        <v>0</v>
      </c>
      <c r="K25" s="668"/>
    </row>
    <row r="26" spans="1:11" ht="12.75" hidden="1">
      <c r="A26" s="192"/>
      <c r="B26" s="192"/>
      <c r="C26" s="192" t="s">
        <v>148</v>
      </c>
      <c r="D26" s="967" t="s">
        <v>149</v>
      </c>
      <c r="E26" s="968"/>
      <c r="F26" s="193">
        <v>0</v>
      </c>
      <c r="G26" s="193">
        <v>0</v>
      </c>
      <c r="H26" s="193">
        <v>0</v>
      </c>
      <c r="I26" s="193">
        <v>0</v>
      </c>
      <c r="J26" s="204">
        <f t="shared" si="0"/>
        <v>0</v>
      </c>
      <c r="K26" s="668"/>
    </row>
    <row r="27" spans="1:11" ht="12.75" hidden="1">
      <c r="A27" s="192"/>
      <c r="B27" s="192"/>
      <c r="C27" s="192" t="s">
        <v>150</v>
      </c>
      <c r="D27" s="967" t="s">
        <v>151</v>
      </c>
      <c r="E27" s="968"/>
      <c r="F27" s="193">
        <v>0</v>
      </c>
      <c r="G27" s="193">
        <v>0</v>
      </c>
      <c r="H27" s="193">
        <v>0</v>
      </c>
      <c r="I27" s="193">
        <v>0</v>
      </c>
      <c r="J27" s="204">
        <f t="shared" si="0"/>
        <v>0</v>
      </c>
      <c r="K27" s="668"/>
    </row>
    <row r="28" spans="1:11" ht="12.75" hidden="1">
      <c r="A28" s="192"/>
      <c r="B28" s="192"/>
      <c r="C28" s="192" t="s">
        <v>172</v>
      </c>
      <c r="D28" s="967" t="s">
        <v>173</v>
      </c>
      <c r="E28" s="968"/>
      <c r="F28" s="193">
        <v>0</v>
      </c>
      <c r="G28" s="193">
        <v>0</v>
      </c>
      <c r="H28" s="193">
        <v>0</v>
      </c>
      <c r="I28" s="193">
        <v>0</v>
      </c>
      <c r="J28" s="204">
        <f t="shared" si="0"/>
        <v>0</v>
      </c>
      <c r="K28" s="668"/>
    </row>
    <row r="29" spans="1:11" ht="12.75" hidden="1">
      <c r="A29" s="192"/>
      <c r="B29" s="192"/>
      <c r="C29" s="192" t="s">
        <v>174</v>
      </c>
      <c r="D29" s="967" t="s">
        <v>175</v>
      </c>
      <c r="E29" s="968"/>
      <c r="F29" s="193">
        <f>SUM(F30:F39)</f>
        <v>0</v>
      </c>
      <c r="G29" s="193">
        <f>SUM(G30:G39)</f>
        <v>0</v>
      </c>
      <c r="H29" s="193">
        <f>SUM(H30:H39)</f>
        <v>0</v>
      </c>
      <c r="I29" s="193">
        <f>SUM(I30:I39)</f>
        <v>0</v>
      </c>
      <c r="J29" s="204">
        <f t="shared" si="0"/>
        <v>0</v>
      </c>
      <c r="K29" s="668"/>
    </row>
    <row r="30" spans="1:11" ht="12.75" hidden="1">
      <c r="A30" s="205"/>
      <c r="B30" s="205"/>
      <c r="C30" s="206" t="s">
        <v>2</v>
      </c>
      <c r="D30" s="206" t="s">
        <v>152</v>
      </c>
      <c r="E30" s="206" t="s">
        <v>153</v>
      </c>
      <c r="F30" s="207">
        <v>0</v>
      </c>
      <c r="G30" s="207">
        <v>0</v>
      </c>
      <c r="H30" s="207">
        <v>0</v>
      </c>
      <c r="I30" s="207">
        <v>0</v>
      </c>
      <c r="J30" s="204">
        <f t="shared" si="0"/>
        <v>0</v>
      </c>
      <c r="K30" s="668"/>
    </row>
    <row r="31" spans="1:11" ht="12.75" hidden="1">
      <c r="A31" s="205"/>
      <c r="B31" s="205"/>
      <c r="C31" s="206"/>
      <c r="D31" s="206" t="s">
        <v>154</v>
      </c>
      <c r="E31" s="206" t="s">
        <v>155</v>
      </c>
      <c r="F31" s="207">
        <v>0</v>
      </c>
      <c r="G31" s="207">
        <v>0</v>
      </c>
      <c r="H31" s="207">
        <v>0</v>
      </c>
      <c r="I31" s="207">
        <v>0</v>
      </c>
      <c r="J31" s="204">
        <f t="shared" si="0"/>
        <v>0</v>
      </c>
      <c r="K31" s="668"/>
    </row>
    <row r="32" spans="1:11" ht="12.75" hidden="1">
      <c r="A32" s="205"/>
      <c r="B32" s="205"/>
      <c r="C32" s="206"/>
      <c r="D32" s="206" t="s">
        <v>156</v>
      </c>
      <c r="E32" s="206" t="s">
        <v>157</v>
      </c>
      <c r="F32" s="207">
        <v>0</v>
      </c>
      <c r="G32" s="207">
        <v>0</v>
      </c>
      <c r="H32" s="207">
        <v>0</v>
      </c>
      <c r="I32" s="207">
        <v>0</v>
      </c>
      <c r="J32" s="204">
        <f t="shared" si="0"/>
        <v>0</v>
      </c>
      <c r="K32" s="668"/>
    </row>
    <row r="33" spans="1:11" ht="12.75" hidden="1">
      <c r="A33" s="205"/>
      <c r="B33" s="205"/>
      <c r="C33" s="206"/>
      <c r="D33" s="206" t="s">
        <v>158</v>
      </c>
      <c r="E33" s="206" t="s">
        <v>159</v>
      </c>
      <c r="F33" s="207">
        <v>0</v>
      </c>
      <c r="G33" s="207">
        <v>0</v>
      </c>
      <c r="H33" s="207">
        <v>0</v>
      </c>
      <c r="I33" s="207">
        <v>0</v>
      </c>
      <c r="J33" s="204">
        <f t="shared" si="0"/>
        <v>0</v>
      </c>
      <c r="K33" s="668"/>
    </row>
    <row r="34" spans="1:11" ht="12.75" hidden="1">
      <c r="A34" s="205"/>
      <c r="B34" s="205"/>
      <c r="C34" s="206"/>
      <c r="D34" s="206" t="s">
        <v>160</v>
      </c>
      <c r="E34" s="206" t="s">
        <v>161</v>
      </c>
      <c r="F34" s="207">
        <v>0</v>
      </c>
      <c r="G34" s="207">
        <v>0</v>
      </c>
      <c r="H34" s="207">
        <v>0</v>
      </c>
      <c r="I34" s="207">
        <v>0</v>
      </c>
      <c r="J34" s="204">
        <f t="shared" si="0"/>
        <v>0</v>
      </c>
      <c r="K34" s="668"/>
    </row>
    <row r="35" spans="1:11" ht="12.75" hidden="1">
      <c r="A35" s="205"/>
      <c r="B35" s="205"/>
      <c r="C35" s="206"/>
      <c r="D35" s="206" t="s">
        <v>162</v>
      </c>
      <c r="E35" s="206" t="s">
        <v>163</v>
      </c>
      <c r="F35" s="207">
        <v>0</v>
      </c>
      <c r="G35" s="207">
        <v>0</v>
      </c>
      <c r="H35" s="207">
        <v>0</v>
      </c>
      <c r="I35" s="207">
        <v>0</v>
      </c>
      <c r="J35" s="204">
        <f t="shared" si="0"/>
        <v>0</v>
      </c>
      <c r="K35" s="668"/>
    </row>
    <row r="36" spans="1:11" ht="0.75" customHeight="1" hidden="1">
      <c r="A36" s="205"/>
      <c r="B36" s="205"/>
      <c r="C36" s="206"/>
      <c r="D36" s="206" t="s">
        <v>164</v>
      </c>
      <c r="E36" s="206" t="s">
        <v>165</v>
      </c>
      <c r="F36" s="207">
        <v>0</v>
      </c>
      <c r="G36" s="207">
        <v>0</v>
      </c>
      <c r="H36" s="207">
        <v>0</v>
      </c>
      <c r="I36" s="207">
        <v>0</v>
      </c>
      <c r="J36" s="204">
        <f t="shared" si="0"/>
        <v>0</v>
      </c>
      <c r="K36" s="668"/>
    </row>
    <row r="37" spans="1:11" ht="12.75" hidden="1">
      <c r="A37" s="205"/>
      <c r="B37" s="205"/>
      <c r="C37" s="206"/>
      <c r="D37" s="206" t="s">
        <v>166</v>
      </c>
      <c r="E37" s="206" t="s">
        <v>167</v>
      </c>
      <c r="F37" s="207">
        <v>0</v>
      </c>
      <c r="G37" s="207">
        <v>0</v>
      </c>
      <c r="H37" s="207">
        <v>0</v>
      </c>
      <c r="I37" s="207">
        <v>0</v>
      </c>
      <c r="J37" s="204">
        <f t="shared" si="0"/>
        <v>0</v>
      </c>
      <c r="K37" s="668"/>
    </row>
    <row r="38" spans="1:11" ht="12.75" hidden="1">
      <c r="A38" s="205"/>
      <c r="B38" s="205"/>
      <c r="C38" s="206"/>
      <c r="D38" s="206" t="s">
        <v>168</v>
      </c>
      <c r="E38" s="206" t="s">
        <v>169</v>
      </c>
      <c r="F38" s="207">
        <v>0</v>
      </c>
      <c r="G38" s="207">
        <v>0</v>
      </c>
      <c r="H38" s="207">
        <v>0</v>
      </c>
      <c r="I38" s="207">
        <v>0</v>
      </c>
      <c r="J38" s="204">
        <f t="shared" si="0"/>
        <v>0</v>
      </c>
      <c r="K38" s="668"/>
    </row>
    <row r="39" spans="1:11" ht="12.75" hidden="1">
      <c r="A39" s="205"/>
      <c r="B39" s="205"/>
      <c r="C39" s="206"/>
      <c r="D39" s="206" t="s">
        <v>170</v>
      </c>
      <c r="E39" s="206" t="s">
        <v>171</v>
      </c>
      <c r="F39" s="207">
        <v>0</v>
      </c>
      <c r="G39" s="207">
        <v>0</v>
      </c>
      <c r="H39" s="207">
        <v>0</v>
      </c>
      <c r="I39" s="207">
        <v>0</v>
      </c>
      <c r="J39" s="204">
        <f t="shared" si="0"/>
        <v>0</v>
      </c>
      <c r="K39" s="668"/>
    </row>
    <row r="40" spans="1:11" ht="12.75" hidden="1">
      <c r="A40" s="192"/>
      <c r="B40" s="192"/>
      <c r="C40" s="192" t="s">
        <v>176</v>
      </c>
      <c r="D40" s="967" t="s">
        <v>177</v>
      </c>
      <c r="E40" s="968"/>
      <c r="F40" s="193">
        <v>0</v>
      </c>
      <c r="G40" s="193">
        <v>0</v>
      </c>
      <c r="H40" s="193">
        <v>0</v>
      </c>
      <c r="I40" s="193">
        <v>0</v>
      </c>
      <c r="J40" s="204">
        <f t="shared" si="0"/>
        <v>0</v>
      </c>
      <c r="K40" s="668"/>
    </row>
    <row r="41" spans="1:11" ht="12.75" hidden="1">
      <c r="A41" s="192"/>
      <c r="B41" s="192"/>
      <c r="C41" s="192" t="s">
        <v>178</v>
      </c>
      <c r="D41" s="967" t="s">
        <v>554</v>
      </c>
      <c r="E41" s="968"/>
      <c r="F41" s="193">
        <v>0</v>
      </c>
      <c r="G41" s="193">
        <v>0</v>
      </c>
      <c r="H41" s="193">
        <v>0</v>
      </c>
      <c r="I41" s="193">
        <v>0</v>
      </c>
      <c r="J41" s="204">
        <f t="shared" si="0"/>
        <v>0</v>
      </c>
      <c r="K41" s="668"/>
    </row>
    <row r="42" spans="1:11" ht="12.75" hidden="1">
      <c r="A42" s="192"/>
      <c r="B42" s="192"/>
      <c r="C42" s="192" t="s">
        <v>189</v>
      </c>
      <c r="D42" s="967" t="s">
        <v>190</v>
      </c>
      <c r="E42" s="968"/>
      <c r="F42" s="193">
        <v>0</v>
      </c>
      <c r="G42" s="193">
        <v>0</v>
      </c>
      <c r="H42" s="193">
        <v>0</v>
      </c>
      <c r="I42" s="193">
        <v>0</v>
      </c>
      <c r="J42" s="204">
        <f t="shared" si="0"/>
        <v>0</v>
      </c>
      <c r="K42" s="668"/>
    </row>
    <row r="43" spans="1:11" ht="12.75" hidden="1">
      <c r="A43" s="192"/>
      <c r="B43" s="192"/>
      <c r="C43" s="192" t="s">
        <v>191</v>
      </c>
      <c r="D43" s="967" t="s">
        <v>192</v>
      </c>
      <c r="E43" s="968"/>
      <c r="F43" s="193">
        <v>0</v>
      </c>
      <c r="G43" s="193">
        <v>0</v>
      </c>
      <c r="H43" s="193">
        <v>0</v>
      </c>
      <c r="I43" s="193">
        <v>0</v>
      </c>
      <c r="J43" s="204">
        <f t="shared" si="0"/>
        <v>0</v>
      </c>
      <c r="K43" s="668"/>
    </row>
    <row r="44" spans="1:11" ht="12.75" hidden="1">
      <c r="A44" s="192"/>
      <c r="B44" s="192"/>
      <c r="C44" s="192" t="s">
        <v>193</v>
      </c>
      <c r="D44" s="967" t="s">
        <v>595</v>
      </c>
      <c r="E44" s="968"/>
      <c r="F44" s="193">
        <v>0</v>
      </c>
      <c r="G44" s="193">
        <v>0</v>
      </c>
      <c r="H44" s="193">
        <v>0</v>
      </c>
      <c r="I44" s="193">
        <v>0</v>
      </c>
      <c r="J44" s="204">
        <f t="shared" si="0"/>
        <v>0</v>
      </c>
      <c r="K44" s="668"/>
    </row>
    <row r="45" spans="1:11" ht="12.75">
      <c r="A45" s="192"/>
      <c r="B45" s="192"/>
      <c r="C45" s="192" t="s">
        <v>174</v>
      </c>
      <c r="D45" s="965" t="s">
        <v>891</v>
      </c>
      <c r="E45" s="966"/>
      <c r="F45" s="193">
        <v>1170350</v>
      </c>
      <c r="G45" s="193">
        <v>0</v>
      </c>
      <c r="H45" s="193">
        <v>0</v>
      </c>
      <c r="I45" s="193">
        <v>0</v>
      </c>
      <c r="J45" s="204">
        <f t="shared" si="0"/>
        <v>1170350</v>
      </c>
      <c r="K45" s="668"/>
    </row>
    <row r="46" spans="1:11" ht="12.75">
      <c r="A46" s="192"/>
      <c r="B46" s="192"/>
      <c r="C46" s="192" t="s">
        <v>195</v>
      </c>
      <c r="D46" s="965" t="s">
        <v>194</v>
      </c>
      <c r="E46" s="966"/>
      <c r="F46" s="193">
        <f>177647755</f>
        <v>177647755</v>
      </c>
      <c r="G46" s="193">
        <f>SUM(G47:G56)</f>
        <v>0</v>
      </c>
      <c r="H46" s="193">
        <f>SUM(H47:H56)</f>
        <v>0</v>
      </c>
      <c r="I46" s="193">
        <f>SUM(I47:I56)</f>
        <v>0</v>
      </c>
      <c r="J46" s="204">
        <f t="shared" si="0"/>
        <v>177647755</v>
      </c>
      <c r="K46" s="668"/>
    </row>
    <row r="47" spans="1:11" ht="12.75" hidden="1">
      <c r="A47" s="208"/>
      <c r="B47" s="208"/>
      <c r="C47" s="206" t="s">
        <v>2</v>
      </c>
      <c r="D47" s="257" t="s">
        <v>152</v>
      </c>
      <c r="E47" s="257" t="s">
        <v>179</v>
      </c>
      <c r="F47" s="207">
        <v>0</v>
      </c>
      <c r="G47" s="207">
        <v>0</v>
      </c>
      <c r="H47" s="207">
        <v>0</v>
      </c>
      <c r="I47" s="207">
        <v>0</v>
      </c>
      <c r="J47" s="204">
        <f t="shared" si="0"/>
        <v>0</v>
      </c>
      <c r="K47" s="668"/>
    </row>
    <row r="48" spans="1:11" ht="12.75" hidden="1">
      <c r="A48" s="208"/>
      <c r="B48" s="208"/>
      <c r="C48" s="206"/>
      <c r="D48" s="257" t="s">
        <v>154</v>
      </c>
      <c r="E48" s="257" t="s">
        <v>592</v>
      </c>
      <c r="F48" s="207">
        <v>0</v>
      </c>
      <c r="G48" s="207"/>
      <c r="H48" s="207"/>
      <c r="I48" s="207"/>
      <c r="J48" s="204">
        <f t="shared" si="0"/>
        <v>0</v>
      </c>
      <c r="K48" s="668"/>
    </row>
    <row r="49" spans="1:11" ht="12.75" hidden="1">
      <c r="A49" s="208"/>
      <c r="B49" s="208"/>
      <c r="C49" s="206"/>
      <c r="D49" s="257" t="s">
        <v>156</v>
      </c>
      <c r="E49" s="257" t="s">
        <v>180</v>
      </c>
      <c r="F49" s="207">
        <f>100000</f>
        <v>100000</v>
      </c>
      <c r="G49" s="207">
        <v>0</v>
      </c>
      <c r="H49" s="207">
        <v>0</v>
      </c>
      <c r="I49" s="207">
        <v>0</v>
      </c>
      <c r="J49" s="204">
        <f t="shared" si="0"/>
        <v>100000</v>
      </c>
      <c r="K49" s="668"/>
    </row>
    <row r="50" spans="1:11" ht="12.75" hidden="1">
      <c r="A50" s="208"/>
      <c r="B50" s="208"/>
      <c r="C50" s="206"/>
      <c r="D50" s="257" t="s">
        <v>158</v>
      </c>
      <c r="E50" s="257" t="s">
        <v>181</v>
      </c>
      <c r="F50" s="207">
        <v>0</v>
      </c>
      <c r="G50" s="207">
        <v>0</v>
      </c>
      <c r="H50" s="207">
        <v>0</v>
      </c>
      <c r="I50" s="207">
        <v>0</v>
      </c>
      <c r="J50" s="204">
        <f t="shared" si="0"/>
        <v>0</v>
      </c>
      <c r="K50" s="668"/>
    </row>
    <row r="51" spans="1:11" ht="12.75" hidden="1">
      <c r="A51" s="208"/>
      <c r="B51" s="208"/>
      <c r="C51" s="206"/>
      <c r="D51" s="257" t="s">
        <v>160</v>
      </c>
      <c r="E51" s="257" t="s">
        <v>182</v>
      </c>
      <c r="F51" s="207">
        <v>0</v>
      </c>
      <c r="G51" s="207">
        <v>0</v>
      </c>
      <c r="H51" s="207">
        <v>0</v>
      </c>
      <c r="I51" s="207">
        <v>0</v>
      </c>
      <c r="J51" s="204">
        <f t="shared" si="0"/>
        <v>0</v>
      </c>
      <c r="K51" s="668"/>
    </row>
    <row r="52" spans="1:11" ht="12.75" hidden="1">
      <c r="A52" s="208"/>
      <c r="B52" s="208"/>
      <c r="C52" s="206"/>
      <c r="D52" s="257" t="s">
        <v>162</v>
      </c>
      <c r="E52" s="257" t="s">
        <v>183</v>
      </c>
      <c r="F52" s="207">
        <v>0</v>
      </c>
      <c r="G52" s="207">
        <v>0</v>
      </c>
      <c r="H52" s="207">
        <v>0</v>
      </c>
      <c r="I52" s="207">
        <v>0</v>
      </c>
      <c r="J52" s="204">
        <f t="shared" si="0"/>
        <v>0</v>
      </c>
      <c r="K52" s="668"/>
    </row>
    <row r="53" spans="1:11" ht="12.75" hidden="1">
      <c r="A53" s="205"/>
      <c r="B53" s="205"/>
      <c r="C53" s="206"/>
      <c r="D53" s="257" t="s">
        <v>164</v>
      </c>
      <c r="E53" s="257" t="s">
        <v>184</v>
      </c>
      <c r="F53" s="207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3" s="207">
        <v>0</v>
      </c>
      <c r="H53" s="207">
        <v>0</v>
      </c>
      <c r="I53" s="207">
        <v>0</v>
      </c>
      <c r="J53" s="204">
        <f t="shared" si="0"/>
        <v>208924042</v>
      </c>
      <c r="K53" s="668"/>
    </row>
    <row r="54" spans="1:11" ht="12.75" hidden="1">
      <c r="A54" s="205"/>
      <c r="B54" s="205"/>
      <c r="C54" s="206"/>
      <c r="D54" s="257" t="s">
        <v>166</v>
      </c>
      <c r="E54" s="257" t="s">
        <v>185</v>
      </c>
      <c r="F54" s="207">
        <f>3224350+35026110</f>
        <v>38250460</v>
      </c>
      <c r="G54" s="207">
        <v>0</v>
      </c>
      <c r="H54" s="207">
        <v>0</v>
      </c>
      <c r="I54" s="207">
        <v>0</v>
      </c>
      <c r="J54" s="204">
        <f t="shared" si="0"/>
        <v>38250460</v>
      </c>
      <c r="K54" s="668"/>
    </row>
    <row r="55" spans="1:11" ht="12.75" hidden="1">
      <c r="A55" s="208"/>
      <c r="B55" s="208"/>
      <c r="C55" s="206"/>
      <c r="D55" s="257" t="s">
        <v>168</v>
      </c>
      <c r="E55" s="257" t="s">
        <v>187</v>
      </c>
      <c r="F55" s="207">
        <v>0</v>
      </c>
      <c r="G55" s="207">
        <v>0</v>
      </c>
      <c r="H55" s="207">
        <v>0</v>
      </c>
      <c r="I55" s="207">
        <v>0</v>
      </c>
      <c r="J55" s="204">
        <f t="shared" si="0"/>
        <v>0</v>
      </c>
      <c r="K55" s="668"/>
    </row>
    <row r="56" spans="1:11" ht="12.75" hidden="1">
      <c r="A56" s="208"/>
      <c r="B56" s="208"/>
      <c r="C56" s="206"/>
      <c r="D56" s="257" t="s">
        <v>170</v>
      </c>
      <c r="E56" s="257" t="s">
        <v>188</v>
      </c>
      <c r="F56" s="207">
        <v>0</v>
      </c>
      <c r="G56" s="207">
        <v>0</v>
      </c>
      <c r="H56" s="207">
        <v>0</v>
      </c>
      <c r="I56" s="207">
        <v>0</v>
      </c>
      <c r="J56" s="204">
        <f t="shared" si="0"/>
        <v>0</v>
      </c>
      <c r="K56" s="668"/>
    </row>
    <row r="57" spans="1:11" ht="12.75">
      <c r="A57" s="208"/>
      <c r="B57" s="208"/>
      <c r="C57" s="192" t="s">
        <v>596</v>
      </c>
      <c r="D57" s="965" t="s">
        <v>196</v>
      </c>
      <c r="E57" s="966"/>
      <c r="F57" s="193">
        <f>SUM(F58:F61)</f>
        <v>2550000</v>
      </c>
      <c r="G57" s="193">
        <f>SUM(G58:G61)</f>
        <v>0</v>
      </c>
      <c r="H57" s="193">
        <f>SUM(H58:H61)</f>
        <v>0</v>
      </c>
      <c r="I57" s="193">
        <f>SUM(I58:I61)</f>
        <v>0</v>
      </c>
      <c r="J57" s="204">
        <f t="shared" si="0"/>
        <v>2550000</v>
      </c>
      <c r="K57" s="668"/>
    </row>
    <row r="58" spans="1:11" ht="12.75">
      <c r="A58" s="205"/>
      <c r="B58" s="205"/>
      <c r="C58" s="209" t="s">
        <v>2</v>
      </c>
      <c r="D58" s="210"/>
      <c r="E58" s="211" t="s">
        <v>441</v>
      </c>
      <c r="F58" s="207">
        <v>1000000</v>
      </c>
      <c r="G58" s="207">
        <v>0</v>
      </c>
      <c r="H58" s="207">
        <v>0</v>
      </c>
      <c r="I58" s="207">
        <v>0</v>
      </c>
      <c r="J58" s="204">
        <f t="shared" si="0"/>
        <v>1000000</v>
      </c>
      <c r="K58" s="668"/>
    </row>
    <row r="59" spans="1:11" ht="12.75">
      <c r="A59" s="205"/>
      <c r="B59" s="205"/>
      <c r="C59" s="206"/>
      <c r="D59" s="210"/>
      <c r="E59" s="211" t="s">
        <v>478</v>
      </c>
      <c r="F59" s="207">
        <v>1000000</v>
      </c>
      <c r="G59" s="207">
        <v>0</v>
      </c>
      <c r="H59" s="207">
        <v>0</v>
      </c>
      <c r="I59" s="207">
        <v>0</v>
      </c>
      <c r="J59" s="204">
        <f t="shared" si="0"/>
        <v>1000000</v>
      </c>
      <c r="K59" s="668"/>
    </row>
    <row r="60" spans="1:11" ht="12.75">
      <c r="A60" s="205"/>
      <c r="B60" s="205"/>
      <c r="C60" s="206"/>
      <c r="D60" s="210"/>
      <c r="E60" s="211" t="s">
        <v>717</v>
      </c>
      <c r="F60" s="207">
        <v>350000</v>
      </c>
      <c r="G60" s="207">
        <v>0</v>
      </c>
      <c r="H60" s="207">
        <v>0</v>
      </c>
      <c r="I60" s="207">
        <v>0</v>
      </c>
      <c r="J60" s="204">
        <f t="shared" si="0"/>
        <v>350000</v>
      </c>
      <c r="K60" s="668"/>
    </row>
    <row r="61" spans="1:11" ht="22.5">
      <c r="A61" s="205"/>
      <c r="B61" s="205"/>
      <c r="C61" s="206"/>
      <c r="D61" s="210"/>
      <c r="E61" s="666" t="s">
        <v>1057</v>
      </c>
      <c r="F61" s="207">
        <v>200000</v>
      </c>
      <c r="G61" s="207">
        <v>0</v>
      </c>
      <c r="H61" s="207">
        <v>0</v>
      </c>
      <c r="I61" s="207">
        <v>0</v>
      </c>
      <c r="J61" s="204">
        <f t="shared" si="0"/>
        <v>200000</v>
      </c>
      <c r="K61" s="668"/>
    </row>
    <row r="62" spans="1:11" ht="12" customHeight="1">
      <c r="A62" s="203" t="s">
        <v>124</v>
      </c>
      <c r="B62" s="959" t="s">
        <v>375</v>
      </c>
      <c r="C62" s="960"/>
      <c r="D62" s="960"/>
      <c r="E62" s="961"/>
      <c r="F62" s="190">
        <v>1034106071</v>
      </c>
      <c r="G62" s="190">
        <v>1016000</v>
      </c>
      <c r="H62" s="190">
        <v>946150</v>
      </c>
      <c r="I62" s="190">
        <v>3132100</v>
      </c>
      <c r="J62" s="940">
        <f t="shared" si="0"/>
        <v>1039200321</v>
      </c>
      <c r="K62" s="667"/>
    </row>
    <row r="63" spans="1:11" ht="12.75">
      <c r="A63" s="203" t="s">
        <v>126</v>
      </c>
      <c r="B63" s="959" t="s">
        <v>125</v>
      </c>
      <c r="C63" s="960"/>
      <c r="D63" s="960"/>
      <c r="E63" s="961"/>
      <c r="F63" s="190">
        <v>187022953</v>
      </c>
      <c r="G63" s="190">
        <v>0</v>
      </c>
      <c r="H63" s="190">
        <v>0</v>
      </c>
      <c r="I63" s="190"/>
      <c r="J63" s="940">
        <f t="shared" si="0"/>
        <v>187022953</v>
      </c>
      <c r="K63" s="667"/>
    </row>
    <row r="64" spans="1:11" ht="12.75">
      <c r="A64" s="203" t="s">
        <v>128</v>
      </c>
      <c r="B64" s="959" t="s">
        <v>127</v>
      </c>
      <c r="C64" s="960"/>
      <c r="D64" s="960"/>
      <c r="E64" s="961"/>
      <c r="F64" s="190">
        <f>SUM(F65:F73)</f>
        <v>5449520</v>
      </c>
      <c r="G64" s="190">
        <f>SUM(G65:G73)</f>
        <v>0</v>
      </c>
      <c r="H64" s="190">
        <f>SUM(H65:H73)</f>
        <v>0</v>
      </c>
      <c r="I64" s="190">
        <f>SUM(I65:I73)</f>
        <v>0</v>
      </c>
      <c r="J64" s="940">
        <f t="shared" si="0"/>
        <v>5449520</v>
      </c>
      <c r="K64" s="667"/>
    </row>
    <row r="65" spans="1:11" ht="12.75" hidden="1">
      <c r="A65" s="186"/>
      <c r="B65" s="186" t="s">
        <v>198</v>
      </c>
      <c r="C65" s="958" t="s">
        <v>199</v>
      </c>
      <c r="D65" s="958"/>
      <c r="E65" s="958"/>
      <c r="F65" s="189">
        <v>0</v>
      </c>
      <c r="G65" s="189">
        <v>0</v>
      </c>
      <c r="H65" s="189">
        <v>0</v>
      </c>
      <c r="I65" s="189">
        <v>0</v>
      </c>
      <c r="J65" s="190">
        <f t="shared" si="0"/>
        <v>0</v>
      </c>
      <c r="K65" s="667"/>
    </row>
    <row r="66" spans="1:11" ht="12.75" hidden="1">
      <c r="A66" s="186"/>
      <c r="B66" s="186" t="s">
        <v>200</v>
      </c>
      <c r="C66" s="958" t="s">
        <v>201</v>
      </c>
      <c r="D66" s="958"/>
      <c r="E66" s="958"/>
      <c r="F66" s="189">
        <v>0</v>
      </c>
      <c r="G66" s="189">
        <v>0</v>
      </c>
      <c r="H66" s="189">
        <v>0</v>
      </c>
      <c r="I66" s="189">
        <v>0</v>
      </c>
      <c r="J66" s="190">
        <f t="shared" si="0"/>
        <v>0</v>
      </c>
      <c r="K66" s="667"/>
    </row>
    <row r="67" spans="1:11" ht="12.75" hidden="1">
      <c r="A67" s="186" t="s">
        <v>197</v>
      </c>
      <c r="B67" s="186" t="s">
        <v>202</v>
      </c>
      <c r="C67" s="958" t="s">
        <v>203</v>
      </c>
      <c r="D67" s="958"/>
      <c r="E67" s="958"/>
      <c r="F67" s="189">
        <v>0</v>
      </c>
      <c r="G67" s="189">
        <v>0</v>
      </c>
      <c r="H67" s="189">
        <v>0</v>
      </c>
      <c r="I67" s="189">
        <v>0</v>
      </c>
      <c r="J67" s="190">
        <f t="shared" si="0"/>
        <v>0</v>
      </c>
      <c r="K67" s="667"/>
    </row>
    <row r="68" spans="1:11" ht="12.75" hidden="1">
      <c r="A68" s="186"/>
      <c r="B68" s="186" t="s">
        <v>204</v>
      </c>
      <c r="C68" s="958" t="s">
        <v>205</v>
      </c>
      <c r="D68" s="958"/>
      <c r="E68" s="958"/>
      <c r="F68" s="189">
        <v>0</v>
      </c>
      <c r="G68" s="189">
        <v>0</v>
      </c>
      <c r="H68" s="189">
        <v>0</v>
      </c>
      <c r="I68" s="189">
        <v>0</v>
      </c>
      <c r="J68" s="190">
        <f t="shared" si="0"/>
        <v>0</v>
      </c>
      <c r="K68" s="667"/>
    </row>
    <row r="69" spans="1:11" ht="12.75" hidden="1">
      <c r="A69" s="186"/>
      <c r="B69" s="186" t="s">
        <v>206</v>
      </c>
      <c r="C69" s="958" t="s">
        <v>207</v>
      </c>
      <c r="D69" s="958"/>
      <c r="E69" s="958"/>
      <c r="F69" s="189">
        <v>0</v>
      </c>
      <c r="G69" s="189">
        <v>0</v>
      </c>
      <c r="H69" s="189">
        <v>0</v>
      </c>
      <c r="I69" s="189">
        <v>0</v>
      </c>
      <c r="J69" s="190">
        <f t="shared" si="0"/>
        <v>0</v>
      </c>
      <c r="K69" s="667"/>
    </row>
    <row r="70" spans="1:11" ht="12.75" hidden="1">
      <c r="A70" s="186"/>
      <c r="B70" s="186" t="s">
        <v>208</v>
      </c>
      <c r="C70" s="958" t="s">
        <v>209</v>
      </c>
      <c r="D70" s="958"/>
      <c r="E70" s="958"/>
      <c r="F70" s="189">
        <v>0</v>
      </c>
      <c r="G70" s="189">
        <v>0</v>
      </c>
      <c r="H70" s="189">
        <v>0</v>
      </c>
      <c r="I70" s="189">
        <v>0</v>
      </c>
      <c r="J70" s="190">
        <f t="shared" si="0"/>
        <v>0</v>
      </c>
      <c r="K70" s="667"/>
    </row>
    <row r="71" spans="1:11" ht="12.75" hidden="1">
      <c r="A71" s="186"/>
      <c r="B71" s="186" t="s">
        <v>210</v>
      </c>
      <c r="C71" s="958" t="s">
        <v>211</v>
      </c>
      <c r="D71" s="958"/>
      <c r="E71" s="958"/>
      <c r="F71" s="189">
        <v>0</v>
      </c>
      <c r="G71" s="189">
        <v>0</v>
      </c>
      <c r="H71" s="189">
        <v>0</v>
      </c>
      <c r="I71" s="189">
        <v>0</v>
      </c>
      <c r="J71" s="190">
        <f>SUM(F71:I71)</f>
        <v>0</v>
      </c>
      <c r="K71" s="667"/>
    </row>
    <row r="72" spans="1:11" ht="12.75" hidden="1">
      <c r="A72" s="186"/>
      <c r="B72" s="186" t="s">
        <v>212</v>
      </c>
      <c r="C72" s="958" t="s">
        <v>598</v>
      </c>
      <c r="D72" s="958"/>
      <c r="E72" s="958"/>
      <c r="F72" s="189">
        <v>0</v>
      </c>
      <c r="G72" s="189">
        <v>0</v>
      </c>
      <c r="H72" s="189">
        <v>0</v>
      </c>
      <c r="I72" s="189">
        <v>0</v>
      </c>
      <c r="J72" s="190">
        <f>SUM(F72:I72)</f>
        <v>0</v>
      </c>
      <c r="K72" s="667"/>
    </row>
    <row r="73" spans="1:11" ht="12.75">
      <c r="A73" s="186"/>
      <c r="B73" s="186" t="s">
        <v>597</v>
      </c>
      <c r="C73" s="958" t="s">
        <v>716</v>
      </c>
      <c r="D73" s="958"/>
      <c r="E73" s="958"/>
      <c r="F73" s="189">
        <v>5449520</v>
      </c>
      <c r="G73" s="189">
        <v>0</v>
      </c>
      <c r="H73" s="189">
        <v>0</v>
      </c>
      <c r="I73" s="189">
        <v>0</v>
      </c>
      <c r="J73" s="204">
        <f>SUM(F73:I73)</f>
        <v>5449520</v>
      </c>
      <c r="K73" s="667"/>
    </row>
    <row r="74" spans="1:11" ht="12.75">
      <c r="A74" s="203" t="s">
        <v>130</v>
      </c>
      <c r="B74" s="959" t="s">
        <v>129</v>
      </c>
      <c r="C74" s="960"/>
      <c r="D74" s="960"/>
      <c r="E74" s="961"/>
      <c r="F74" s="190">
        <v>17347428</v>
      </c>
      <c r="G74" s="190">
        <v>0</v>
      </c>
      <c r="H74" s="190">
        <v>0</v>
      </c>
      <c r="I74" s="190">
        <v>0</v>
      </c>
      <c r="J74" s="940">
        <f>SUM(F74:I74)</f>
        <v>17347428</v>
      </c>
      <c r="K74" s="667"/>
    </row>
    <row r="75" spans="1:10" ht="12.75">
      <c r="A75" s="212"/>
      <c r="B75" s="213"/>
      <c r="C75" s="213"/>
      <c r="D75" s="213"/>
      <c r="E75" s="213"/>
      <c r="F75" s="214"/>
      <c r="G75" s="215"/>
      <c r="H75" s="215"/>
      <c r="I75" s="215"/>
      <c r="J75" s="216"/>
    </row>
    <row r="76" spans="1:10" ht="15.75">
      <c r="A76" s="962" t="s">
        <v>213</v>
      </c>
      <c r="B76" s="963"/>
      <c r="C76" s="963"/>
      <c r="D76" s="963"/>
      <c r="E76" s="964"/>
      <c r="F76" s="217">
        <f>SUM(F7+F8+F9+F10+F23+F62+F63+F64+F74)</f>
        <v>1919897570</v>
      </c>
      <c r="G76" s="217">
        <f>SUM(G7+G8+G9+G10+G23+G62+G63+G64+G74)</f>
        <v>158031794</v>
      </c>
      <c r="H76" s="217">
        <f>SUM(H7+H8+H9+H10+H23+H62+H63+H64+H74)</f>
        <v>271421575</v>
      </c>
      <c r="I76" s="217">
        <f>SUM(I7+I8+I9+I10+I23+I62+I63+I64+I74)</f>
        <v>51278652</v>
      </c>
      <c r="J76" s="941">
        <f>SUM(J7+J8+J9+J10+J23+J62+J63+J64+J74)</f>
        <v>2400629591</v>
      </c>
    </row>
  </sheetData>
  <sheetProtection/>
  <mergeCells count="46">
    <mergeCell ref="D45:E45"/>
    <mergeCell ref="D21:E21"/>
    <mergeCell ref="D22:E22"/>
    <mergeCell ref="C16:E16"/>
    <mergeCell ref="C18:E18"/>
    <mergeCell ref="C19:E19"/>
    <mergeCell ref="C20:E20"/>
    <mergeCell ref="B23:E23"/>
    <mergeCell ref="D26:E26"/>
    <mergeCell ref="D27:E27"/>
    <mergeCell ref="A1:J1"/>
    <mergeCell ref="A3:J3"/>
    <mergeCell ref="A5:E5"/>
    <mergeCell ref="B6:E6"/>
    <mergeCell ref="B7:E7"/>
    <mergeCell ref="C12:E12"/>
    <mergeCell ref="C11:E11"/>
    <mergeCell ref="D28:E28"/>
    <mergeCell ref="B10:E10"/>
    <mergeCell ref="B8:E8"/>
    <mergeCell ref="B9:E9"/>
    <mergeCell ref="D13:E13"/>
    <mergeCell ref="D14:E14"/>
    <mergeCell ref="C15:E15"/>
    <mergeCell ref="D29:E29"/>
    <mergeCell ref="D40:E40"/>
    <mergeCell ref="D41:E41"/>
    <mergeCell ref="D42:E42"/>
    <mergeCell ref="D43:E43"/>
    <mergeCell ref="D44:E44"/>
    <mergeCell ref="B64:E64"/>
    <mergeCell ref="C65:E65"/>
    <mergeCell ref="C66:E66"/>
    <mergeCell ref="B63:E63"/>
    <mergeCell ref="D46:E46"/>
    <mergeCell ref="D57:E57"/>
    <mergeCell ref="B62:E62"/>
    <mergeCell ref="C73:E73"/>
    <mergeCell ref="B74:E74"/>
    <mergeCell ref="A76:E76"/>
    <mergeCell ref="C67:E67"/>
    <mergeCell ref="C68:E68"/>
    <mergeCell ref="C69:E69"/>
    <mergeCell ref="C70:E70"/>
    <mergeCell ref="C71:E71"/>
    <mergeCell ref="C72:E72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61"/>
  <sheetViews>
    <sheetView zoomScalePageLayoutView="0" workbookViewId="0" topLeftCell="E1">
      <selection activeCell="B2" sqref="B2:I2"/>
    </sheetView>
  </sheetViews>
  <sheetFormatPr defaultColWidth="9.00390625" defaultRowHeight="12.75"/>
  <cols>
    <col min="1" max="1" width="4.125" style="105" bestFit="1" customWidth="1"/>
    <col min="2" max="2" width="55.125" style="38" bestFit="1" customWidth="1"/>
    <col min="3" max="3" width="13.375" style="38" bestFit="1" customWidth="1"/>
    <col min="4" max="5" width="15.125" style="38" bestFit="1" customWidth="1"/>
    <col min="6" max="6" width="53.875" style="38" bestFit="1" customWidth="1"/>
    <col min="7" max="7" width="15.00390625" style="38" bestFit="1" customWidth="1"/>
    <col min="8" max="9" width="15.875" style="38" bestFit="1" customWidth="1"/>
    <col min="10" max="16384" width="9.125" style="38" customWidth="1"/>
  </cols>
  <sheetData>
    <row r="1" spans="6:10" ht="12.75" customHeight="1">
      <c r="F1" s="986" t="s">
        <v>1065</v>
      </c>
      <c r="G1" s="987"/>
      <c r="H1" s="987"/>
      <c r="I1" s="987"/>
      <c r="J1" s="89"/>
    </row>
    <row r="2" spans="2:9" ht="15.75">
      <c r="B2" s="988" t="s">
        <v>890</v>
      </c>
      <c r="C2" s="988"/>
      <c r="D2" s="988"/>
      <c r="E2" s="988"/>
      <c r="F2" s="988"/>
      <c r="G2" s="988"/>
      <c r="H2" s="988"/>
      <c r="I2" s="988"/>
    </row>
    <row r="3" ht="8.25" customHeight="1"/>
    <row r="4" spans="1:9" s="39" customFormat="1" ht="15" customHeight="1">
      <c r="A4" s="990" t="s">
        <v>448</v>
      </c>
      <c r="B4" s="989" t="s">
        <v>454</v>
      </c>
      <c r="C4" s="989"/>
      <c r="D4" s="989"/>
      <c r="E4" s="989"/>
      <c r="F4" s="989" t="s">
        <v>370</v>
      </c>
      <c r="G4" s="989"/>
      <c r="H4" s="989"/>
      <c r="I4" s="989"/>
    </row>
    <row r="5" spans="1:9" s="42" customFormat="1" ht="14.25">
      <c r="A5" s="990"/>
      <c r="B5" s="40" t="s">
        <v>369</v>
      </c>
      <c r="C5" s="41" t="s">
        <v>345</v>
      </c>
      <c r="D5" s="41" t="s">
        <v>344</v>
      </c>
      <c r="E5" s="41" t="s">
        <v>437</v>
      </c>
      <c r="F5" s="40" t="s">
        <v>369</v>
      </c>
      <c r="G5" s="41" t="s">
        <v>345</v>
      </c>
      <c r="H5" s="41" t="s">
        <v>344</v>
      </c>
      <c r="I5" s="41" t="s">
        <v>437</v>
      </c>
    </row>
    <row r="6" spans="1:9" s="104" customFormat="1" ht="12">
      <c r="A6" s="990"/>
      <c r="B6" s="103" t="s">
        <v>442</v>
      </c>
      <c r="C6" s="103" t="s">
        <v>443</v>
      </c>
      <c r="D6" s="103" t="s">
        <v>444</v>
      </c>
      <c r="E6" s="103" t="s">
        <v>445</v>
      </c>
      <c r="F6" s="103" t="s">
        <v>446</v>
      </c>
      <c r="G6" s="103" t="s">
        <v>447</v>
      </c>
      <c r="H6" s="103" t="s">
        <v>449</v>
      </c>
      <c r="I6" s="103" t="s">
        <v>450</v>
      </c>
    </row>
    <row r="7" spans="1:9" s="64" customFormat="1" ht="14.25">
      <c r="A7" s="103">
        <v>1</v>
      </c>
      <c r="B7" s="63" t="s">
        <v>535</v>
      </c>
      <c r="C7" s="81">
        <f>SUM(C8)</f>
        <v>937082020</v>
      </c>
      <c r="D7" s="81">
        <f>SUM(D32,D8)</f>
        <v>106508779</v>
      </c>
      <c r="E7" s="81">
        <f aca="true" t="shared" si="0" ref="E7:E30">SUM(C7:D7)</f>
        <v>1043590799</v>
      </c>
      <c r="F7" s="63" t="s">
        <v>536</v>
      </c>
      <c r="G7" s="81">
        <f>SUM(G8,G32)</f>
        <v>1151609369</v>
      </c>
      <c r="H7" s="81">
        <f>SUM(H8,H32)</f>
        <v>1231672794</v>
      </c>
      <c r="I7" s="81">
        <f aca="true" t="shared" si="1" ref="I7:I18">SUM(G7:H7)</f>
        <v>2383282163</v>
      </c>
    </row>
    <row r="8" spans="1:9" s="73" customFormat="1" ht="12.75">
      <c r="A8" s="106">
        <v>2</v>
      </c>
      <c r="B8" s="70" t="s">
        <v>472</v>
      </c>
      <c r="C8" s="71">
        <f>SUM(C28+C18+C13+C9)</f>
        <v>937082020</v>
      </c>
      <c r="D8" s="71">
        <f>SUM(D28+D18+D13+D9)</f>
        <v>0</v>
      </c>
      <c r="E8" s="71">
        <f t="shared" si="0"/>
        <v>937082020</v>
      </c>
      <c r="F8" s="72" t="s">
        <v>475</v>
      </c>
      <c r="G8" s="71">
        <f>SUM(G9:G13)</f>
        <v>1151609369</v>
      </c>
      <c r="H8" s="71">
        <f>SUM(H9:H13)</f>
        <v>0</v>
      </c>
      <c r="I8" s="71">
        <f t="shared" si="1"/>
        <v>1151609369</v>
      </c>
    </row>
    <row r="9" spans="1:9" s="45" customFormat="1" ht="12.75">
      <c r="A9" s="106">
        <v>3</v>
      </c>
      <c r="B9" s="79" t="s">
        <v>15</v>
      </c>
      <c r="C9" s="60">
        <f>SUM(C10:C12)</f>
        <v>610966677</v>
      </c>
      <c r="D9" s="60">
        <v>0</v>
      </c>
      <c r="E9" s="60">
        <f t="shared" si="0"/>
        <v>610966677</v>
      </c>
      <c r="F9" s="80" t="s">
        <v>476</v>
      </c>
      <c r="G9" s="60">
        <v>422579600</v>
      </c>
      <c r="H9" s="60">
        <v>0</v>
      </c>
      <c r="I9" s="60">
        <f t="shared" si="1"/>
        <v>422579600</v>
      </c>
    </row>
    <row r="10" spans="1:9" s="45" customFormat="1" ht="12.75">
      <c r="A10" s="103">
        <v>4</v>
      </c>
      <c r="B10" s="57" t="s">
        <v>16</v>
      </c>
      <c r="C10" s="62">
        <v>474324803</v>
      </c>
      <c r="D10" s="62">
        <v>0</v>
      </c>
      <c r="E10" s="62">
        <f t="shared" si="0"/>
        <v>474324803</v>
      </c>
      <c r="F10" s="80" t="s">
        <v>730</v>
      </c>
      <c r="G10" s="60">
        <v>94757514</v>
      </c>
      <c r="H10" s="60">
        <v>0</v>
      </c>
      <c r="I10" s="60">
        <f t="shared" si="1"/>
        <v>94757514</v>
      </c>
    </row>
    <row r="11" spans="1:9" s="45" customFormat="1" ht="12.75">
      <c r="A11" s="106">
        <v>5</v>
      </c>
      <c r="B11" s="57" t="s">
        <v>728</v>
      </c>
      <c r="C11" s="62">
        <v>0</v>
      </c>
      <c r="D11" s="62">
        <v>0</v>
      </c>
      <c r="E11" s="62">
        <f t="shared" si="0"/>
        <v>0</v>
      </c>
      <c r="F11" s="80" t="s">
        <v>38</v>
      </c>
      <c r="G11" s="60">
        <v>441669250</v>
      </c>
      <c r="H11" s="60">
        <v>0</v>
      </c>
      <c r="I11" s="60">
        <f t="shared" si="1"/>
        <v>441669250</v>
      </c>
    </row>
    <row r="12" spans="1:9" s="45" customFormat="1" ht="12.75">
      <c r="A12" s="106">
        <v>6</v>
      </c>
      <c r="B12" s="57" t="s">
        <v>17</v>
      </c>
      <c r="C12" s="62">
        <v>136641874</v>
      </c>
      <c r="D12" s="62">
        <v>0</v>
      </c>
      <c r="E12" s="62">
        <f t="shared" si="0"/>
        <v>136641874</v>
      </c>
      <c r="F12" s="80" t="s">
        <v>39</v>
      </c>
      <c r="G12" s="60">
        <v>11234900</v>
      </c>
      <c r="H12" s="60">
        <v>0</v>
      </c>
      <c r="I12" s="60">
        <f t="shared" si="1"/>
        <v>11234900</v>
      </c>
    </row>
    <row r="13" spans="1:9" s="45" customFormat="1" ht="12.75">
      <c r="A13" s="103">
        <v>7</v>
      </c>
      <c r="B13" s="79" t="s">
        <v>21</v>
      </c>
      <c r="C13" s="60">
        <f>SUM(C14:C17)</f>
        <v>254780000</v>
      </c>
      <c r="D13" s="60">
        <f>SUM(D14:D17)</f>
        <v>0</v>
      </c>
      <c r="E13" s="60">
        <f t="shared" si="0"/>
        <v>254780000</v>
      </c>
      <c r="F13" s="84" t="s">
        <v>40</v>
      </c>
      <c r="G13" s="60">
        <f>SUM(G14:G18)</f>
        <v>181368105</v>
      </c>
      <c r="H13" s="60">
        <f>SUM(H14:H18)</f>
        <v>0</v>
      </c>
      <c r="I13" s="60">
        <f t="shared" si="1"/>
        <v>181368105</v>
      </c>
    </row>
    <row r="14" spans="1:9" s="46" customFormat="1" ht="12.75">
      <c r="A14" s="106">
        <v>8</v>
      </c>
      <c r="B14" s="57" t="s">
        <v>114</v>
      </c>
      <c r="C14" s="62">
        <v>232130000</v>
      </c>
      <c r="D14" s="62">
        <v>0</v>
      </c>
      <c r="E14" s="62">
        <f t="shared" si="0"/>
        <v>232130000</v>
      </c>
      <c r="F14" s="59" t="s">
        <v>808</v>
      </c>
      <c r="G14" s="62">
        <v>0</v>
      </c>
      <c r="H14" s="62">
        <v>0</v>
      </c>
      <c r="I14" s="62">
        <f t="shared" si="1"/>
        <v>0</v>
      </c>
    </row>
    <row r="15" spans="1:9" s="46" customFormat="1" ht="12.75">
      <c r="A15" s="106"/>
      <c r="B15" s="58" t="s">
        <v>852</v>
      </c>
      <c r="C15" s="62">
        <v>50000</v>
      </c>
      <c r="D15" s="62">
        <v>0</v>
      </c>
      <c r="E15" s="62">
        <f t="shared" si="0"/>
        <v>50000</v>
      </c>
      <c r="F15" s="59" t="s">
        <v>729</v>
      </c>
      <c r="G15" s="62">
        <v>0</v>
      </c>
      <c r="H15" s="62">
        <v>0</v>
      </c>
      <c r="I15" s="62">
        <f t="shared" si="1"/>
        <v>0</v>
      </c>
    </row>
    <row r="16" spans="1:9" s="46" customFormat="1" ht="12.75">
      <c r="A16" s="106">
        <v>9</v>
      </c>
      <c r="B16" s="58" t="s">
        <v>853</v>
      </c>
      <c r="C16" s="62">
        <v>22000000</v>
      </c>
      <c r="D16" s="62">
        <v>0</v>
      </c>
      <c r="E16" s="62">
        <f t="shared" si="0"/>
        <v>22000000</v>
      </c>
      <c r="F16" s="59" t="s">
        <v>892</v>
      </c>
      <c r="G16" s="62">
        <v>1170350</v>
      </c>
      <c r="H16" s="62">
        <v>0</v>
      </c>
      <c r="I16" s="62">
        <f t="shared" si="1"/>
        <v>1170350</v>
      </c>
    </row>
    <row r="17" spans="1:9" s="46" customFormat="1" ht="12.75">
      <c r="A17" s="103">
        <v>10</v>
      </c>
      <c r="B17" s="57" t="s">
        <v>854</v>
      </c>
      <c r="C17" s="62">
        <v>600000</v>
      </c>
      <c r="D17" s="62">
        <v>0</v>
      </c>
      <c r="E17" s="62">
        <f t="shared" si="0"/>
        <v>600000</v>
      </c>
      <c r="F17" s="59" t="s">
        <v>893</v>
      </c>
      <c r="G17" s="62">
        <f>155533573-34818+23849000-500000-500000-700000</f>
        <v>177647755</v>
      </c>
      <c r="H17" s="62"/>
      <c r="I17" s="62">
        <f t="shared" si="1"/>
        <v>177647755</v>
      </c>
    </row>
    <row r="18" spans="1:9" s="46" customFormat="1" ht="12.75">
      <c r="A18" s="106">
        <v>11</v>
      </c>
      <c r="B18" s="79" t="s">
        <v>22</v>
      </c>
      <c r="C18" s="60">
        <f>SUM(C19:C27)</f>
        <v>71335343</v>
      </c>
      <c r="D18" s="60">
        <f>SUM(D19:D27)</f>
        <v>0</v>
      </c>
      <c r="E18" s="60">
        <f t="shared" si="0"/>
        <v>71335343</v>
      </c>
      <c r="F18" s="59" t="s">
        <v>894</v>
      </c>
      <c r="G18" s="62">
        <f>26199000-23849000+200000</f>
        <v>2550000</v>
      </c>
      <c r="H18" s="62"/>
      <c r="I18" s="62">
        <f t="shared" si="1"/>
        <v>2550000</v>
      </c>
    </row>
    <row r="19" spans="1:9" s="45" customFormat="1" ht="12.75">
      <c r="A19" s="106">
        <v>12</v>
      </c>
      <c r="B19" s="57" t="s">
        <v>599</v>
      </c>
      <c r="C19" s="62">
        <v>8000000</v>
      </c>
      <c r="D19" s="62">
        <v>0</v>
      </c>
      <c r="E19" s="62">
        <f t="shared" si="0"/>
        <v>8000000</v>
      </c>
      <c r="F19" s="84"/>
      <c r="G19" s="60"/>
      <c r="H19" s="60"/>
      <c r="I19" s="60"/>
    </row>
    <row r="20" spans="1:9" s="45" customFormat="1" ht="12.75">
      <c r="A20" s="103">
        <v>13</v>
      </c>
      <c r="B20" s="57" t="s">
        <v>23</v>
      </c>
      <c r="C20" s="62">
        <f>17817680+540000+1080000</f>
        <v>19437680</v>
      </c>
      <c r="D20" s="62">
        <v>0</v>
      </c>
      <c r="E20" s="62">
        <f t="shared" si="0"/>
        <v>19437680</v>
      </c>
      <c r="F20" s="59"/>
      <c r="G20" s="62"/>
      <c r="H20" s="62"/>
      <c r="I20" s="62"/>
    </row>
    <row r="21" spans="1:9" s="45" customFormat="1" ht="12.75">
      <c r="A21" s="106">
        <v>14</v>
      </c>
      <c r="B21" s="57" t="s">
        <v>24</v>
      </c>
      <c r="C21" s="62">
        <v>9130778</v>
      </c>
      <c r="D21" s="62">
        <v>0</v>
      </c>
      <c r="E21" s="62">
        <f t="shared" si="0"/>
        <v>9130778</v>
      </c>
      <c r="F21" s="59"/>
      <c r="G21" s="62"/>
      <c r="H21" s="62"/>
      <c r="I21" s="62"/>
    </row>
    <row r="22" spans="1:9" s="45" customFormat="1" ht="12.75">
      <c r="A22" s="106">
        <v>15</v>
      </c>
      <c r="B22" s="57" t="s">
        <v>555</v>
      </c>
      <c r="C22" s="62">
        <v>721000</v>
      </c>
      <c r="D22" s="62">
        <v>0</v>
      </c>
      <c r="E22" s="62">
        <f t="shared" si="0"/>
        <v>721000</v>
      </c>
      <c r="F22" s="59"/>
      <c r="G22" s="62"/>
      <c r="H22" s="62"/>
      <c r="I22" s="62"/>
    </row>
    <row r="23" spans="1:9" s="45" customFormat="1" ht="12.75">
      <c r="A23" s="103">
        <v>16</v>
      </c>
      <c r="B23" s="57" t="s">
        <v>25</v>
      </c>
      <c r="C23" s="62">
        <v>6042864</v>
      </c>
      <c r="D23" s="62">
        <v>0</v>
      </c>
      <c r="E23" s="62">
        <f t="shared" si="0"/>
        <v>6042864</v>
      </c>
      <c r="F23" s="59"/>
      <c r="G23" s="62"/>
      <c r="H23" s="62"/>
      <c r="I23" s="62"/>
    </row>
    <row r="24" spans="1:9" s="45" customFormat="1" ht="12.75">
      <c r="A24" s="106">
        <v>17</v>
      </c>
      <c r="B24" s="57" t="s">
        <v>26</v>
      </c>
      <c r="C24" s="62">
        <v>5690292</v>
      </c>
      <c r="D24" s="62">
        <v>0</v>
      </c>
      <c r="E24" s="62">
        <f t="shared" si="0"/>
        <v>5690292</v>
      </c>
      <c r="F24" s="44"/>
      <c r="G24" s="62"/>
      <c r="H24" s="61"/>
      <c r="I24" s="61"/>
    </row>
    <row r="25" spans="1:9" s="45" customFormat="1" ht="12.75">
      <c r="A25" s="106">
        <v>18</v>
      </c>
      <c r="B25" s="57" t="s">
        <v>306</v>
      </c>
      <c r="C25" s="62">
        <v>0</v>
      </c>
      <c r="D25" s="62">
        <v>0</v>
      </c>
      <c r="E25" s="62">
        <f t="shared" si="0"/>
        <v>0</v>
      </c>
      <c r="F25" s="44"/>
      <c r="G25" s="62"/>
      <c r="H25" s="61"/>
      <c r="I25" s="61"/>
    </row>
    <row r="26" spans="1:9" s="45" customFormat="1" ht="12.75">
      <c r="A26" s="106">
        <v>19</v>
      </c>
      <c r="B26" s="57" t="s">
        <v>752</v>
      </c>
      <c r="C26" s="62">
        <v>500</v>
      </c>
      <c r="D26" s="62">
        <v>0</v>
      </c>
      <c r="E26" s="62">
        <f t="shared" si="0"/>
        <v>500</v>
      </c>
      <c r="F26" s="44"/>
      <c r="G26" s="62"/>
      <c r="H26" s="61"/>
      <c r="I26" s="61"/>
    </row>
    <row r="27" spans="1:9" s="43" customFormat="1" ht="12.75">
      <c r="A27" s="103">
        <v>20</v>
      </c>
      <c r="B27" s="57" t="s">
        <v>753</v>
      </c>
      <c r="C27" s="62">
        <f>12081400-233171+10464000</f>
        <v>22312229</v>
      </c>
      <c r="D27" s="62">
        <v>0</v>
      </c>
      <c r="E27" s="62">
        <f t="shared" si="0"/>
        <v>22312229</v>
      </c>
      <c r="F27" s="44"/>
      <c r="G27" s="61"/>
      <c r="H27" s="61"/>
      <c r="I27" s="61"/>
    </row>
    <row r="28" spans="1:9" s="43" customFormat="1" ht="12.75">
      <c r="A28" s="106">
        <v>21</v>
      </c>
      <c r="B28" s="79" t="s">
        <v>32</v>
      </c>
      <c r="C28" s="60">
        <f>SUM(C29:C30)</f>
        <v>0</v>
      </c>
      <c r="D28" s="60">
        <v>0</v>
      </c>
      <c r="E28" s="60">
        <f t="shared" si="0"/>
        <v>0</v>
      </c>
      <c r="F28" s="44"/>
      <c r="G28" s="61"/>
      <c r="H28" s="61"/>
      <c r="I28" s="61"/>
    </row>
    <row r="29" spans="1:9" s="43" customFormat="1" ht="12.75">
      <c r="A29" s="106">
        <v>22</v>
      </c>
      <c r="B29" s="57" t="s">
        <v>33</v>
      </c>
      <c r="C29" s="62">
        <v>0</v>
      </c>
      <c r="D29" s="62">
        <v>0</v>
      </c>
      <c r="E29" s="62">
        <f t="shared" si="0"/>
        <v>0</v>
      </c>
      <c r="F29" s="44"/>
      <c r="G29" s="61"/>
      <c r="H29" s="61"/>
      <c r="I29" s="61"/>
    </row>
    <row r="30" spans="1:9" s="43" customFormat="1" ht="12.75">
      <c r="A30" s="103">
        <v>23</v>
      </c>
      <c r="B30" s="57" t="s">
        <v>34</v>
      </c>
      <c r="C30" s="62">
        <v>0</v>
      </c>
      <c r="D30" s="62">
        <v>0</v>
      </c>
      <c r="E30" s="62">
        <f t="shared" si="0"/>
        <v>0</v>
      </c>
      <c r="F30" s="44"/>
      <c r="G30" s="61"/>
      <c r="H30" s="61"/>
      <c r="I30" s="61"/>
    </row>
    <row r="31" spans="1:9" s="43" customFormat="1" ht="12.75">
      <c r="A31" s="106">
        <v>24</v>
      </c>
      <c r="B31" s="57"/>
      <c r="C31" s="62"/>
      <c r="D31" s="62"/>
      <c r="E31" s="62"/>
      <c r="F31" s="44"/>
      <c r="G31" s="61"/>
      <c r="H31" s="61"/>
      <c r="I31" s="61"/>
    </row>
    <row r="32" spans="1:9" s="73" customFormat="1" ht="12.75">
      <c r="A32" s="106">
        <v>25</v>
      </c>
      <c r="B32" s="74" t="s">
        <v>474</v>
      </c>
      <c r="C32" s="71">
        <f>SUM(C41+C36+C33)</f>
        <v>0</v>
      </c>
      <c r="D32" s="71">
        <f>SUM(D41+D36+D33)</f>
        <v>106508779</v>
      </c>
      <c r="E32" s="71">
        <f>SUM(D32:D32)</f>
        <v>106508779</v>
      </c>
      <c r="F32" s="72" t="s">
        <v>340</v>
      </c>
      <c r="G32" s="71">
        <f>SUM(G33:G35)</f>
        <v>0</v>
      </c>
      <c r="H32" s="71">
        <f>SUM(H33:H35)</f>
        <v>1231672794</v>
      </c>
      <c r="I32" s="71">
        <f aca="true" t="shared" si="2" ref="I32:I40">SUM(G32:H32)</f>
        <v>1231672794</v>
      </c>
    </row>
    <row r="33" spans="1:9" s="43" customFormat="1" ht="12.75">
      <c r="A33" s="103">
        <v>26</v>
      </c>
      <c r="B33" s="79" t="s">
        <v>18</v>
      </c>
      <c r="C33" s="60">
        <f>SUM(C34:C35)</f>
        <v>0</v>
      </c>
      <c r="D33" s="60">
        <f>SUM(D34:D35)</f>
        <v>27667271</v>
      </c>
      <c r="E33" s="60">
        <f>SUM(D33:D33)</f>
        <v>27667271</v>
      </c>
      <c r="F33" s="80" t="s">
        <v>41</v>
      </c>
      <c r="G33" s="60">
        <v>0</v>
      </c>
      <c r="H33" s="60">
        <v>1039200321</v>
      </c>
      <c r="I33" s="60">
        <f t="shared" si="2"/>
        <v>1039200321</v>
      </c>
    </row>
    <row r="34" spans="1:9" s="43" customFormat="1" ht="12.75">
      <c r="A34" s="106">
        <v>27</v>
      </c>
      <c r="B34" s="57" t="s">
        <v>19</v>
      </c>
      <c r="C34" s="62">
        <v>0</v>
      </c>
      <c r="D34" s="62">
        <v>0</v>
      </c>
      <c r="E34" s="62">
        <f aca="true" t="shared" si="3" ref="E34:E43">SUM(D34:D34)</f>
        <v>0</v>
      </c>
      <c r="F34" s="80" t="s">
        <v>42</v>
      </c>
      <c r="G34" s="60">
        <v>0</v>
      </c>
      <c r="H34" s="60">
        <v>187022953</v>
      </c>
      <c r="I34" s="60">
        <f t="shared" si="2"/>
        <v>187022953</v>
      </c>
    </row>
    <row r="35" spans="1:9" s="43" customFormat="1" ht="12.75">
      <c r="A35" s="106">
        <v>28</v>
      </c>
      <c r="B35" s="57" t="s">
        <v>20</v>
      </c>
      <c r="C35" s="62">
        <v>0</v>
      </c>
      <c r="D35" s="62">
        <v>27667271</v>
      </c>
      <c r="E35" s="62">
        <f t="shared" si="3"/>
        <v>27667271</v>
      </c>
      <c r="F35" s="80" t="s">
        <v>43</v>
      </c>
      <c r="G35" s="60">
        <f>SUM(G36:G40)</f>
        <v>0</v>
      </c>
      <c r="H35" s="60">
        <f>SUM(H36:H40)</f>
        <v>5449520</v>
      </c>
      <c r="I35" s="60">
        <f t="shared" si="2"/>
        <v>5449520</v>
      </c>
    </row>
    <row r="36" spans="1:9" s="43" customFormat="1" ht="12.75">
      <c r="A36" s="103">
        <v>29</v>
      </c>
      <c r="B36" s="79" t="s">
        <v>27</v>
      </c>
      <c r="C36" s="60">
        <f>SUM(C37:C40)</f>
        <v>0</v>
      </c>
      <c r="D36" s="60">
        <f>SUM(D37:D40)</f>
        <v>78841508</v>
      </c>
      <c r="E36" s="60">
        <f t="shared" si="3"/>
        <v>78841508</v>
      </c>
      <c r="F36" s="59" t="s">
        <v>44</v>
      </c>
      <c r="G36" s="62">
        <v>0</v>
      </c>
      <c r="H36" s="62">
        <v>0</v>
      </c>
      <c r="I36" s="62">
        <f t="shared" si="2"/>
        <v>0</v>
      </c>
    </row>
    <row r="37" spans="1:9" s="43" customFormat="1" ht="12.75">
      <c r="A37" s="106">
        <v>30</v>
      </c>
      <c r="B37" s="57" t="s">
        <v>28</v>
      </c>
      <c r="C37" s="62">
        <v>0</v>
      </c>
      <c r="D37" s="62">
        <v>0</v>
      </c>
      <c r="E37" s="62">
        <f t="shared" si="3"/>
        <v>0</v>
      </c>
      <c r="F37" s="59" t="s">
        <v>45</v>
      </c>
      <c r="G37" s="62">
        <v>0</v>
      </c>
      <c r="H37" s="62">
        <v>0</v>
      </c>
      <c r="I37" s="62">
        <f t="shared" si="2"/>
        <v>0</v>
      </c>
    </row>
    <row r="38" spans="1:9" s="45" customFormat="1" ht="12.75">
      <c r="A38" s="106">
        <v>31</v>
      </c>
      <c r="B38" s="57" t="s">
        <v>29</v>
      </c>
      <c r="C38" s="62">
        <f>SUM(C39:C40)</f>
        <v>0</v>
      </c>
      <c r="D38" s="62">
        <v>78841508</v>
      </c>
      <c r="E38" s="62">
        <f t="shared" si="3"/>
        <v>78841508</v>
      </c>
      <c r="F38" s="59" t="s">
        <v>46</v>
      </c>
      <c r="G38" s="62">
        <v>0</v>
      </c>
      <c r="H38" s="62">
        <v>0</v>
      </c>
      <c r="I38" s="62">
        <f t="shared" si="2"/>
        <v>0</v>
      </c>
    </row>
    <row r="39" spans="1:9" s="45" customFormat="1" ht="12.75">
      <c r="A39" s="103">
        <v>32</v>
      </c>
      <c r="B39" s="57" t="s">
        <v>30</v>
      </c>
      <c r="C39" s="62">
        <v>0</v>
      </c>
      <c r="D39" s="62">
        <v>0</v>
      </c>
      <c r="E39" s="62">
        <f t="shared" si="3"/>
        <v>0</v>
      </c>
      <c r="F39" s="59" t="s">
        <v>47</v>
      </c>
      <c r="G39" s="62">
        <v>0</v>
      </c>
      <c r="H39" s="62">
        <v>0</v>
      </c>
      <c r="I39" s="62">
        <f t="shared" si="2"/>
        <v>0</v>
      </c>
    </row>
    <row r="40" spans="1:9" s="47" customFormat="1" ht="13.5">
      <c r="A40" s="106">
        <v>33</v>
      </c>
      <c r="B40" s="57" t="s">
        <v>31</v>
      </c>
      <c r="C40" s="62">
        <v>0</v>
      </c>
      <c r="D40" s="62">
        <v>0</v>
      </c>
      <c r="E40" s="62">
        <f t="shared" si="3"/>
        <v>0</v>
      </c>
      <c r="F40" s="59" t="s">
        <v>48</v>
      </c>
      <c r="G40" s="62">
        <v>0</v>
      </c>
      <c r="H40" s="62">
        <v>5449520</v>
      </c>
      <c r="I40" s="62">
        <f t="shared" si="2"/>
        <v>5449520</v>
      </c>
    </row>
    <row r="41" spans="1:9" s="47" customFormat="1" ht="13.5">
      <c r="A41" s="106">
        <v>34</v>
      </c>
      <c r="B41" s="79" t="s">
        <v>35</v>
      </c>
      <c r="C41" s="60">
        <f>SUM(C42:C43)</f>
        <v>0</v>
      </c>
      <c r="D41" s="60">
        <f>SUM(D42:D43)</f>
        <v>0</v>
      </c>
      <c r="E41" s="60">
        <f t="shared" si="3"/>
        <v>0</v>
      </c>
      <c r="F41" s="59"/>
      <c r="G41" s="62"/>
      <c r="H41" s="62"/>
      <c r="I41" s="62"/>
    </row>
    <row r="42" spans="1:9" s="47" customFormat="1" ht="13.5">
      <c r="A42" s="103">
        <v>35</v>
      </c>
      <c r="B42" s="57" t="s">
        <v>721</v>
      </c>
      <c r="C42" s="62">
        <v>0</v>
      </c>
      <c r="D42" s="62">
        <v>0</v>
      </c>
      <c r="E42" s="62">
        <f t="shared" si="3"/>
        <v>0</v>
      </c>
      <c r="F42" s="48"/>
      <c r="G42" s="62"/>
      <c r="H42" s="62"/>
      <c r="I42" s="62"/>
    </row>
    <row r="43" spans="1:9" s="47" customFormat="1" ht="13.5">
      <c r="A43" s="106">
        <v>36</v>
      </c>
      <c r="B43" s="57" t="s">
        <v>720</v>
      </c>
      <c r="C43" s="62">
        <v>0</v>
      </c>
      <c r="D43" s="62">
        <v>0</v>
      </c>
      <c r="E43" s="62">
        <f t="shared" si="3"/>
        <v>0</v>
      </c>
      <c r="F43" s="48"/>
      <c r="G43" s="62"/>
      <c r="H43" s="62"/>
      <c r="I43" s="62"/>
    </row>
    <row r="44" spans="1:9" s="49" customFormat="1" ht="6" customHeight="1">
      <c r="A44" s="991"/>
      <c r="B44" s="992"/>
      <c r="C44" s="992"/>
      <c r="D44" s="992"/>
      <c r="E44" s="992"/>
      <c r="F44" s="992"/>
      <c r="G44" s="992"/>
      <c r="H44" s="992"/>
      <c r="I44" s="993"/>
    </row>
    <row r="45" spans="1:9" s="49" customFormat="1" ht="15">
      <c r="A45" s="106">
        <v>37</v>
      </c>
      <c r="B45" s="994" t="s">
        <v>537</v>
      </c>
      <c r="C45" s="995"/>
      <c r="D45" s="995"/>
      <c r="E45" s="995"/>
      <c r="F45" s="995"/>
      <c r="G45" s="150">
        <f>C7-G7</f>
        <v>-214527349</v>
      </c>
      <c r="H45" s="150">
        <f>D7-H7</f>
        <v>-1125164015</v>
      </c>
      <c r="I45" s="150">
        <f>SUM(G45:H45)</f>
        <v>-1339691364</v>
      </c>
    </row>
    <row r="46" spans="1:9" s="49" customFormat="1" ht="6" customHeight="1">
      <c r="A46" s="983"/>
      <c r="B46" s="984"/>
      <c r="C46" s="984"/>
      <c r="D46" s="984"/>
      <c r="E46" s="984"/>
      <c r="F46" s="984"/>
      <c r="G46" s="984"/>
      <c r="H46" s="984"/>
      <c r="I46" s="985"/>
    </row>
    <row r="47" spans="1:9" s="67" customFormat="1" ht="28.5">
      <c r="A47" s="106">
        <v>38</v>
      </c>
      <c r="B47" s="63" t="s">
        <v>341</v>
      </c>
      <c r="C47" s="65">
        <f>SUM(C48)</f>
        <v>192181218</v>
      </c>
      <c r="D47" s="65">
        <f>SUM(D48)</f>
        <v>1164857574</v>
      </c>
      <c r="E47" s="65">
        <f aca="true" t="shared" si="4" ref="E47:E54">SUM(C47:D47)</f>
        <v>1357038792</v>
      </c>
      <c r="F47" s="66"/>
      <c r="G47" s="65"/>
      <c r="H47" s="65"/>
      <c r="I47" s="65"/>
    </row>
    <row r="48" spans="1:9" s="76" customFormat="1" ht="13.5">
      <c r="A48" s="103">
        <v>39</v>
      </c>
      <c r="B48" s="77" t="s">
        <v>722</v>
      </c>
      <c r="C48" s="71">
        <f>192181163+55</f>
        <v>192181218</v>
      </c>
      <c r="D48" s="71">
        <f>1164857629-55</f>
        <v>1164857574</v>
      </c>
      <c r="E48" s="71">
        <f t="shared" si="4"/>
        <v>1357038792</v>
      </c>
      <c r="F48" s="72"/>
      <c r="G48" s="71"/>
      <c r="H48" s="71"/>
      <c r="I48" s="71"/>
    </row>
    <row r="49" spans="1:9" s="76" customFormat="1" ht="13.5">
      <c r="A49" s="103">
        <v>40</v>
      </c>
      <c r="B49" s="77" t="s">
        <v>723</v>
      </c>
      <c r="C49" s="71"/>
      <c r="D49" s="71"/>
      <c r="E49" s="71"/>
      <c r="F49" s="72"/>
      <c r="G49" s="71"/>
      <c r="H49" s="71"/>
      <c r="I49" s="71"/>
    </row>
    <row r="50" spans="1:9" s="67" customFormat="1" ht="28.5">
      <c r="A50" s="106">
        <v>41</v>
      </c>
      <c r="B50" s="63" t="s">
        <v>342</v>
      </c>
      <c r="C50" s="65">
        <f>SUM(C51:C53)</f>
        <v>0</v>
      </c>
      <c r="D50" s="65">
        <f>SUM(D51:D53)</f>
        <v>0</v>
      </c>
      <c r="E50" s="65">
        <f t="shared" si="4"/>
        <v>0</v>
      </c>
      <c r="F50" s="82" t="s">
        <v>343</v>
      </c>
      <c r="G50" s="65">
        <f>SUM(G51:G53)</f>
        <v>17347428</v>
      </c>
      <c r="H50" s="65">
        <f>SUM(H51:H53)</f>
        <v>0</v>
      </c>
      <c r="I50" s="65">
        <f>SUM(G50:H50)</f>
        <v>17347428</v>
      </c>
    </row>
    <row r="51" spans="1:9" s="76" customFormat="1" ht="13.5">
      <c r="A51" s="106">
        <v>42</v>
      </c>
      <c r="B51" s="75" t="s">
        <v>724</v>
      </c>
      <c r="C51" s="71">
        <v>0</v>
      </c>
      <c r="D51" s="71">
        <v>0</v>
      </c>
      <c r="E51" s="71">
        <f t="shared" si="4"/>
        <v>0</v>
      </c>
      <c r="F51" s="72" t="s">
        <v>726</v>
      </c>
      <c r="G51" s="71">
        <v>0</v>
      </c>
      <c r="H51" s="71">
        <v>0</v>
      </c>
      <c r="I51" s="71">
        <f>SUM(G51:H51)</f>
        <v>0</v>
      </c>
    </row>
    <row r="52" spans="1:9" s="78" customFormat="1" ht="12.75">
      <c r="A52" s="106">
        <v>43</v>
      </c>
      <c r="B52" s="75" t="s">
        <v>725</v>
      </c>
      <c r="C52" s="71">
        <v>0</v>
      </c>
      <c r="D52" s="71">
        <v>0</v>
      </c>
      <c r="E52" s="71">
        <f>SUM(C52:D52)</f>
        <v>0</v>
      </c>
      <c r="F52" s="72" t="s">
        <v>727</v>
      </c>
      <c r="G52" s="71">
        <v>0</v>
      </c>
      <c r="H52" s="71">
        <v>0</v>
      </c>
      <c r="I52" s="71">
        <f>SUM(G52:H52)</f>
        <v>0</v>
      </c>
    </row>
    <row r="53" spans="1:9" s="78" customFormat="1" ht="12.75">
      <c r="A53" s="106">
        <v>44</v>
      </c>
      <c r="B53" s="75" t="s">
        <v>718</v>
      </c>
      <c r="C53" s="71">
        <v>0</v>
      </c>
      <c r="D53" s="71">
        <v>0</v>
      </c>
      <c r="E53" s="71">
        <f>SUM(C53:D53)</f>
        <v>0</v>
      </c>
      <c r="F53" s="75" t="s">
        <v>719</v>
      </c>
      <c r="G53" s="71">
        <v>17347428</v>
      </c>
      <c r="H53" s="71">
        <v>0</v>
      </c>
      <c r="I53" s="71">
        <f>SUM(G53:H53)</f>
        <v>17347428</v>
      </c>
    </row>
    <row r="54" spans="1:9" s="69" customFormat="1" ht="15.75">
      <c r="A54" s="106">
        <v>45</v>
      </c>
      <c r="B54" s="68" t="s">
        <v>455</v>
      </c>
      <c r="C54" s="83">
        <f>SUM(C7,C47,C50)</f>
        <v>1129263238</v>
      </c>
      <c r="D54" s="83">
        <f>SUM(D7,D47,D50)</f>
        <v>1271366353</v>
      </c>
      <c r="E54" s="83">
        <f t="shared" si="4"/>
        <v>2400629591</v>
      </c>
      <c r="F54" s="68" t="s">
        <v>351</v>
      </c>
      <c r="G54" s="83">
        <f>SUM(G7,G50)</f>
        <v>1168956797</v>
      </c>
      <c r="H54" s="83">
        <f>SUM(H7,H50)</f>
        <v>1231672794</v>
      </c>
      <c r="I54" s="83">
        <f>SUM(G54:H54)</f>
        <v>2400629591</v>
      </c>
    </row>
    <row r="61" ht="15">
      <c r="B61" s="50"/>
    </row>
  </sheetData>
  <sheetProtection/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Y59"/>
  <sheetViews>
    <sheetView zoomScale="95" zoomScaleNormal="95" zoomScalePageLayoutView="0" workbookViewId="0" topLeftCell="C1">
      <pane xSplit="4" ySplit="7" topLeftCell="J8" activePane="bottomRight" state="frozen"/>
      <selection pane="topLeft" activeCell="C1" sqref="C1"/>
      <selection pane="topRight" activeCell="G1" sqref="G1"/>
      <selection pane="bottomLeft" activeCell="C8" sqref="C8"/>
      <selection pane="bottomRight" activeCell="E2" sqref="E2:V2"/>
    </sheetView>
  </sheetViews>
  <sheetFormatPr defaultColWidth="8.875" defaultRowHeight="12.75"/>
  <cols>
    <col min="1" max="1" width="1.37890625" style="542" hidden="1" customWidth="1"/>
    <col min="2" max="2" width="8.00390625" style="543" hidden="1" customWidth="1"/>
    <col min="3" max="3" width="8.00390625" style="543" customWidth="1"/>
    <col min="4" max="4" width="4.625" style="544" bestFit="1" customWidth="1"/>
    <col min="5" max="5" width="30.375" style="542" customWidth="1"/>
    <col min="6" max="6" width="9.25390625" style="545" hidden="1" customWidth="1"/>
    <col min="7" max="7" width="11.375" style="542" bestFit="1" customWidth="1"/>
    <col min="8" max="8" width="11.125" style="542" customWidth="1"/>
    <col min="9" max="9" width="11.375" style="542" customWidth="1"/>
    <col min="10" max="11" width="10.25390625" style="542" customWidth="1"/>
    <col min="12" max="12" width="11.625" style="542" customWidth="1"/>
    <col min="13" max="13" width="9.875" style="542" customWidth="1"/>
    <col min="14" max="14" width="9.25390625" style="542" customWidth="1"/>
    <col min="15" max="16" width="10.00390625" style="542" customWidth="1"/>
    <col min="17" max="17" width="10.375" style="542" bestFit="1" customWidth="1"/>
    <col min="18" max="18" width="12.875" style="542" bestFit="1" customWidth="1"/>
    <col min="19" max="19" width="11.375" style="542" bestFit="1" customWidth="1"/>
    <col min="20" max="20" width="11.125" style="542" customWidth="1"/>
    <col min="21" max="21" width="10.625" style="542" customWidth="1"/>
    <col min="22" max="22" width="15.75390625" style="599" bestFit="1" customWidth="1"/>
    <col min="23" max="23" width="14.375" style="542" customWidth="1"/>
    <col min="24" max="24" width="9.875" style="542" bestFit="1" customWidth="1"/>
    <col min="25" max="16384" width="8.875" style="542" customWidth="1"/>
  </cols>
  <sheetData>
    <row r="1" spans="3:22" ht="15">
      <c r="C1" s="997"/>
      <c r="M1" s="195"/>
      <c r="N1" s="195"/>
      <c r="O1" s="195"/>
      <c r="P1" s="195"/>
      <c r="Q1" s="998" t="s">
        <v>1066</v>
      </c>
      <c r="R1" s="999"/>
      <c r="S1" s="999"/>
      <c r="T1" s="999"/>
      <c r="U1" s="999"/>
      <c r="V1" s="999"/>
    </row>
    <row r="2" spans="1:22" ht="15.75">
      <c r="A2" s="546"/>
      <c r="B2" s="547"/>
      <c r="C2" s="997"/>
      <c r="D2" s="547"/>
      <c r="E2" s="1000" t="s">
        <v>903</v>
      </c>
      <c r="F2" s="1000"/>
      <c r="G2" s="1000"/>
      <c r="H2" s="1000"/>
      <c r="I2" s="1000"/>
      <c r="J2" s="1000"/>
      <c r="K2" s="1000"/>
      <c r="L2" s="1000"/>
      <c r="M2" s="1000"/>
      <c r="N2" s="1000"/>
      <c r="O2" s="1000"/>
      <c r="P2" s="1000"/>
      <c r="Q2" s="1000"/>
      <c r="R2" s="1000"/>
      <c r="S2" s="1000"/>
      <c r="T2" s="1000"/>
      <c r="U2" s="1000"/>
      <c r="V2" s="1000"/>
    </row>
    <row r="3" ht="12.75" thickBot="1">
      <c r="V3" s="548"/>
    </row>
    <row r="4" spans="2:22" s="549" customFormat="1" ht="12.75" customHeight="1">
      <c r="B4" s="550"/>
      <c r="C4" s="550"/>
      <c r="D4" s="1001" t="s">
        <v>448</v>
      </c>
      <c r="E4" s="1004" t="s">
        <v>369</v>
      </c>
      <c r="F4" s="1007" t="s">
        <v>376</v>
      </c>
      <c r="G4" s="1013" t="s">
        <v>377</v>
      </c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5"/>
      <c r="V4" s="1016" t="s">
        <v>378</v>
      </c>
    </row>
    <row r="5" spans="2:22" s="551" customFormat="1" ht="12" customHeight="1">
      <c r="B5" s="552"/>
      <c r="C5" s="552"/>
      <c r="D5" s="1002"/>
      <c r="E5" s="1005"/>
      <c r="F5" s="1008"/>
      <c r="G5" s="553" t="s">
        <v>1</v>
      </c>
      <c r="H5" s="553" t="s">
        <v>3</v>
      </c>
      <c r="I5" s="553" t="s">
        <v>5</v>
      </c>
      <c r="J5" s="553" t="s">
        <v>8</v>
      </c>
      <c r="K5" s="1010" t="s">
        <v>673</v>
      </c>
      <c r="L5" s="1011"/>
      <c r="M5" s="1011"/>
      <c r="N5" s="1011"/>
      <c r="O5" s="1011"/>
      <c r="P5" s="1011"/>
      <c r="Q5" s="1012"/>
      <c r="R5" s="555" t="s">
        <v>124</v>
      </c>
      <c r="S5" s="555" t="s">
        <v>126</v>
      </c>
      <c r="T5" s="553" t="s">
        <v>128</v>
      </c>
      <c r="U5" s="553" t="s">
        <v>130</v>
      </c>
      <c r="V5" s="1017"/>
    </row>
    <row r="6" spans="2:22" s="551" customFormat="1" ht="63.75" customHeight="1">
      <c r="B6" s="552"/>
      <c r="C6" s="552"/>
      <c r="D6" s="1002"/>
      <c r="E6" s="1006"/>
      <c r="F6" s="1009"/>
      <c r="G6" s="556" t="s">
        <v>350</v>
      </c>
      <c r="H6" s="556" t="s">
        <v>664</v>
      </c>
      <c r="I6" s="556" t="s">
        <v>371</v>
      </c>
      <c r="J6" s="556" t="s">
        <v>9</v>
      </c>
      <c r="K6" s="556" t="s">
        <v>147</v>
      </c>
      <c r="L6" s="556" t="s">
        <v>123</v>
      </c>
      <c r="M6" s="556" t="s">
        <v>904</v>
      </c>
      <c r="N6" s="556" t="s">
        <v>441</v>
      </c>
      <c r="O6" s="556" t="s">
        <v>453</v>
      </c>
      <c r="P6" s="556" t="s">
        <v>478</v>
      </c>
      <c r="Q6" s="556" t="s">
        <v>1058</v>
      </c>
      <c r="R6" s="554" t="s">
        <v>348</v>
      </c>
      <c r="S6" s="554" t="s">
        <v>381</v>
      </c>
      <c r="T6" s="556" t="s">
        <v>672</v>
      </c>
      <c r="U6" s="556" t="s">
        <v>129</v>
      </c>
      <c r="V6" s="1018"/>
    </row>
    <row r="7" spans="2:22" s="557" customFormat="1" ht="12">
      <c r="B7" s="558"/>
      <c r="C7" s="558"/>
      <c r="D7" s="1003"/>
      <c r="E7" s="559" t="s">
        <v>442</v>
      </c>
      <c r="F7" s="560" t="s">
        <v>443</v>
      </c>
      <c r="G7" s="561" t="s">
        <v>443</v>
      </c>
      <c r="H7" s="561" t="s">
        <v>444</v>
      </c>
      <c r="I7" s="562" t="s">
        <v>445</v>
      </c>
      <c r="J7" s="559" t="s">
        <v>446</v>
      </c>
      <c r="K7" s="559" t="s">
        <v>447</v>
      </c>
      <c r="L7" s="562" t="s">
        <v>449</v>
      </c>
      <c r="M7" s="562" t="s">
        <v>450</v>
      </c>
      <c r="N7" s="562" t="s">
        <v>400</v>
      </c>
      <c r="O7" s="562" t="s">
        <v>401</v>
      </c>
      <c r="P7" s="561" t="s">
        <v>402</v>
      </c>
      <c r="Q7" s="561" t="s">
        <v>403</v>
      </c>
      <c r="R7" s="562" t="s">
        <v>404</v>
      </c>
      <c r="S7" s="562" t="s">
        <v>405</v>
      </c>
      <c r="T7" s="563" t="s">
        <v>406</v>
      </c>
      <c r="U7" s="564" t="s">
        <v>407</v>
      </c>
      <c r="V7" s="565" t="s">
        <v>938</v>
      </c>
    </row>
    <row r="8" spans="1:22" s="573" customFormat="1" ht="24">
      <c r="A8" s="542"/>
      <c r="B8" s="543"/>
      <c r="C8" s="543" t="s">
        <v>58</v>
      </c>
      <c r="D8" s="566" t="s">
        <v>408</v>
      </c>
      <c r="E8" s="567" t="s">
        <v>59</v>
      </c>
      <c r="F8" s="568"/>
      <c r="G8" s="569">
        <v>29452346</v>
      </c>
      <c r="H8" s="569">
        <v>7831519</v>
      </c>
      <c r="I8" s="570">
        <f>17230314+45000</f>
        <v>17275314</v>
      </c>
      <c r="J8" s="570">
        <v>0</v>
      </c>
      <c r="K8" s="570">
        <v>0</v>
      </c>
      <c r="L8" s="570">
        <v>23349000</v>
      </c>
      <c r="M8" s="570">
        <v>1155350</v>
      </c>
      <c r="N8" s="570">
        <v>0</v>
      </c>
      <c r="O8" s="570">
        <v>0</v>
      </c>
      <c r="P8" s="570">
        <v>0</v>
      </c>
      <c r="Q8" s="570">
        <v>0</v>
      </c>
      <c r="R8" s="569">
        <v>0</v>
      </c>
      <c r="S8" s="570">
        <v>0</v>
      </c>
      <c r="T8" s="571">
        <v>0</v>
      </c>
      <c r="U8" s="570">
        <v>0</v>
      </c>
      <c r="V8" s="572">
        <f aca="true" t="shared" si="0" ref="V8:V53">SUM(G8:U8)</f>
        <v>79063529</v>
      </c>
    </row>
    <row r="9" spans="1:22" s="573" customFormat="1" ht="23.25" customHeight="1">
      <c r="A9" s="542"/>
      <c r="B9" s="543"/>
      <c r="C9" s="543" t="s">
        <v>970</v>
      </c>
      <c r="D9" s="574" t="s">
        <v>409</v>
      </c>
      <c r="E9" s="567" t="s">
        <v>971</v>
      </c>
      <c r="F9" s="568"/>
      <c r="G9" s="569">
        <v>0</v>
      </c>
      <c r="H9" s="569">
        <v>0</v>
      </c>
      <c r="I9" s="570">
        <v>100000</v>
      </c>
      <c r="J9" s="570">
        <v>0</v>
      </c>
      <c r="K9" s="570">
        <v>0</v>
      </c>
      <c r="L9" s="570">
        <v>0</v>
      </c>
      <c r="M9" s="570">
        <v>0</v>
      </c>
      <c r="N9" s="570">
        <v>0</v>
      </c>
      <c r="O9" s="570">
        <v>0</v>
      </c>
      <c r="P9" s="570">
        <v>0</v>
      </c>
      <c r="Q9" s="570">
        <v>0</v>
      </c>
      <c r="R9" s="569">
        <v>0</v>
      </c>
      <c r="S9" s="570">
        <v>0</v>
      </c>
      <c r="T9" s="571">
        <v>0</v>
      </c>
      <c r="U9" s="570">
        <v>0</v>
      </c>
      <c r="V9" s="572">
        <f t="shared" si="0"/>
        <v>100000</v>
      </c>
    </row>
    <row r="10" spans="1:22" s="573" customFormat="1" ht="24">
      <c r="A10" s="542"/>
      <c r="B10" s="543" t="s">
        <v>52</v>
      </c>
      <c r="C10" s="543" t="s">
        <v>55</v>
      </c>
      <c r="D10" s="574" t="s">
        <v>410</v>
      </c>
      <c r="E10" s="575" t="s">
        <v>56</v>
      </c>
      <c r="F10" s="576"/>
      <c r="G10" s="577">
        <v>0</v>
      </c>
      <c r="H10" s="577">
        <v>0</v>
      </c>
      <c r="I10" s="571">
        <v>34604863</v>
      </c>
      <c r="J10" s="571">
        <v>0</v>
      </c>
      <c r="K10" s="571">
        <v>0</v>
      </c>
      <c r="L10" s="571">
        <v>35126000</v>
      </c>
      <c r="M10" s="571">
        <v>0</v>
      </c>
      <c r="N10" s="571">
        <v>0</v>
      </c>
      <c r="O10" s="571">
        <v>0</v>
      </c>
      <c r="P10" s="571">
        <v>0</v>
      </c>
      <c r="Q10" s="571">
        <v>0</v>
      </c>
      <c r="R10" s="577">
        <v>686685231</v>
      </c>
      <c r="S10" s="571">
        <v>8350000</v>
      </c>
      <c r="T10" s="571">
        <v>449520</v>
      </c>
      <c r="U10" s="571">
        <v>0</v>
      </c>
      <c r="V10" s="572">
        <f t="shared" si="0"/>
        <v>765215614</v>
      </c>
    </row>
    <row r="11" spans="1:22" s="573" customFormat="1" ht="24">
      <c r="A11" s="542"/>
      <c r="B11" s="543" t="s">
        <v>54</v>
      </c>
      <c r="C11" s="543" t="s">
        <v>60</v>
      </c>
      <c r="D11" s="574" t="s">
        <v>411</v>
      </c>
      <c r="E11" s="575" t="s">
        <v>387</v>
      </c>
      <c r="F11" s="576"/>
      <c r="G11" s="577">
        <v>303150</v>
      </c>
      <c r="H11" s="577">
        <v>156750</v>
      </c>
      <c r="I11" s="571">
        <v>363850</v>
      </c>
      <c r="J11" s="571">
        <v>0</v>
      </c>
      <c r="K11" s="571">
        <v>0</v>
      </c>
      <c r="L11" s="571">
        <v>0</v>
      </c>
      <c r="M11" s="571">
        <v>0</v>
      </c>
      <c r="N11" s="571">
        <v>0</v>
      </c>
      <c r="O11" s="571">
        <v>0</v>
      </c>
      <c r="P11" s="571">
        <v>0</v>
      </c>
      <c r="Q11" s="571">
        <v>0</v>
      </c>
      <c r="R11" s="577">
        <v>0</v>
      </c>
      <c r="S11" s="571">
        <v>0</v>
      </c>
      <c r="T11" s="571">
        <v>0</v>
      </c>
      <c r="U11" s="571">
        <v>0</v>
      </c>
      <c r="V11" s="572">
        <f t="shared" si="0"/>
        <v>823750</v>
      </c>
    </row>
    <row r="12" spans="1:22" s="573" customFormat="1" ht="23.25" customHeight="1">
      <c r="A12" s="542"/>
      <c r="B12" s="543"/>
      <c r="C12" s="543" t="s">
        <v>660</v>
      </c>
      <c r="D12" s="574" t="s">
        <v>412</v>
      </c>
      <c r="E12" s="575" t="s">
        <v>661</v>
      </c>
      <c r="F12" s="576"/>
      <c r="G12" s="577">
        <v>0</v>
      </c>
      <c r="H12" s="577">
        <v>0</v>
      </c>
      <c r="I12" s="577">
        <v>0</v>
      </c>
      <c r="J12" s="577">
        <v>0</v>
      </c>
      <c r="K12" s="577">
        <v>0</v>
      </c>
      <c r="L12" s="577">
        <v>0</v>
      </c>
      <c r="M12" s="577">
        <v>0</v>
      </c>
      <c r="N12" s="577">
        <v>0</v>
      </c>
      <c r="O12" s="577">
        <v>0</v>
      </c>
      <c r="P12" s="577">
        <v>0</v>
      </c>
      <c r="Q12" s="577">
        <v>0</v>
      </c>
      <c r="R12" s="577">
        <v>0</v>
      </c>
      <c r="S12" s="571">
        <v>0</v>
      </c>
      <c r="T12" s="571">
        <v>0</v>
      </c>
      <c r="U12" s="571">
        <v>17347428</v>
      </c>
      <c r="V12" s="572">
        <f t="shared" si="0"/>
        <v>17347428</v>
      </c>
    </row>
    <row r="13" spans="1:22" s="573" customFormat="1" ht="24">
      <c r="A13" s="542">
        <v>20215</v>
      </c>
      <c r="B13" s="543" t="s">
        <v>55</v>
      </c>
      <c r="C13" s="543" t="s">
        <v>63</v>
      </c>
      <c r="D13" s="574" t="s">
        <v>413</v>
      </c>
      <c r="E13" s="575" t="s">
        <v>64</v>
      </c>
      <c r="F13" s="576"/>
      <c r="G13" s="577">
        <v>2861900</v>
      </c>
      <c r="H13" s="577">
        <v>558071</v>
      </c>
      <c r="I13" s="571">
        <v>228600</v>
      </c>
      <c r="J13" s="571">
        <v>0</v>
      </c>
      <c r="K13" s="571">
        <v>0</v>
      </c>
      <c r="L13" s="571">
        <f>16442529-34818</f>
        <v>16407711</v>
      </c>
      <c r="M13" s="571">
        <v>0</v>
      </c>
      <c r="N13" s="571">
        <v>0</v>
      </c>
      <c r="O13" s="571">
        <v>0</v>
      </c>
      <c r="P13" s="571">
        <v>0</v>
      </c>
      <c r="Q13" s="571">
        <v>0</v>
      </c>
      <c r="R13" s="577">
        <v>0</v>
      </c>
      <c r="S13" s="571">
        <v>0</v>
      </c>
      <c r="T13" s="571">
        <v>0</v>
      </c>
      <c r="U13" s="571">
        <v>0</v>
      </c>
      <c r="V13" s="572">
        <f t="shared" si="0"/>
        <v>20056282</v>
      </c>
    </row>
    <row r="14" spans="1:22" s="573" customFormat="1" ht="24">
      <c r="A14" s="542"/>
      <c r="B14" s="543"/>
      <c r="C14" s="543" t="s">
        <v>815</v>
      </c>
      <c r="D14" s="574" t="s">
        <v>414</v>
      </c>
      <c r="E14" s="575" t="s">
        <v>809</v>
      </c>
      <c r="F14" s="576"/>
      <c r="G14" s="577">
        <v>9367995</v>
      </c>
      <c r="H14" s="577">
        <v>913380</v>
      </c>
      <c r="I14" s="577">
        <v>351636</v>
      </c>
      <c r="J14" s="577">
        <v>0</v>
      </c>
      <c r="K14" s="577">
        <v>0</v>
      </c>
      <c r="L14" s="577">
        <v>0</v>
      </c>
      <c r="M14" s="577">
        <v>0</v>
      </c>
      <c r="N14" s="577">
        <v>0</v>
      </c>
      <c r="O14" s="577">
        <v>0</v>
      </c>
      <c r="P14" s="577">
        <v>0</v>
      </c>
      <c r="Q14" s="577">
        <v>0</v>
      </c>
      <c r="R14" s="577">
        <v>289870</v>
      </c>
      <c r="S14" s="571">
        <v>0</v>
      </c>
      <c r="T14" s="577">
        <v>0</v>
      </c>
      <c r="U14" s="571">
        <v>0</v>
      </c>
      <c r="V14" s="572">
        <f t="shared" si="0"/>
        <v>10922881</v>
      </c>
    </row>
    <row r="15" spans="1:22" s="573" customFormat="1" ht="24">
      <c r="A15" s="542"/>
      <c r="B15" s="543"/>
      <c r="C15" s="543" t="s">
        <v>816</v>
      </c>
      <c r="D15" s="574" t="s">
        <v>415</v>
      </c>
      <c r="E15" s="575" t="s">
        <v>810</v>
      </c>
      <c r="F15" s="576"/>
      <c r="G15" s="577">
        <v>11117970</v>
      </c>
      <c r="H15" s="577">
        <v>1084002</v>
      </c>
      <c r="I15" s="577">
        <v>278994</v>
      </c>
      <c r="J15" s="577">
        <v>0</v>
      </c>
      <c r="K15" s="577">
        <v>0</v>
      </c>
      <c r="L15" s="577">
        <v>0</v>
      </c>
      <c r="M15" s="577">
        <v>0</v>
      </c>
      <c r="N15" s="577">
        <v>0</v>
      </c>
      <c r="O15" s="577">
        <v>0</v>
      </c>
      <c r="P15" s="577">
        <v>0</v>
      </c>
      <c r="Q15" s="577">
        <v>0</v>
      </c>
      <c r="R15" s="577">
        <v>0</v>
      </c>
      <c r="S15" s="571">
        <v>0</v>
      </c>
      <c r="T15" s="577">
        <v>0</v>
      </c>
      <c r="U15" s="571">
        <v>0</v>
      </c>
      <c r="V15" s="572">
        <f t="shared" si="0"/>
        <v>12480966</v>
      </c>
    </row>
    <row r="16" spans="1:22" s="573" customFormat="1" ht="22.5" customHeight="1">
      <c r="A16" s="542"/>
      <c r="B16" s="543"/>
      <c r="C16" s="543" t="s">
        <v>663</v>
      </c>
      <c r="D16" s="574" t="s">
        <v>416</v>
      </c>
      <c r="E16" s="575" t="s">
        <v>662</v>
      </c>
      <c r="F16" s="576"/>
      <c r="G16" s="577">
        <v>0</v>
      </c>
      <c r="H16" s="577">
        <v>0</v>
      </c>
      <c r="I16" s="577">
        <v>0</v>
      </c>
      <c r="J16" s="577">
        <v>0</v>
      </c>
      <c r="K16" s="577">
        <v>0</v>
      </c>
      <c r="L16" s="577">
        <v>0</v>
      </c>
      <c r="M16" s="577">
        <v>0</v>
      </c>
      <c r="N16" s="577">
        <v>0</v>
      </c>
      <c r="O16" s="577">
        <v>0</v>
      </c>
      <c r="P16" s="577">
        <v>0</v>
      </c>
      <c r="Q16" s="577">
        <v>0</v>
      </c>
      <c r="R16" s="577">
        <v>12223750</v>
      </c>
      <c r="S16" s="571">
        <v>0</v>
      </c>
      <c r="T16" s="577">
        <v>0</v>
      </c>
      <c r="U16" s="571">
        <v>0</v>
      </c>
      <c r="V16" s="572">
        <f t="shared" si="0"/>
        <v>12223750</v>
      </c>
    </row>
    <row r="17" spans="2:22" ht="24">
      <c r="B17" s="543" t="s">
        <v>58</v>
      </c>
      <c r="C17" s="543" t="s">
        <v>53</v>
      </c>
      <c r="D17" s="574" t="s">
        <v>417</v>
      </c>
      <c r="E17" s="575" t="s">
        <v>557</v>
      </c>
      <c r="F17" s="576"/>
      <c r="G17" s="577">
        <v>0</v>
      </c>
      <c r="H17" s="577">
        <v>0</v>
      </c>
      <c r="I17" s="571">
        <f>15352369+1</f>
        <v>15352370</v>
      </c>
      <c r="J17" s="571">
        <v>0</v>
      </c>
      <c r="K17" s="571">
        <v>0</v>
      </c>
      <c r="L17" s="571">
        <v>0</v>
      </c>
      <c r="M17" s="571">
        <v>0</v>
      </c>
      <c r="N17" s="571">
        <v>0</v>
      </c>
      <c r="O17" s="571">
        <v>0</v>
      </c>
      <c r="P17" s="571">
        <v>0</v>
      </c>
      <c r="Q17" s="571">
        <v>0</v>
      </c>
      <c r="R17" s="571">
        <v>0</v>
      </c>
      <c r="S17" s="571">
        <v>0</v>
      </c>
      <c r="T17" s="571">
        <v>0</v>
      </c>
      <c r="U17" s="571">
        <v>0</v>
      </c>
      <c r="V17" s="572">
        <f t="shared" si="0"/>
        <v>15352370</v>
      </c>
    </row>
    <row r="18" spans="2:22" ht="24">
      <c r="B18" s="543" t="s">
        <v>60</v>
      </c>
      <c r="C18" s="543" t="s">
        <v>65</v>
      </c>
      <c r="D18" s="574" t="s">
        <v>418</v>
      </c>
      <c r="E18" s="575" t="s">
        <v>66</v>
      </c>
      <c r="F18" s="576"/>
      <c r="G18" s="577">
        <v>0</v>
      </c>
      <c r="H18" s="577">
        <v>0</v>
      </c>
      <c r="I18" s="571">
        <v>1000000</v>
      </c>
      <c r="J18" s="571">
        <v>0</v>
      </c>
      <c r="K18" s="571">
        <v>0</v>
      </c>
      <c r="L18" s="571">
        <v>0</v>
      </c>
      <c r="M18" s="571">
        <v>0</v>
      </c>
      <c r="N18" s="571">
        <v>0</v>
      </c>
      <c r="O18" s="571">
        <v>0</v>
      </c>
      <c r="P18" s="571">
        <v>0</v>
      </c>
      <c r="Q18" s="571">
        <v>0</v>
      </c>
      <c r="R18" s="571">
        <v>106961800</v>
      </c>
      <c r="S18" s="571">
        <v>0</v>
      </c>
      <c r="T18" s="571">
        <v>0</v>
      </c>
      <c r="U18" s="571">
        <v>0</v>
      </c>
      <c r="V18" s="572">
        <f t="shared" si="0"/>
        <v>107961800</v>
      </c>
    </row>
    <row r="19" spans="3:22" ht="24">
      <c r="C19" s="543" t="s">
        <v>930</v>
      </c>
      <c r="D19" s="574" t="s">
        <v>419</v>
      </c>
      <c r="E19" s="575" t="s">
        <v>905</v>
      </c>
      <c r="F19" s="578"/>
      <c r="G19" s="577">
        <v>0</v>
      </c>
      <c r="H19" s="577">
        <v>0</v>
      </c>
      <c r="I19" s="571">
        <v>0</v>
      </c>
      <c r="J19" s="571">
        <v>0</v>
      </c>
      <c r="K19" s="571">
        <v>0</v>
      </c>
      <c r="L19" s="571">
        <v>0</v>
      </c>
      <c r="M19" s="571">
        <v>0</v>
      </c>
      <c r="N19" s="571">
        <v>0</v>
      </c>
      <c r="O19" s="571">
        <v>0</v>
      </c>
      <c r="P19" s="571">
        <v>0</v>
      </c>
      <c r="Q19" s="571">
        <v>0</v>
      </c>
      <c r="R19" s="571">
        <v>196302400</v>
      </c>
      <c r="S19" s="571">
        <v>0</v>
      </c>
      <c r="T19" s="571">
        <v>0</v>
      </c>
      <c r="U19" s="571">
        <v>0</v>
      </c>
      <c r="V19" s="572">
        <f t="shared" si="0"/>
        <v>196302400</v>
      </c>
    </row>
    <row r="20" spans="1:22" ht="24">
      <c r="A20" s="542">
        <v>751791</v>
      </c>
      <c r="B20" s="543" t="s">
        <v>61</v>
      </c>
      <c r="C20" s="543" t="s">
        <v>49</v>
      </c>
      <c r="D20" s="574" t="s">
        <v>420</v>
      </c>
      <c r="E20" s="575" t="s">
        <v>50</v>
      </c>
      <c r="F20" s="578"/>
      <c r="G20" s="571">
        <v>0</v>
      </c>
      <c r="H20" s="577">
        <v>0</v>
      </c>
      <c r="I20" s="571">
        <v>2827348</v>
      </c>
      <c r="J20" s="571">
        <v>0</v>
      </c>
      <c r="K20" s="571">
        <v>0</v>
      </c>
      <c r="L20" s="571">
        <v>0</v>
      </c>
      <c r="M20" s="571">
        <v>0</v>
      </c>
      <c r="N20" s="571">
        <v>0</v>
      </c>
      <c r="O20" s="571">
        <v>0</v>
      </c>
      <c r="P20" s="571">
        <v>0</v>
      </c>
      <c r="Q20" s="571">
        <v>0</v>
      </c>
      <c r="R20" s="571">
        <v>0</v>
      </c>
      <c r="S20" s="571">
        <v>0</v>
      </c>
      <c r="T20" s="571">
        <v>0</v>
      </c>
      <c r="U20" s="571">
        <v>0</v>
      </c>
      <c r="V20" s="572">
        <f t="shared" si="0"/>
        <v>2827348</v>
      </c>
    </row>
    <row r="21" spans="1:22" ht="24">
      <c r="A21" s="542">
        <v>751834</v>
      </c>
      <c r="B21" s="543" t="s">
        <v>62</v>
      </c>
      <c r="C21" s="543" t="s">
        <v>51</v>
      </c>
      <c r="D21" s="574" t="s">
        <v>421</v>
      </c>
      <c r="E21" s="575" t="s">
        <v>385</v>
      </c>
      <c r="F21" s="576"/>
      <c r="G21" s="577">
        <v>0</v>
      </c>
      <c r="H21" s="577">
        <v>0</v>
      </c>
      <c r="I21" s="571">
        <f>10052423+1</f>
        <v>10052424</v>
      </c>
      <c r="J21" s="571">
        <v>0</v>
      </c>
      <c r="K21" s="571">
        <v>0</v>
      </c>
      <c r="L21" s="571">
        <v>0</v>
      </c>
      <c r="M21" s="571">
        <v>0</v>
      </c>
      <c r="N21" s="571">
        <v>0</v>
      </c>
      <c r="O21" s="571">
        <v>0</v>
      </c>
      <c r="P21" s="571">
        <v>0</v>
      </c>
      <c r="Q21" s="571">
        <v>0</v>
      </c>
      <c r="R21" s="571">
        <v>0</v>
      </c>
      <c r="S21" s="571">
        <v>0</v>
      </c>
      <c r="T21" s="571">
        <v>0</v>
      </c>
      <c r="U21" s="571">
        <v>0</v>
      </c>
      <c r="V21" s="572">
        <f t="shared" si="0"/>
        <v>10052424</v>
      </c>
    </row>
    <row r="22" spans="3:22" ht="24">
      <c r="C22" s="543" t="s">
        <v>52</v>
      </c>
      <c r="D22" s="574" t="s">
        <v>422</v>
      </c>
      <c r="E22" s="575" t="s">
        <v>906</v>
      </c>
      <c r="F22" s="576"/>
      <c r="G22" s="577">
        <v>22000</v>
      </c>
      <c r="H22" s="577">
        <v>8956</v>
      </c>
      <c r="I22" s="571">
        <v>5410023</v>
      </c>
      <c r="J22" s="571">
        <v>0</v>
      </c>
      <c r="K22" s="571">
        <v>0</v>
      </c>
      <c r="L22" s="571">
        <v>0</v>
      </c>
      <c r="M22" s="571">
        <v>0</v>
      </c>
      <c r="N22" s="571">
        <v>0</v>
      </c>
      <c r="O22" s="571">
        <v>0</v>
      </c>
      <c r="P22" s="571">
        <v>0</v>
      </c>
      <c r="Q22" s="571">
        <v>0</v>
      </c>
      <c r="R22" s="577">
        <v>0</v>
      </c>
      <c r="S22" s="571">
        <v>0</v>
      </c>
      <c r="T22" s="571">
        <v>5000000</v>
      </c>
      <c r="U22" s="571">
        <v>0</v>
      </c>
      <c r="V22" s="572">
        <f t="shared" si="0"/>
        <v>10440979</v>
      </c>
    </row>
    <row r="23" spans="3:22" ht="24">
      <c r="C23" s="543" t="s">
        <v>931</v>
      </c>
      <c r="D23" s="574" t="s">
        <v>423</v>
      </c>
      <c r="E23" s="575" t="s">
        <v>907</v>
      </c>
      <c r="F23" s="576"/>
      <c r="G23" s="577">
        <v>0</v>
      </c>
      <c r="H23" s="577">
        <v>0</v>
      </c>
      <c r="I23" s="571">
        <v>0</v>
      </c>
      <c r="J23" s="571">
        <v>0</v>
      </c>
      <c r="K23" s="571">
        <v>0</v>
      </c>
      <c r="L23" s="571">
        <v>0</v>
      </c>
      <c r="M23" s="571">
        <v>0</v>
      </c>
      <c r="N23" s="571">
        <v>0</v>
      </c>
      <c r="O23" s="571">
        <v>0</v>
      </c>
      <c r="P23" s="571">
        <v>0</v>
      </c>
      <c r="Q23" s="571">
        <v>0</v>
      </c>
      <c r="R23" s="577">
        <v>0</v>
      </c>
      <c r="S23" s="571">
        <v>47550000</v>
      </c>
      <c r="T23" s="571">
        <v>0</v>
      </c>
      <c r="U23" s="571">
        <v>0</v>
      </c>
      <c r="V23" s="572">
        <f t="shared" si="0"/>
        <v>47550000</v>
      </c>
    </row>
    <row r="24" spans="3:22" ht="24">
      <c r="C24" s="543" t="s">
        <v>932</v>
      </c>
      <c r="D24" s="574" t="s">
        <v>424</v>
      </c>
      <c r="E24" s="575" t="s">
        <v>908</v>
      </c>
      <c r="F24" s="576"/>
      <c r="G24" s="577">
        <v>0</v>
      </c>
      <c r="H24" s="577">
        <v>0</v>
      </c>
      <c r="I24" s="571">
        <v>0</v>
      </c>
      <c r="J24" s="571">
        <v>0</v>
      </c>
      <c r="K24" s="571">
        <v>0</v>
      </c>
      <c r="L24" s="571">
        <v>0</v>
      </c>
      <c r="M24" s="571">
        <v>0</v>
      </c>
      <c r="N24" s="571">
        <v>0</v>
      </c>
      <c r="O24" s="571">
        <v>0</v>
      </c>
      <c r="P24" s="571">
        <v>0</v>
      </c>
      <c r="Q24" s="571">
        <v>0</v>
      </c>
      <c r="R24" s="577">
        <f>6911048+1000000</f>
        <v>7911048</v>
      </c>
      <c r="S24" s="571">
        <v>104181382</v>
      </c>
      <c r="T24" s="571">
        <v>0</v>
      </c>
      <c r="U24" s="571">
        <v>0</v>
      </c>
      <c r="V24" s="572">
        <f t="shared" si="0"/>
        <v>112092430</v>
      </c>
    </row>
    <row r="25" spans="3:22" ht="24" customHeight="1">
      <c r="C25" s="543" t="s">
        <v>811</v>
      </c>
      <c r="D25" s="574" t="s">
        <v>425</v>
      </c>
      <c r="E25" s="575" t="s">
        <v>812</v>
      </c>
      <c r="F25" s="576"/>
      <c r="G25" s="577">
        <v>0</v>
      </c>
      <c r="H25" s="571">
        <v>0</v>
      </c>
      <c r="I25" s="571">
        <v>0</v>
      </c>
      <c r="J25" s="571">
        <v>0</v>
      </c>
      <c r="K25" s="571">
        <v>0</v>
      </c>
      <c r="L25" s="571">
        <v>0</v>
      </c>
      <c r="M25" s="571">
        <v>0</v>
      </c>
      <c r="N25" s="571">
        <v>0</v>
      </c>
      <c r="O25" s="571">
        <v>0</v>
      </c>
      <c r="P25" s="571">
        <v>0</v>
      </c>
      <c r="Q25" s="571">
        <v>0</v>
      </c>
      <c r="R25" s="577">
        <v>0</v>
      </c>
      <c r="S25" s="571">
        <v>6462419</v>
      </c>
      <c r="T25" s="571">
        <v>0</v>
      </c>
      <c r="U25" s="571">
        <v>0</v>
      </c>
      <c r="V25" s="572">
        <f t="shared" si="0"/>
        <v>6462419</v>
      </c>
    </row>
    <row r="26" spans="1:22" ht="24" customHeight="1">
      <c r="A26" s="542">
        <v>751966</v>
      </c>
      <c r="B26" s="543" t="s">
        <v>63</v>
      </c>
      <c r="C26" s="543" t="s">
        <v>61</v>
      </c>
      <c r="D26" s="574" t="s">
        <v>426</v>
      </c>
      <c r="E26" s="575" t="s">
        <v>388</v>
      </c>
      <c r="F26" s="576"/>
      <c r="G26" s="577">
        <v>0</v>
      </c>
      <c r="H26" s="571">
        <v>0</v>
      </c>
      <c r="I26" s="571">
        <v>23398480</v>
      </c>
      <c r="J26" s="571">
        <v>0</v>
      </c>
      <c r="K26" s="571">
        <v>0</v>
      </c>
      <c r="L26" s="571">
        <v>0</v>
      </c>
      <c r="M26" s="571">
        <v>0</v>
      </c>
      <c r="N26" s="571">
        <v>0</v>
      </c>
      <c r="O26" s="571">
        <v>0</v>
      </c>
      <c r="P26" s="571">
        <v>0</v>
      </c>
      <c r="Q26" s="571">
        <v>0</v>
      </c>
      <c r="R26" s="577">
        <v>0</v>
      </c>
      <c r="S26" s="571">
        <v>0</v>
      </c>
      <c r="T26" s="571">
        <v>0</v>
      </c>
      <c r="U26" s="571">
        <v>0</v>
      </c>
      <c r="V26" s="572">
        <f t="shared" si="0"/>
        <v>23398480</v>
      </c>
    </row>
    <row r="27" spans="1:22" ht="24" customHeight="1">
      <c r="A27" s="542">
        <v>751999</v>
      </c>
      <c r="B27" s="543" t="s">
        <v>65</v>
      </c>
      <c r="C27" s="543" t="s">
        <v>57</v>
      </c>
      <c r="D27" s="574" t="s">
        <v>427</v>
      </c>
      <c r="E27" s="575" t="s">
        <v>558</v>
      </c>
      <c r="F27" s="576"/>
      <c r="G27" s="577">
        <v>0</v>
      </c>
      <c r="H27" s="577">
        <v>0</v>
      </c>
      <c r="I27" s="571">
        <v>1700000</v>
      </c>
      <c r="J27" s="571">
        <v>0</v>
      </c>
      <c r="K27" s="571">
        <v>0</v>
      </c>
      <c r="L27" s="571">
        <v>28275000</v>
      </c>
      <c r="M27" s="571">
        <v>0</v>
      </c>
      <c r="N27" s="571">
        <v>0</v>
      </c>
      <c r="O27" s="571">
        <v>0</v>
      </c>
      <c r="P27" s="571">
        <v>0</v>
      </c>
      <c r="Q27" s="571">
        <v>0</v>
      </c>
      <c r="R27" s="577">
        <v>0</v>
      </c>
      <c r="S27" s="571">
        <v>0</v>
      </c>
      <c r="T27" s="571">
        <v>0</v>
      </c>
      <c r="U27" s="571">
        <v>0</v>
      </c>
      <c r="V27" s="572">
        <f t="shared" si="0"/>
        <v>29975000</v>
      </c>
    </row>
    <row r="28" spans="2:23" ht="24">
      <c r="B28" s="543" t="s">
        <v>67</v>
      </c>
      <c r="C28" s="543" t="s">
        <v>62</v>
      </c>
      <c r="D28" s="574" t="s">
        <v>428</v>
      </c>
      <c r="E28" s="575" t="s">
        <v>559</v>
      </c>
      <c r="F28" s="576"/>
      <c r="G28" s="577">
        <v>25000</v>
      </c>
      <c r="H28" s="577">
        <v>4388</v>
      </c>
      <c r="I28" s="571">
        <v>13998342</v>
      </c>
      <c r="J28" s="571">
        <v>0</v>
      </c>
      <c r="K28" s="571">
        <v>0</v>
      </c>
      <c r="L28" s="571">
        <v>12677000</v>
      </c>
      <c r="M28" s="571">
        <v>0</v>
      </c>
      <c r="N28" s="571">
        <v>0</v>
      </c>
      <c r="O28" s="571">
        <v>0</v>
      </c>
      <c r="P28" s="571">
        <v>0</v>
      </c>
      <c r="Q28" s="571">
        <v>0</v>
      </c>
      <c r="R28" s="577">
        <v>6823000</v>
      </c>
      <c r="S28" s="571">
        <v>0</v>
      </c>
      <c r="T28" s="571">
        <v>0</v>
      </c>
      <c r="U28" s="571">
        <v>0</v>
      </c>
      <c r="V28" s="572">
        <f t="shared" si="0"/>
        <v>33527730</v>
      </c>
      <c r="W28" s="579"/>
    </row>
    <row r="29" spans="2:23" ht="24" customHeight="1">
      <c r="B29" s="543" t="s">
        <v>68</v>
      </c>
      <c r="C29" s="543" t="s">
        <v>68</v>
      </c>
      <c r="D29" s="996" t="s">
        <v>972</v>
      </c>
      <c r="E29" s="575" t="s">
        <v>390</v>
      </c>
      <c r="F29" s="580"/>
      <c r="G29" s="571">
        <v>0</v>
      </c>
      <c r="H29" s="571">
        <v>0</v>
      </c>
      <c r="I29" s="571">
        <v>360000</v>
      </c>
      <c r="J29" s="571">
        <v>0</v>
      </c>
      <c r="K29" s="571">
        <v>0</v>
      </c>
      <c r="L29" s="571">
        <v>0</v>
      </c>
      <c r="M29" s="571">
        <v>0</v>
      </c>
      <c r="N29" s="571">
        <v>0</v>
      </c>
      <c r="O29" s="571">
        <v>0</v>
      </c>
      <c r="P29" s="571">
        <v>0</v>
      </c>
      <c r="Q29" s="571">
        <v>0</v>
      </c>
      <c r="R29" s="571">
        <v>0</v>
      </c>
      <c r="S29" s="571">
        <v>0</v>
      </c>
      <c r="T29" s="571">
        <v>0</v>
      </c>
      <c r="U29" s="571">
        <v>0</v>
      </c>
      <c r="V29" s="572">
        <f t="shared" si="0"/>
        <v>360000</v>
      </c>
      <c r="W29" s="579"/>
    </row>
    <row r="30" spans="2:24" ht="24" customHeight="1">
      <c r="B30" s="543" t="s">
        <v>69</v>
      </c>
      <c r="C30" s="543" t="s">
        <v>69</v>
      </c>
      <c r="D30" s="996"/>
      <c r="E30" s="575" t="s">
        <v>391</v>
      </c>
      <c r="F30" s="580"/>
      <c r="G30" s="571">
        <f>2542580-2141000</f>
        <v>401580</v>
      </c>
      <c r="H30" s="571">
        <f>496881-417495</f>
        <v>79386</v>
      </c>
      <c r="I30" s="571">
        <f>7109080+29995230-12000000</f>
        <v>25104310</v>
      </c>
      <c r="J30" s="571">
        <v>0</v>
      </c>
      <c r="K30" s="571">
        <v>0</v>
      </c>
      <c r="L30" s="571">
        <v>0</v>
      </c>
      <c r="M30" s="571">
        <v>0</v>
      </c>
      <c r="N30" s="571">
        <v>0</v>
      </c>
      <c r="O30" s="571">
        <v>0</v>
      </c>
      <c r="P30" s="571">
        <v>0</v>
      </c>
      <c r="Q30" s="571">
        <v>0</v>
      </c>
      <c r="R30" s="571">
        <v>0</v>
      </c>
      <c r="S30" s="571">
        <v>0</v>
      </c>
      <c r="T30" s="571">
        <v>0</v>
      </c>
      <c r="U30" s="571">
        <v>0</v>
      </c>
      <c r="V30" s="572">
        <f t="shared" si="0"/>
        <v>25585276</v>
      </c>
      <c r="X30" s="542" t="s">
        <v>771</v>
      </c>
    </row>
    <row r="31" spans="1:24" ht="24" customHeight="1">
      <c r="A31" s="542">
        <v>851286</v>
      </c>
      <c r="B31" s="543" t="s">
        <v>70</v>
      </c>
      <c r="C31" s="543" t="s">
        <v>70</v>
      </c>
      <c r="D31" s="996"/>
      <c r="E31" s="575" t="s">
        <v>392</v>
      </c>
      <c r="F31" s="580"/>
      <c r="G31" s="571">
        <v>0</v>
      </c>
      <c r="H31" s="571">
        <v>0</v>
      </c>
      <c r="I31" s="571">
        <v>120000</v>
      </c>
      <c r="J31" s="571">
        <v>0</v>
      </c>
      <c r="K31" s="571">
        <v>0</v>
      </c>
      <c r="L31" s="571">
        <v>0</v>
      </c>
      <c r="M31" s="571">
        <v>0</v>
      </c>
      <c r="N31" s="571">
        <v>0</v>
      </c>
      <c r="O31" s="571">
        <v>0</v>
      </c>
      <c r="P31" s="571">
        <v>0</v>
      </c>
      <c r="Q31" s="571">
        <v>0</v>
      </c>
      <c r="R31" s="571">
        <v>0</v>
      </c>
      <c r="S31" s="571">
        <v>0</v>
      </c>
      <c r="T31" s="571">
        <v>0</v>
      </c>
      <c r="U31" s="571">
        <v>0</v>
      </c>
      <c r="V31" s="572">
        <f t="shared" si="0"/>
        <v>120000</v>
      </c>
      <c r="X31" s="579">
        <f>SUM(V29:V32)</f>
        <v>50519010</v>
      </c>
    </row>
    <row r="32" spans="1:22" s="573" customFormat="1" ht="27" customHeight="1">
      <c r="A32" s="542">
        <v>851297</v>
      </c>
      <c r="B32" s="543" t="s">
        <v>71</v>
      </c>
      <c r="C32" s="543" t="s">
        <v>71</v>
      </c>
      <c r="D32" s="996"/>
      <c r="E32" s="575" t="s">
        <v>452</v>
      </c>
      <c r="F32" s="580"/>
      <c r="G32" s="571">
        <v>18065184</v>
      </c>
      <c r="H32" s="571">
        <v>3522630</v>
      </c>
      <c r="I32" s="571">
        <f>2611920+254000</f>
        <v>2865920</v>
      </c>
      <c r="J32" s="571">
        <v>0</v>
      </c>
      <c r="K32" s="571">
        <v>0</v>
      </c>
      <c r="L32" s="571">
        <v>0</v>
      </c>
      <c r="M32" s="571">
        <v>0</v>
      </c>
      <c r="N32" s="571">
        <v>0</v>
      </c>
      <c r="O32" s="571">
        <v>0</v>
      </c>
      <c r="P32" s="571">
        <v>0</v>
      </c>
      <c r="Q32" s="571">
        <v>0</v>
      </c>
      <c r="R32" s="571">
        <v>0</v>
      </c>
      <c r="S32" s="571">
        <v>0</v>
      </c>
      <c r="T32" s="571">
        <v>0</v>
      </c>
      <c r="U32" s="571">
        <v>0</v>
      </c>
      <c r="V32" s="572">
        <f t="shared" si="0"/>
        <v>24453734</v>
      </c>
    </row>
    <row r="33" spans="1:22" s="573" customFormat="1" ht="24" customHeight="1">
      <c r="A33" s="542">
        <v>853322</v>
      </c>
      <c r="B33" s="543" t="s">
        <v>72</v>
      </c>
      <c r="C33" s="543" t="s">
        <v>80</v>
      </c>
      <c r="D33" s="574" t="s">
        <v>503</v>
      </c>
      <c r="E33" s="575" t="s">
        <v>81</v>
      </c>
      <c r="F33" s="581"/>
      <c r="G33" s="571">
        <v>0</v>
      </c>
      <c r="H33" s="571">
        <v>0</v>
      </c>
      <c r="I33" s="571">
        <v>0</v>
      </c>
      <c r="J33" s="571">
        <v>0</v>
      </c>
      <c r="K33" s="571">
        <v>0</v>
      </c>
      <c r="L33" s="571">
        <v>18713000</v>
      </c>
      <c r="M33" s="571">
        <v>0</v>
      </c>
      <c r="N33" s="571">
        <v>0</v>
      </c>
      <c r="O33" s="571">
        <v>0</v>
      </c>
      <c r="P33" s="571">
        <v>0</v>
      </c>
      <c r="Q33" s="571">
        <v>0</v>
      </c>
      <c r="R33" s="571"/>
      <c r="S33" s="571">
        <v>0</v>
      </c>
      <c r="T33" s="571">
        <v>0</v>
      </c>
      <c r="U33" s="571">
        <v>0</v>
      </c>
      <c r="V33" s="572">
        <f t="shared" si="0"/>
        <v>18713000</v>
      </c>
    </row>
    <row r="34" spans="1:22" s="573" customFormat="1" ht="24" customHeight="1">
      <c r="A34" s="542"/>
      <c r="B34" s="543"/>
      <c r="C34" s="543" t="s">
        <v>54</v>
      </c>
      <c r="D34" s="574" t="s">
        <v>504</v>
      </c>
      <c r="E34" s="575" t="s">
        <v>909</v>
      </c>
      <c r="F34" s="581"/>
      <c r="G34" s="571">
        <v>0</v>
      </c>
      <c r="H34" s="571">
        <v>0</v>
      </c>
      <c r="I34" s="571">
        <v>0</v>
      </c>
      <c r="J34" s="571">
        <v>0</v>
      </c>
      <c r="K34" s="571">
        <v>0</v>
      </c>
      <c r="L34" s="571">
        <v>0</v>
      </c>
      <c r="M34" s="571">
        <v>15000</v>
      </c>
      <c r="N34" s="571">
        <v>0</v>
      </c>
      <c r="O34" s="571">
        <v>0</v>
      </c>
      <c r="P34" s="571">
        <v>0</v>
      </c>
      <c r="Q34" s="571">
        <v>0</v>
      </c>
      <c r="R34" s="571">
        <v>0</v>
      </c>
      <c r="S34" s="571">
        <v>0</v>
      </c>
      <c r="T34" s="571">
        <v>0</v>
      </c>
      <c r="U34" s="571">
        <v>0</v>
      </c>
      <c r="V34" s="572">
        <f t="shared" si="0"/>
        <v>15000</v>
      </c>
    </row>
    <row r="35" spans="1:22" s="573" customFormat="1" ht="24">
      <c r="A35" s="542"/>
      <c r="B35" s="543" t="s">
        <v>73</v>
      </c>
      <c r="C35" s="543" t="s">
        <v>556</v>
      </c>
      <c r="D35" s="574" t="s">
        <v>505</v>
      </c>
      <c r="E35" s="582" t="s">
        <v>629</v>
      </c>
      <c r="F35" s="581"/>
      <c r="G35" s="571">
        <v>80000</v>
      </c>
      <c r="H35" s="571">
        <v>41361</v>
      </c>
      <c r="I35" s="571">
        <v>1701950</v>
      </c>
      <c r="J35" s="571">
        <v>0</v>
      </c>
      <c r="K35" s="571">
        <v>0</v>
      </c>
      <c r="L35" s="571">
        <v>0</v>
      </c>
      <c r="M35" s="571">
        <v>0</v>
      </c>
      <c r="N35" s="571">
        <v>0</v>
      </c>
      <c r="O35" s="571">
        <v>0</v>
      </c>
      <c r="P35" s="571">
        <v>0</v>
      </c>
      <c r="Q35" s="571">
        <v>0</v>
      </c>
      <c r="R35" s="571">
        <v>700000</v>
      </c>
      <c r="S35" s="571"/>
      <c r="T35" s="571">
        <v>0</v>
      </c>
      <c r="U35" s="571">
        <v>0</v>
      </c>
      <c r="V35" s="572">
        <f t="shared" si="0"/>
        <v>2523311</v>
      </c>
    </row>
    <row r="36" spans="2:24" ht="20.25" customHeight="1">
      <c r="B36" s="543" t="s">
        <v>75</v>
      </c>
      <c r="C36" s="543" t="s">
        <v>933</v>
      </c>
      <c r="D36" s="584" t="s">
        <v>477</v>
      </c>
      <c r="E36" s="575" t="s">
        <v>83</v>
      </c>
      <c r="F36" s="580"/>
      <c r="G36" s="571">
        <v>0</v>
      </c>
      <c r="H36" s="571">
        <v>0</v>
      </c>
      <c r="I36" s="571">
        <v>49530</v>
      </c>
      <c r="J36" s="571">
        <v>0</v>
      </c>
      <c r="K36" s="583">
        <v>0</v>
      </c>
      <c r="L36" s="583">
        <v>0</v>
      </c>
      <c r="M36" s="571">
        <v>0</v>
      </c>
      <c r="N36" s="571">
        <v>0</v>
      </c>
      <c r="O36" s="571">
        <v>0</v>
      </c>
      <c r="P36" s="571">
        <v>0</v>
      </c>
      <c r="Q36" s="571">
        <v>0</v>
      </c>
      <c r="R36" s="571">
        <v>0</v>
      </c>
      <c r="S36" s="571">
        <v>0</v>
      </c>
      <c r="T36" s="571">
        <v>0</v>
      </c>
      <c r="U36" s="571">
        <v>0</v>
      </c>
      <c r="V36" s="572">
        <f t="shared" si="0"/>
        <v>49530</v>
      </c>
      <c r="X36" s="579">
        <f>SUM(V36:V36)</f>
        <v>49530</v>
      </c>
    </row>
    <row r="37" spans="3:24" ht="27" customHeight="1">
      <c r="C37" s="543" t="s">
        <v>934</v>
      </c>
      <c r="D37" s="584" t="s">
        <v>506</v>
      </c>
      <c r="E37" s="575" t="s">
        <v>910</v>
      </c>
      <c r="F37" s="580"/>
      <c r="G37" s="571">
        <v>8000000</v>
      </c>
      <c r="H37" s="571">
        <v>1578000</v>
      </c>
      <c r="I37" s="571">
        <f>10194715+55</f>
        <v>10194770</v>
      </c>
      <c r="J37" s="571">
        <v>0</v>
      </c>
      <c r="K37" s="583">
        <v>0</v>
      </c>
      <c r="L37" s="583">
        <v>0</v>
      </c>
      <c r="M37" s="571">
        <v>0</v>
      </c>
      <c r="N37" s="571">
        <v>0</v>
      </c>
      <c r="O37" s="571">
        <v>0</v>
      </c>
      <c r="P37" s="571">
        <v>0</v>
      </c>
      <c r="Q37" s="571">
        <v>0</v>
      </c>
      <c r="R37" s="571">
        <f>55-55</f>
        <v>0</v>
      </c>
      <c r="S37" s="571">
        <v>0</v>
      </c>
      <c r="T37" s="571">
        <v>0</v>
      </c>
      <c r="U37" s="571">
        <v>0</v>
      </c>
      <c r="V37" s="572">
        <f t="shared" si="0"/>
        <v>19772770</v>
      </c>
      <c r="X37" s="579"/>
    </row>
    <row r="38" spans="3:24" ht="26.25" customHeight="1">
      <c r="C38" s="543" t="s">
        <v>67</v>
      </c>
      <c r="D38" s="584" t="s">
        <v>430</v>
      </c>
      <c r="E38" s="575" t="s">
        <v>911</v>
      </c>
      <c r="F38" s="580"/>
      <c r="G38" s="571">
        <v>0</v>
      </c>
      <c r="H38" s="571">
        <v>0</v>
      </c>
      <c r="I38" s="571">
        <v>0</v>
      </c>
      <c r="J38" s="571">
        <v>0</v>
      </c>
      <c r="K38" s="583">
        <v>0</v>
      </c>
      <c r="L38" s="583">
        <v>0</v>
      </c>
      <c r="M38" s="571">
        <v>0</v>
      </c>
      <c r="N38" s="571">
        <v>0</v>
      </c>
      <c r="O38" s="571">
        <v>0</v>
      </c>
      <c r="P38" s="571">
        <v>0</v>
      </c>
      <c r="Q38" s="571">
        <v>0</v>
      </c>
      <c r="R38" s="571">
        <v>0</v>
      </c>
      <c r="S38" s="571">
        <v>19957013</v>
      </c>
      <c r="T38" s="571">
        <v>0</v>
      </c>
      <c r="U38" s="571">
        <v>0</v>
      </c>
      <c r="V38" s="572">
        <f t="shared" si="0"/>
        <v>19957013</v>
      </c>
      <c r="X38" s="579"/>
    </row>
    <row r="39" spans="3:24" ht="24.75" customHeight="1">
      <c r="C39" s="543" t="s">
        <v>935</v>
      </c>
      <c r="D39" s="584" t="s">
        <v>431</v>
      </c>
      <c r="E39" s="575" t="s">
        <v>912</v>
      </c>
      <c r="F39" s="580"/>
      <c r="G39" s="571">
        <v>5977600</v>
      </c>
      <c r="H39" s="571">
        <v>1165632</v>
      </c>
      <c r="I39" s="571">
        <v>4264649</v>
      </c>
      <c r="J39" s="571">
        <v>0</v>
      </c>
      <c r="K39" s="583">
        <v>0</v>
      </c>
      <c r="L39" s="583">
        <v>1564044</v>
      </c>
      <c r="M39" s="571">
        <v>0</v>
      </c>
      <c r="N39" s="571">
        <v>0</v>
      </c>
      <c r="O39" s="571">
        <v>0</v>
      </c>
      <c r="P39" s="571">
        <v>0</v>
      </c>
      <c r="Q39" s="571">
        <v>0</v>
      </c>
      <c r="R39" s="571">
        <v>0</v>
      </c>
      <c r="S39" s="571">
        <v>0</v>
      </c>
      <c r="T39" s="571">
        <v>0</v>
      </c>
      <c r="U39" s="571">
        <v>0</v>
      </c>
      <c r="V39" s="572">
        <f t="shared" si="0"/>
        <v>12971925</v>
      </c>
      <c r="X39" s="579"/>
    </row>
    <row r="40" spans="3:22" ht="24">
      <c r="C40" s="543" t="s">
        <v>668</v>
      </c>
      <c r="D40" s="584" t="s">
        <v>432</v>
      </c>
      <c r="E40" s="575" t="s">
        <v>669</v>
      </c>
      <c r="F40" s="580"/>
      <c r="G40" s="571">
        <v>2357500</v>
      </c>
      <c r="H40" s="571">
        <v>459713</v>
      </c>
      <c r="I40" s="571">
        <v>55206576</v>
      </c>
      <c r="J40" s="571">
        <v>0</v>
      </c>
      <c r="K40" s="571">
        <v>0</v>
      </c>
      <c r="L40" s="571">
        <v>0</v>
      </c>
      <c r="M40" s="571">
        <v>0</v>
      </c>
      <c r="N40" s="571">
        <v>0</v>
      </c>
      <c r="O40" s="571">
        <v>0</v>
      </c>
      <c r="P40" s="571">
        <v>0</v>
      </c>
      <c r="Q40" s="571">
        <v>0</v>
      </c>
      <c r="R40" s="571">
        <v>0</v>
      </c>
      <c r="S40" s="571">
        <v>0</v>
      </c>
      <c r="T40" s="571">
        <v>0</v>
      </c>
      <c r="U40" s="571">
        <v>0</v>
      </c>
      <c r="V40" s="572">
        <f t="shared" si="0"/>
        <v>58023789</v>
      </c>
    </row>
    <row r="41" spans="3:22" ht="24">
      <c r="C41" s="543" t="s">
        <v>626</v>
      </c>
      <c r="D41" s="584" t="s">
        <v>507</v>
      </c>
      <c r="E41" s="575" t="s">
        <v>627</v>
      </c>
      <c r="F41" s="580"/>
      <c r="G41" s="571">
        <v>0</v>
      </c>
      <c r="H41" s="571">
        <v>0</v>
      </c>
      <c r="I41" s="571">
        <v>117194</v>
      </c>
      <c r="J41" s="571">
        <v>0</v>
      </c>
      <c r="K41" s="583">
        <v>0</v>
      </c>
      <c r="L41" s="583">
        <v>0</v>
      </c>
      <c r="M41" s="571">
        <v>0</v>
      </c>
      <c r="N41" s="571">
        <v>0</v>
      </c>
      <c r="O41" s="571">
        <v>0</v>
      </c>
      <c r="P41" s="571">
        <v>0</v>
      </c>
      <c r="Q41" s="571">
        <v>0</v>
      </c>
      <c r="R41" s="571">
        <v>0</v>
      </c>
      <c r="S41" s="571">
        <v>0</v>
      </c>
      <c r="T41" s="571">
        <v>0</v>
      </c>
      <c r="U41" s="571">
        <v>0</v>
      </c>
      <c r="V41" s="572">
        <f t="shared" si="0"/>
        <v>117194</v>
      </c>
    </row>
    <row r="42" spans="2:22" ht="24" customHeight="1">
      <c r="B42" s="543" t="s">
        <v>76</v>
      </c>
      <c r="C42" s="543" t="s">
        <v>665</v>
      </c>
      <c r="D42" s="584" t="s">
        <v>433</v>
      </c>
      <c r="E42" s="575" t="s">
        <v>666</v>
      </c>
      <c r="F42" s="580"/>
      <c r="G42" s="571">
        <v>0</v>
      </c>
      <c r="H42" s="571">
        <v>0</v>
      </c>
      <c r="I42" s="571">
        <v>11500000</v>
      </c>
      <c r="J42" s="571">
        <v>0</v>
      </c>
      <c r="K42" s="571">
        <v>0</v>
      </c>
      <c r="L42" s="571">
        <v>22522000</v>
      </c>
      <c r="M42" s="571">
        <v>0</v>
      </c>
      <c r="N42" s="571">
        <v>0</v>
      </c>
      <c r="O42" s="571">
        <v>0</v>
      </c>
      <c r="P42" s="571">
        <v>0</v>
      </c>
      <c r="Q42" s="571">
        <v>0</v>
      </c>
      <c r="R42" s="571">
        <v>0</v>
      </c>
      <c r="S42" s="571">
        <v>0</v>
      </c>
      <c r="T42" s="571">
        <v>0</v>
      </c>
      <c r="U42" s="571">
        <v>0</v>
      </c>
      <c r="V42" s="572">
        <f t="shared" si="0"/>
        <v>34022000</v>
      </c>
    </row>
    <row r="43" spans="3:22" ht="24" customHeight="1">
      <c r="C43" s="543" t="s">
        <v>936</v>
      </c>
      <c r="D43" s="584" t="s">
        <v>451</v>
      </c>
      <c r="E43" s="575" t="s">
        <v>913</v>
      </c>
      <c r="F43" s="580"/>
      <c r="G43" s="571">
        <v>0</v>
      </c>
      <c r="H43" s="571">
        <v>0</v>
      </c>
      <c r="I43" s="571">
        <v>0</v>
      </c>
      <c r="J43" s="571">
        <v>0</v>
      </c>
      <c r="K43" s="571">
        <v>0</v>
      </c>
      <c r="L43" s="571">
        <v>4417000</v>
      </c>
      <c r="M43" s="571">
        <v>0</v>
      </c>
      <c r="N43" s="571">
        <v>0</v>
      </c>
      <c r="O43" s="571">
        <v>0</v>
      </c>
      <c r="P43" s="571">
        <v>0</v>
      </c>
      <c r="Q43" s="571">
        <v>0</v>
      </c>
      <c r="R43" s="571">
        <v>0</v>
      </c>
      <c r="S43" s="571">
        <v>0</v>
      </c>
      <c r="T43" s="571">
        <v>0</v>
      </c>
      <c r="U43" s="571">
        <v>0</v>
      </c>
      <c r="V43" s="572">
        <f t="shared" si="0"/>
        <v>4417000</v>
      </c>
    </row>
    <row r="44" spans="3:22" ht="24">
      <c r="C44" s="543" t="s">
        <v>670</v>
      </c>
      <c r="D44" s="584" t="s">
        <v>508</v>
      </c>
      <c r="E44" s="575" t="s">
        <v>671</v>
      </c>
      <c r="F44" s="580"/>
      <c r="G44" s="571">
        <v>0</v>
      </c>
      <c r="H44" s="571">
        <v>0</v>
      </c>
      <c r="I44" s="571">
        <v>1778400</v>
      </c>
      <c r="J44" s="571">
        <v>0</v>
      </c>
      <c r="K44" s="571">
        <v>0</v>
      </c>
      <c r="L44" s="571">
        <v>0</v>
      </c>
      <c r="M44" s="571">
        <v>0</v>
      </c>
      <c r="N44" s="571">
        <v>0</v>
      </c>
      <c r="O44" s="571">
        <v>0</v>
      </c>
      <c r="P44" s="571">
        <v>0</v>
      </c>
      <c r="Q44" s="571">
        <v>0</v>
      </c>
      <c r="R44" s="571">
        <v>0</v>
      </c>
      <c r="S44" s="571">
        <v>0</v>
      </c>
      <c r="T44" s="571">
        <v>0</v>
      </c>
      <c r="U44" s="571">
        <v>0</v>
      </c>
      <c r="V44" s="572">
        <f t="shared" si="0"/>
        <v>1778400</v>
      </c>
    </row>
    <row r="45" spans="3:24" ht="24" customHeight="1">
      <c r="C45" s="543" t="s">
        <v>76</v>
      </c>
      <c r="D45" s="584" t="s">
        <v>509</v>
      </c>
      <c r="E45" s="575" t="s">
        <v>813</v>
      </c>
      <c r="F45" s="580"/>
      <c r="G45" s="571">
        <v>34334865</v>
      </c>
      <c r="H45" s="571">
        <v>6704834</v>
      </c>
      <c r="I45" s="571">
        <v>17188297</v>
      </c>
      <c r="J45" s="571">
        <v>0</v>
      </c>
      <c r="K45" s="571">
        <v>0</v>
      </c>
      <c r="L45" s="571">
        <v>0</v>
      </c>
      <c r="M45" s="571">
        <v>0</v>
      </c>
      <c r="N45" s="571">
        <v>0</v>
      </c>
      <c r="O45" s="571">
        <v>0</v>
      </c>
      <c r="P45" s="571">
        <v>0</v>
      </c>
      <c r="Q45" s="571">
        <v>0</v>
      </c>
      <c r="R45" s="571">
        <v>11411381</v>
      </c>
      <c r="S45" s="571">
        <v>0</v>
      </c>
      <c r="T45" s="571">
        <v>0</v>
      </c>
      <c r="U45" s="571">
        <v>0</v>
      </c>
      <c r="V45" s="572">
        <f t="shared" si="0"/>
        <v>69639377</v>
      </c>
      <c r="X45" s="579">
        <f>SUM(V42:V48)</f>
        <v>124315777</v>
      </c>
    </row>
    <row r="46" spans="3:24" ht="24" customHeight="1">
      <c r="C46" s="543" t="s">
        <v>915</v>
      </c>
      <c r="D46" s="584" t="s">
        <v>922</v>
      </c>
      <c r="E46" s="575" t="s">
        <v>914</v>
      </c>
      <c r="F46" s="580"/>
      <c r="G46" s="571">
        <v>0</v>
      </c>
      <c r="H46" s="571">
        <v>0</v>
      </c>
      <c r="I46" s="571">
        <v>0</v>
      </c>
      <c r="J46" s="571">
        <v>0</v>
      </c>
      <c r="K46" s="571">
        <v>0</v>
      </c>
      <c r="L46" s="571">
        <v>3047000</v>
      </c>
      <c r="M46" s="571">
        <v>0</v>
      </c>
      <c r="N46" s="571">
        <v>0</v>
      </c>
      <c r="O46" s="571">
        <v>0</v>
      </c>
      <c r="P46" s="571">
        <v>0</v>
      </c>
      <c r="Q46" s="571">
        <v>0</v>
      </c>
      <c r="R46" s="571">
        <v>0</v>
      </c>
      <c r="S46" s="571">
        <v>0</v>
      </c>
      <c r="T46" s="571">
        <v>0</v>
      </c>
      <c r="U46" s="571">
        <v>0</v>
      </c>
      <c r="V46" s="572">
        <f t="shared" si="0"/>
        <v>3047000</v>
      </c>
      <c r="X46" s="579"/>
    </row>
    <row r="47" spans="3:24" ht="24" customHeight="1">
      <c r="C47" s="543" t="s">
        <v>916</v>
      </c>
      <c r="D47" s="584" t="s">
        <v>923</v>
      </c>
      <c r="E47" s="575" t="s">
        <v>917</v>
      </c>
      <c r="F47" s="580"/>
      <c r="G47" s="571">
        <v>0</v>
      </c>
      <c r="H47" s="571">
        <v>0</v>
      </c>
      <c r="I47" s="571">
        <v>0</v>
      </c>
      <c r="J47" s="571">
        <v>0</v>
      </c>
      <c r="K47" s="571">
        <v>0</v>
      </c>
      <c r="L47" s="571">
        <v>4852000</v>
      </c>
      <c r="M47" s="571">
        <v>0</v>
      </c>
      <c r="N47" s="571">
        <v>0</v>
      </c>
      <c r="O47" s="571">
        <v>0</v>
      </c>
      <c r="P47" s="571">
        <v>0</v>
      </c>
      <c r="Q47" s="571">
        <v>0</v>
      </c>
      <c r="R47" s="571">
        <v>0</v>
      </c>
      <c r="S47" s="571">
        <v>0</v>
      </c>
      <c r="T47" s="571">
        <v>0</v>
      </c>
      <c r="U47" s="571">
        <v>0</v>
      </c>
      <c r="V47" s="572">
        <f t="shared" si="0"/>
        <v>4852000</v>
      </c>
      <c r="X47" s="579"/>
    </row>
    <row r="48" spans="2:22" ht="24" customHeight="1">
      <c r="B48" s="543" t="s">
        <v>78</v>
      </c>
      <c r="C48" s="543" t="s">
        <v>74</v>
      </c>
      <c r="D48" s="584" t="s">
        <v>924</v>
      </c>
      <c r="E48" s="575" t="s">
        <v>473</v>
      </c>
      <c r="F48" s="580"/>
      <c r="G48" s="571">
        <v>0</v>
      </c>
      <c r="H48" s="571">
        <v>0</v>
      </c>
      <c r="I48" s="571">
        <v>2600000</v>
      </c>
      <c r="J48" s="571">
        <v>0</v>
      </c>
      <c r="K48" s="571">
        <v>0</v>
      </c>
      <c r="L48" s="571">
        <v>3960000</v>
      </c>
      <c r="M48" s="571">
        <v>0</v>
      </c>
      <c r="N48" s="571">
        <v>0</v>
      </c>
      <c r="O48" s="571">
        <v>0</v>
      </c>
      <c r="P48" s="571">
        <v>0</v>
      </c>
      <c r="Q48" s="571">
        <v>0</v>
      </c>
      <c r="R48" s="571">
        <v>0</v>
      </c>
      <c r="S48" s="571">
        <v>0</v>
      </c>
      <c r="T48" s="571">
        <v>0</v>
      </c>
      <c r="U48" s="571">
        <v>0</v>
      </c>
      <c r="V48" s="572">
        <f t="shared" si="0"/>
        <v>6560000</v>
      </c>
    </row>
    <row r="49" spans="3:22" ht="24" customHeight="1">
      <c r="C49" s="543" t="s">
        <v>918</v>
      </c>
      <c r="D49" s="584" t="s">
        <v>925</v>
      </c>
      <c r="E49" s="575" t="s">
        <v>919</v>
      </c>
      <c r="F49" s="580"/>
      <c r="G49" s="571">
        <v>0</v>
      </c>
      <c r="H49" s="571">
        <v>0</v>
      </c>
      <c r="I49" s="571">
        <v>0</v>
      </c>
      <c r="J49" s="571">
        <v>0</v>
      </c>
      <c r="K49" s="571">
        <v>0</v>
      </c>
      <c r="L49" s="571">
        <v>2738000</v>
      </c>
      <c r="M49" s="571">
        <v>0</v>
      </c>
      <c r="N49" s="571">
        <v>0</v>
      </c>
      <c r="O49" s="571">
        <v>0</v>
      </c>
      <c r="P49" s="571">
        <v>0</v>
      </c>
      <c r="Q49" s="571">
        <v>0</v>
      </c>
      <c r="R49" s="571">
        <v>0</v>
      </c>
      <c r="S49" s="571">
        <v>0</v>
      </c>
      <c r="T49" s="585">
        <v>0</v>
      </c>
      <c r="U49" s="571">
        <v>0</v>
      </c>
      <c r="V49" s="572">
        <f t="shared" si="0"/>
        <v>2738000</v>
      </c>
    </row>
    <row r="50" spans="2:22" ht="24">
      <c r="B50" s="543" t="s">
        <v>80</v>
      </c>
      <c r="C50" s="543" t="s">
        <v>77</v>
      </c>
      <c r="D50" s="584" t="s">
        <v>926</v>
      </c>
      <c r="E50" s="575" t="s">
        <v>667</v>
      </c>
      <c r="F50" s="580"/>
      <c r="G50" s="571">
        <v>0</v>
      </c>
      <c r="H50" s="571">
        <v>0</v>
      </c>
      <c r="I50" s="571">
        <v>0</v>
      </c>
      <c r="J50" s="571">
        <v>3804900</v>
      </c>
      <c r="K50" s="571">
        <v>0</v>
      </c>
      <c r="L50" s="571">
        <v>0</v>
      </c>
      <c r="M50" s="571">
        <v>0</v>
      </c>
      <c r="N50" s="571">
        <v>0</v>
      </c>
      <c r="O50" s="571">
        <v>0</v>
      </c>
      <c r="P50" s="571">
        <v>0</v>
      </c>
      <c r="Q50" s="571">
        <v>0</v>
      </c>
      <c r="R50" s="571">
        <v>0</v>
      </c>
      <c r="S50" s="571">
        <v>0</v>
      </c>
      <c r="T50" s="585">
        <v>0</v>
      </c>
      <c r="U50" s="571">
        <v>0</v>
      </c>
      <c r="V50" s="572">
        <f t="shared" si="0"/>
        <v>3804900</v>
      </c>
    </row>
    <row r="51" spans="3:22" ht="24">
      <c r="C51" s="543" t="s">
        <v>920</v>
      </c>
      <c r="D51" s="584" t="s">
        <v>927</v>
      </c>
      <c r="E51" s="575" t="s">
        <v>921</v>
      </c>
      <c r="F51" s="586"/>
      <c r="G51" s="587">
        <v>14179532</v>
      </c>
      <c r="H51" s="585">
        <v>3124662</v>
      </c>
      <c r="I51" s="585">
        <v>58739847</v>
      </c>
      <c r="J51" s="585">
        <v>0</v>
      </c>
      <c r="K51" s="585">
        <v>0</v>
      </c>
      <c r="L51" s="585">
        <v>0</v>
      </c>
      <c r="M51" s="585">
        <v>0</v>
      </c>
      <c r="N51" s="585">
        <v>0</v>
      </c>
      <c r="O51" s="585">
        <v>0</v>
      </c>
      <c r="P51" s="585">
        <v>0</v>
      </c>
      <c r="Q51" s="585">
        <v>0</v>
      </c>
      <c r="R51" s="585">
        <v>4797591</v>
      </c>
      <c r="S51" s="585">
        <v>522139</v>
      </c>
      <c r="T51" s="587">
        <v>0</v>
      </c>
      <c r="U51" s="585">
        <v>0</v>
      </c>
      <c r="V51" s="572">
        <f t="shared" si="0"/>
        <v>81363771</v>
      </c>
    </row>
    <row r="52" spans="4:22" ht="24">
      <c r="D52" s="584" t="s">
        <v>928</v>
      </c>
      <c r="E52" s="575" t="s">
        <v>389</v>
      </c>
      <c r="F52" s="586"/>
      <c r="G52" s="587">
        <v>0</v>
      </c>
      <c r="H52" s="585">
        <v>0</v>
      </c>
      <c r="I52" s="585">
        <v>0</v>
      </c>
      <c r="J52" s="585">
        <v>0</v>
      </c>
      <c r="K52" s="585">
        <v>0</v>
      </c>
      <c r="L52" s="585">
        <v>0</v>
      </c>
      <c r="M52" s="585">
        <v>0</v>
      </c>
      <c r="N52" s="585">
        <v>1000000</v>
      </c>
      <c r="O52" s="585">
        <v>350000</v>
      </c>
      <c r="P52" s="585">
        <v>1000000</v>
      </c>
      <c r="Q52" s="585">
        <v>200000</v>
      </c>
      <c r="R52" s="585">
        <v>0</v>
      </c>
      <c r="S52" s="585">
        <v>0</v>
      </c>
      <c r="T52" s="587">
        <v>0</v>
      </c>
      <c r="U52" s="585">
        <v>0</v>
      </c>
      <c r="V52" s="572">
        <f t="shared" si="0"/>
        <v>2550000</v>
      </c>
    </row>
    <row r="53" spans="3:22" ht="24">
      <c r="C53" s="543" t="s">
        <v>814</v>
      </c>
      <c r="D53" s="584" t="s">
        <v>929</v>
      </c>
      <c r="E53" s="589" t="s">
        <v>628</v>
      </c>
      <c r="F53" s="586"/>
      <c r="G53" s="587">
        <v>0</v>
      </c>
      <c r="H53" s="587">
        <v>0</v>
      </c>
      <c r="I53" s="587">
        <v>8285000</v>
      </c>
      <c r="J53" s="587">
        <v>0</v>
      </c>
      <c r="K53" s="587">
        <v>0</v>
      </c>
      <c r="L53" s="587">
        <v>0</v>
      </c>
      <c r="M53" s="587">
        <v>0</v>
      </c>
      <c r="N53" s="587">
        <v>0</v>
      </c>
      <c r="O53" s="587">
        <v>0</v>
      </c>
      <c r="P53" s="587">
        <v>0</v>
      </c>
      <c r="Q53" s="587">
        <v>0</v>
      </c>
      <c r="R53" s="587">
        <v>0</v>
      </c>
      <c r="S53" s="587">
        <v>0</v>
      </c>
      <c r="T53" s="587">
        <v>0</v>
      </c>
      <c r="U53" s="587">
        <v>0</v>
      </c>
      <c r="V53" s="572">
        <f t="shared" si="0"/>
        <v>8285000</v>
      </c>
    </row>
    <row r="54" spans="1:25" s="590" customFormat="1" ht="24" customHeight="1" thickBot="1">
      <c r="A54" s="590">
        <v>999997</v>
      </c>
      <c r="B54" s="588"/>
      <c r="D54" s="591" t="s">
        <v>973</v>
      </c>
      <c r="E54" s="592" t="s">
        <v>373</v>
      </c>
      <c r="F54" s="593">
        <f>SUM(F8:F50)</f>
        <v>0</v>
      </c>
      <c r="G54" s="594">
        <f aca="true" t="shared" si="1" ref="G54:V54">SUM(G8:G53)</f>
        <v>136546622</v>
      </c>
      <c r="H54" s="594">
        <f t="shared" si="1"/>
        <v>27233284</v>
      </c>
      <c r="I54" s="594">
        <f t="shared" si="1"/>
        <v>327018687</v>
      </c>
      <c r="J54" s="594">
        <f t="shared" si="1"/>
        <v>3804900</v>
      </c>
      <c r="K54" s="594">
        <f t="shared" si="1"/>
        <v>0</v>
      </c>
      <c r="L54" s="594">
        <f t="shared" si="1"/>
        <v>177647755</v>
      </c>
      <c r="M54" s="594">
        <f t="shared" si="1"/>
        <v>1170350</v>
      </c>
      <c r="N54" s="594">
        <f t="shared" si="1"/>
        <v>1000000</v>
      </c>
      <c r="O54" s="594">
        <f t="shared" si="1"/>
        <v>350000</v>
      </c>
      <c r="P54" s="594">
        <f t="shared" si="1"/>
        <v>1000000</v>
      </c>
      <c r="Q54" s="594">
        <f t="shared" si="1"/>
        <v>200000</v>
      </c>
      <c r="R54" s="594">
        <f t="shared" si="1"/>
        <v>1034106071</v>
      </c>
      <c r="S54" s="594">
        <f t="shared" si="1"/>
        <v>187022953</v>
      </c>
      <c r="T54" s="594">
        <f t="shared" si="1"/>
        <v>5449520</v>
      </c>
      <c r="U54" s="594">
        <f t="shared" si="1"/>
        <v>17347428</v>
      </c>
      <c r="V54" s="595">
        <f t="shared" si="1"/>
        <v>1919897570</v>
      </c>
      <c r="W54" s="596">
        <f>SUM(G54:U54)</f>
        <v>1919897570</v>
      </c>
      <c r="X54" s="597"/>
      <c r="Y54" s="597"/>
    </row>
    <row r="55" ht="12.75">
      <c r="E55" s="598"/>
    </row>
    <row r="59" ht="12">
      <c r="F59" s="600"/>
    </row>
  </sheetData>
  <sheetProtection/>
  <mergeCells count="10">
    <mergeCell ref="D29:D32"/>
    <mergeCell ref="C1:C2"/>
    <mergeCell ref="Q1:V1"/>
    <mergeCell ref="E2:V2"/>
    <mergeCell ref="D4:D7"/>
    <mergeCell ref="E4:E6"/>
    <mergeCell ref="F4:F6"/>
    <mergeCell ref="K5:Q5"/>
    <mergeCell ref="G4:U4"/>
    <mergeCell ref="V4:V6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34"/>
  <sheetViews>
    <sheetView zoomScalePageLayoutView="0" workbookViewId="0" topLeftCell="C1">
      <selection activeCell="L3" sqref="L3"/>
    </sheetView>
  </sheetViews>
  <sheetFormatPr defaultColWidth="8.875" defaultRowHeight="12.75"/>
  <cols>
    <col min="1" max="1" width="1.37890625" style="542" hidden="1" customWidth="1"/>
    <col min="2" max="2" width="8.00390625" style="543" hidden="1" customWidth="1"/>
    <col min="3" max="3" width="8.00390625" style="543" customWidth="1"/>
    <col min="4" max="4" width="7.625" style="544" customWidth="1"/>
    <col min="5" max="5" width="38.00390625" style="542" customWidth="1"/>
    <col min="6" max="11" width="13.125" style="542" customWidth="1"/>
    <col min="12" max="12" width="16.75390625" style="599" customWidth="1"/>
    <col min="13" max="13" width="14.375" style="542" customWidth="1"/>
    <col min="14" max="14" width="9.875" style="542" bestFit="1" customWidth="1"/>
    <col min="15" max="16384" width="8.875" style="542" customWidth="1"/>
  </cols>
  <sheetData>
    <row r="1" spans="3:12" ht="15">
      <c r="C1" s="997"/>
      <c r="J1" s="999"/>
      <c r="K1" s="999"/>
      <c r="L1" s="999"/>
    </row>
    <row r="2" spans="3:15" ht="15">
      <c r="C2" s="997"/>
      <c r="H2" s="660"/>
      <c r="I2" s="660"/>
      <c r="J2" s="660"/>
      <c r="K2" s="661"/>
      <c r="L2" s="660" t="s">
        <v>1067</v>
      </c>
      <c r="M2" s="661"/>
      <c r="N2" s="661"/>
      <c r="O2" s="661"/>
    </row>
    <row r="3" spans="3:15" ht="15">
      <c r="C3" s="997"/>
      <c r="H3" s="660"/>
      <c r="I3" s="660"/>
      <c r="J3" s="660"/>
      <c r="K3" s="661"/>
      <c r="L3" s="660"/>
      <c r="M3" s="661"/>
      <c r="N3" s="661"/>
      <c r="O3" s="661"/>
    </row>
    <row r="4" spans="1:12" s="787" customFormat="1" ht="39" customHeight="1">
      <c r="A4" s="546"/>
      <c r="B4" s="547"/>
      <c r="C4" s="997"/>
      <c r="D4" s="1019" t="s">
        <v>896</v>
      </c>
      <c r="E4" s="1019"/>
      <c r="F4" s="1019"/>
      <c r="G4" s="1019"/>
      <c r="H4" s="1019"/>
      <c r="I4" s="1019"/>
      <c r="J4" s="1019"/>
      <c r="K4" s="1019"/>
      <c r="L4" s="1019"/>
    </row>
    <row r="5" ht="12">
      <c r="L5" s="788"/>
    </row>
    <row r="6" ht="12">
      <c r="L6" s="788"/>
    </row>
    <row r="7" ht="12.75" thickBot="1">
      <c r="L7" s="548"/>
    </row>
    <row r="8" spans="2:12" s="549" customFormat="1" ht="12.75" customHeight="1">
      <c r="B8" s="550"/>
      <c r="C8" s="550"/>
      <c r="D8" s="1001" t="s">
        <v>448</v>
      </c>
      <c r="E8" s="1004" t="s">
        <v>369</v>
      </c>
      <c r="F8" s="1013" t="s">
        <v>377</v>
      </c>
      <c r="G8" s="1014"/>
      <c r="H8" s="1014"/>
      <c r="I8" s="1014"/>
      <c r="J8" s="1014"/>
      <c r="K8" s="1014"/>
      <c r="L8" s="1016" t="s">
        <v>378</v>
      </c>
    </row>
    <row r="9" spans="2:12" s="551" customFormat="1" ht="12" customHeight="1">
      <c r="B9" s="552"/>
      <c r="C9" s="552"/>
      <c r="D9" s="1002"/>
      <c r="E9" s="1005"/>
      <c r="F9" s="553" t="s">
        <v>1</v>
      </c>
      <c r="G9" s="553" t="s">
        <v>3</v>
      </c>
      <c r="H9" s="553" t="s">
        <v>5</v>
      </c>
      <c r="I9" s="555" t="s">
        <v>8</v>
      </c>
      <c r="J9" s="555" t="s">
        <v>124</v>
      </c>
      <c r="K9" s="555" t="s">
        <v>126</v>
      </c>
      <c r="L9" s="1017"/>
    </row>
    <row r="10" spans="2:12" s="551" customFormat="1" ht="63.75" customHeight="1">
      <c r="B10" s="552"/>
      <c r="C10" s="552"/>
      <c r="D10" s="1002"/>
      <c r="E10" s="1006"/>
      <c r="F10" s="556" t="s">
        <v>350</v>
      </c>
      <c r="G10" s="556" t="s">
        <v>664</v>
      </c>
      <c r="H10" s="556" t="s">
        <v>371</v>
      </c>
      <c r="I10" s="554" t="s">
        <v>9</v>
      </c>
      <c r="J10" s="554" t="s">
        <v>348</v>
      </c>
      <c r="K10" s="554" t="s">
        <v>381</v>
      </c>
      <c r="L10" s="1018"/>
    </row>
    <row r="11" spans="2:12" s="669" customFormat="1" ht="12.75" thickBot="1">
      <c r="B11" s="670"/>
      <c r="C11" s="670"/>
      <c r="D11" s="1002"/>
      <c r="E11" s="671" t="s">
        <v>442</v>
      </c>
      <c r="F11" s="672" t="s">
        <v>443</v>
      </c>
      <c r="G11" s="672" t="s">
        <v>444</v>
      </c>
      <c r="H11" s="673" t="s">
        <v>445</v>
      </c>
      <c r="I11" s="673"/>
      <c r="J11" s="673" t="s">
        <v>403</v>
      </c>
      <c r="K11" s="673" t="s">
        <v>404</v>
      </c>
      <c r="L11" s="674" t="s">
        <v>407</v>
      </c>
    </row>
    <row r="12" spans="1:12" s="573" customFormat="1" ht="36" customHeight="1">
      <c r="A12" s="542"/>
      <c r="B12" s="543"/>
      <c r="C12" s="543"/>
      <c r="D12" s="1026" t="s">
        <v>380</v>
      </c>
      <c r="E12" s="1027"/>
      <c r="F12" s="1027"/>
      <c r="G12" s="1027"/>
      <c r="H12" s="1027"/>
      <c r="I12" s="1027"/>
      <c r="J12" s="1027"/>
      <c r="K12" s="1027"/>
      <c r="L12" s="1028"/>
    </row>
    <row r="13" spans="2:12" s="678" customFormat="1" ht="34.5" customHeight="1">
      <c r="B13" s="679" t="s">
        <v>52</v>
      </c>
      <c r="C13" s="679"/>
      <c r="D13" s="680" t="s">
        <v>408</v>
      </c>
      <c r="E13" s="681" t="s">
        <v>855</v>
      </c>
      <c r="F13" s="683">
        <v>102608557</v>
      </c>
      <c r="G13" s="683">
        <v>20644903</v>
      </c>
      <c r="H13" s="683">
        <v>22317134</v>
      </c>
      <c r="I13" s="683">
        <v>0</v>
      </c>
      <c r="J13" s="683">
        <v>1016000</v>
      </c>
      <c r="K13" s="683">
        <v>0</v>
      </c>
      <c r="L13" s="684">
        <f>SUM(F13:K13)</f>
        <v>146586594</v>
      </c>
    </row>
    <row r="14" spans="2:12" s="678" customFormat="1" ht="30.75" customHeight="1">
      <c r="B14" s="679" t="s">
        <v>53</v>
      </c>
      <c r="C14" s="679"/>
      <c r="D14" s="680" t="s">
        <v>409</v>
      </c>
      <c r="E14" s="681" t="s">
        <v>851</v>
      </c>
      <c r="F14" s="683">
        <v>0</v>
      </c>
      <c r="G14" s="683">
        <v>0</v>
      </c>
      <c r="H14" s="683">
        <v>0</v>
      </c>
      <c r="I14" s="683">
        <v>7430000</v>
      </c>
      <c r="J14" s="683">
        <v>0</v>
      </c>
      <c r="K14" s="683">
        <v>0</v>
      </c>
      <c r="L14" s="684">
        <f>SUM(F14:K14)</f>
        <v>7430000</v>
      </c>
    </row>
    <row r="15" spans="2:12" s="678" customFormat="1" ht="72" thickBot="1">
      <c r="B15" s="679"/>
      <c r="C15" s="679"/>
      <c r="D15" s="685" t="s">
        <v>410</v>
      </c>
      <c r="E15" s="686" t="s">
        <v>897</v>
      </c>
      <c r="F15" s="687">
        <v>3360000</v>
      </c>
      <c r="G15" s="687">
        <v>655200</v>
      </c>
      <c r="H15" s="687">
        <v>0</v>
      </c>
      <c r="I15" s="687">
        <v>0</v>
      </c>
      <c r="J15" s="687">
        <v>0</v>
      </c>
      <c r="K15" s="687">
        <v>0</v>
      </c>
      <c r="L15" s="688">
        <f>SUM(F15:K15)</f>
        <v>4015200</v>
      </c>
    </row>
    <row r="16" spans="1:15" s="689" customFormat="1" ht="24" customHeight="1" thickBot="1">
      <c r="A16" s="689">
        <v>999997</v>
      </c>
      <c r="B16" s="690"/>
      <c r="D16" s="691" t="s">
        <v>411</v>
      </c>
      <c r="E16" s="692" t="s">
        <v>373</v>
      </c>
      <c r="F16" s="693">
        <f aca="true" t="shared" si="0" ref="F16:L16">SUM(F10:F15)</f>
        <v>105968557</v>
      </c>
      <c r="G16" s="693">
        <f t="shared" si="0"/>
        <v>21300103</v>
      </c>
      <c r="H16" s="693">
        <f t="shared" si="0"/>
        <v>22317134</v>
      </c>
      <c r="I16" s="693">
        <f t="shared" si="0"/>
        <v>7430000</v>
      </c>
      <c r="J16" s="693">
        <f t="shared" si="0"/>
        <v>1016000</v>
      </c>
      <c r="K16" s="693">
        <f t="shared" si="0"/>
        <v>0</v>
      </c>
      <c r="L16" s="694">
        <f t="shared" si="0"/>
        <v>158031794</v>
      </c>
      <c r="M16" s="695">
        <f>SUM(F16:K16)</f>
        <v>158031794</v>
      </c>
      <c r="N16" s="696"/>
      <c r="O16" s="696"/>
    </row>
    <row r="17" spans="1:12" s="677" customFormat="1" ht="36.75" customHeight="1">
      <c r="A17" s="675"/>
      <c r="B17" s="676"/>
      <c r="C17" s="676"/>
      <c r="D17" s="1020" t="s">
        <v>785</v>
      </c>
      <c r="E17" s="1021"/>
      <c r="F17" s="1021"/>
      <c r="G17" s="1021"/>
      <c r="H17" s="1021"/>
      <c r="I17" s="1021"/>
      <c r="J17" s="1021"/>
      <c r="K17" s="1021"/>
      <c r="L17" s="1022"/>
    </row>
    <row r="18" spans="2:12" s="678" customFormat="1" ht="23.25" customHeight="1">
      <c r="B18" s="679" t="s">
        <v>52</v>
      </c>
      <c r="C18" s="679"/>
      <c r="D18" s="680" t="s">
        <v>408</v>
      </c>
      <c r="E18" s="681" t="s">
        <v>817</v>
      </c>
      <c r="F18" s="682">
        <v>0</v>
      </c>
      <c r="G18" s="682">
        <v>0</v>
      </c>
      <c r="H18" s="682">
        <v>34363647</v>
      </c>
      <c r="I18" s="683">
        <v>0</v>
      </c>
      <c r="J18" s="682">
        <v>0</v>
      </c>
      <c r="K18" s="683">
        <v>0</v>
      </c>
      <c r="L18" s="684">
        <f aca="true" t="shared" si="1" ref="L18:L27">SUM(F18:K18)</f>
        <v>34363647</v>
      </c>
    </row>
    <row r="19" spans="2:12" s="678" customFormat="1" ht="23.25" customHeight="1">
      <c r="B19" s="679" t="s">
        <v>53</v>
      </c>
      <c r="C19" s="679"/>
      <c r="D19" s="680" t="s">
        <v>409</v>
      </c>
      <c r="E19" s="681" t="s">
        <v>899</v>
      </c>
      <c r="F19" s="682">
        <f>93384492-240000</f>
        <v>93144492</v>
      </c>
      <c r="G19" s="682">
        <f>21312024-46800</f>
        <v>21265224</v>
      </c>
      <c r="H19" s="682">
        <f>12087124-1073150</f>
        <v>11013974</v>
      </c>
      <c r="I19" s="683">
        <v>0</v>
      </c>
      <c r="J19" s="682">
        <v>552450</v>
      </c>
      <c r="K19" s="683">
        <v>0</v>
      </c>
      <c r="L19" s="684">
        <f t="shared" si="1"/>
        <v>125976140</v>
      </c>
    </row>
    <row r="20" spans="2:12" s="678" customFormat="1" ht="23.25" customHeight="1">
      <c r="B20" s="679"/>
      <c r="C20" s="679"/>
      <c r="D20" s="680" t="s">
        <v>410</v>
      </c>
      <c r="E20" s="681" t="s">
        <v>561</v>
      </c>
      <c r="F20" s="682">
        <v>4891000</v>
      </c>
      <c r="G20" s="682">
        <v>953745</v>
      </c>
      <c r="H20" s="682">
        <v>400366</v>
      </c>
      <c r="I20" s="683">
        <v>0</v>
      </c>
      <c r="J20" s="682">
        <v>0</v>
      </c>
      <c r="K20" s="683">
        <v>0</v>
      </c>
      <c r="L20" s="684">
        <f t="shared" si="1"/>
        <v>6245111</v>
      </c>
    </row>
    <row r="21" spans="2:12" s="678" customFormat="1" ht="23.25" customHeight="1">
      <c r="B21" s="679"/>
      <c r="C21" s="679"/>
      <c r="D21" s="680" t="s">
        <v>411</v>
      </c>
      <c r="E21" s="681" t="s">
        <v>601</v>
      </c>
      <c r="F21" s="682">
        <v>19682997</v>
      </c>
      <c r="G21" s="682">
        <v>3846449</v>
      </c>
      <c r="H21" s="682">
        <v>4977802</v>
      </c>
      <c r="I21" s="683">
        <v>0</v>
      </c>
      <c r="J21" s="682">
        <v>152400</v>
      </c>
      <c r="K21" s="683">
        <v>0</v>
      </c>
      <c r="L21" s="684">
        <f t="shared" si="1"/>
        <v>28659648</v>
      </c>
    </row>
    <row r="22" spans="1:12" s="678" customFormat="1" ht="23.25" customHeight="1">
      <c r="A22" s="678">
        <v>20215</v>
      </c>
      <c r="B22" s="679" t="s">
        <v>55</v>
      </c>
      <c r="C22" s="679"/>
      <c r="D22" s="680" t="s">
        <v>412</v>
      </c>
      <c r="E22" s="681" t="s">
        <v>733</v>
      </c>
      <c r="F22" s="682">
        <v>15007293</v>
      </c>
      <c r="G22" s="682">
        <v>2937022</v>
      </c>
      <c r="H22" s="682">
        <v>2794382</v>
      </c>
      <c r="I22" s="683">
        <v>0</v>
      </c>
      <c r="J22" s="682">
        <v>241300</v>
      </c>
      <c r="K22" s="683">
        <v>0</v>
      </c>
      <c r="L22" s="684">
        <f t="shared" si="1"/>
        <v>20979997</v>
      </c>
    </row>
    <row r="23" spans="2:12" s="678" customFormat="1" ht="23.25" customHeight="1">
      <c r="B23" s="679"/>
      <c r="C23" s="679"/>
      <c r="D23" s="680" t="s">
        <v>413</v>
      </c>
      <c r="E23" s="681" t="s">
        <v>734</v>
      </c>
      <c r="F23" s="682">
        <v>9229786</v>
      </c>
      <c r="G23" s="682">
        <v>1799808</v>
      </c>
      <c r="H23" s="682">
        <v>1133928</v>
      </c>
      <c r="I23" s="683">
        <v>0</v>
      </c>
      <c r="J23" s="682">
        <v>0</v>
      </c>
      <c r="K23" s="683">
        <v>0</v>
      </c>
      <c r="L23" s="684">
        <f t="shared" si="1"/>
        <v>12163522</v>
      </c>
    </row>
    <row r="24" spans="2:12" s="678" customFormat="1" ht="15">
      <c r="B24" s="679"/>
      <c r="C24" s="679"/>
      <c r="D24" s="680" t="s">
        <v>414</v>
      </c>
      <c r="E24" s="681" t="s">
        <v>818</v>
      </c>
      <c r="F24" s="682">
        <v>0</v>
      </c>
      <c r="G24" s="682">
        <v>0</v>
      </c>
      <c r="H24" s="682">
        <v>3260222</v>
      </c>
      <c r="I24" s="683">
        <v>0</v>
      </c>
      <c r="J24" s="682">
        <v>0</v>
      </c>
      <c r="K24" s="683">
        <v>0</v>
      </c>
      <c r="L24" s="684">
        <f t="shared" si="1"/>
        <v>3260222</v>
      </c>
    </row>
    <row r="25" spans="2:12" s="678" customFormat="1" ht="71.25">
      <c r="B25" s="679"/>
      <c r="C25" s="679"/>
      <c r="D25" s="680" t="s">
        <v>415</v>
      </c>
      <c r="E25" s="681" t="s">
        <v>902</v>
      </c>
      <c r="F25" s="682">
        <v>5760000</v>
      </c>
      <c r="G25" s="682">
        <v>1123200</v>
      </c>
      <c r="H25" s="682">
        <v>0</v>
      </c>
      <c r="I25" s="683">
        <v>0</v>
      </c>
      <c r="J25" s="682">
        <v>0</v>
      </c>
      <c r="K25" s="683">
        <v>0</v>
      </c>
      <c r="L25" s="684">
        <f t="shared" si="1"/>
        <v>6883200</v>
      </c>
    </row>
    <row r="26" spans="2:12" s="678" customFormat="1" ht="57">
      <c r="B26" s="679"/>
      <c r="C26" s="679"/>
      <c r="D26" s="680" t="s">
        <v>416</v>
      </c>
      <c r="E26" s="681" t="s">
        <v>901</v>
      </c>
      <c r="F26" s="682">
        <v>12880157</v>
      </c>
      <c r="G26" s="682">
        <v>10151079</v>
      </c>
      <c r="H26" s="682">
        <v>4399746</v>
      </c>
      <c r="I26" s="683">
        <v>0</v>
      </c>
      <c r="J26" s="682">
        <v>0</v>
      </c>
      <c r="K26" s="683">
        <v>0</v>
      </c>
      <c r="L26" s="684">
        <f t="shared" si="1"/>
        <v>27430982</v>
      </c>
    </row>
    <row r="27" spans="2:12" s="678" customFormat="1" ht="29.25" thickBot="1">
      <c r="B27" s="679"/>
      <c r="C27" s="679"/>
      <c r="D27" s="838" t="s">
        <v>417</v>
      </c>
      <c r="E27" s="681" t="s">
        <v>900</v>
      </c>
      <c r="F27" s="839">
        <v>2303000</v>
      </c>
      <c r="G27" s="839">
        <v>449085</v>
      </c>
      <c r="H27" s="839">
        <v>2707021</v>
      </c>
      <c r="I27" s="839">
        <v>0</v>
      </c>
      <c r="J27" s="839">
        <v>0</v>
      </c>
      <c r="K27" s="839">
        <v>0</v>
      </c>
      <c r="L27" s="840">
        <f t="shared" si="1"/>
        <v>5459106</v>
      </c>
    </row>
    <row r="28" spans="1:15" s="689" customFormat="1" ht="24" customHeight="1" thickBot="1">
      <c r="A28" s="689">
        <v>999997</v>
      </c>
      <c r="B28" s="690"/>
      <c r="D28" s="691" t="s">
        <v>418</v>
      </c>
      <c r="E28" s="692" t="s">
        <v>373</v>
      </c>
      <c r="F28" s="693">
        <f>SUM(F17:F27)</f>
        <v>162898725</v>
      </c>
      <c r="G28" s="693">
        <f aca="true" t="shared" si="2" ref="G28:L28">SUM(G17:G27)</f>
        <v>42525612</v>
      </c>
      <c r="H28" s="693">
        <f t="shared" si="2"/>
        <v>65051088</v>
      </c>
      <c r="I28" s="693">
        <f t="shared" si="2"/>
        <v>0</v>
      </c>
      <c r="J28" s="693">
        <f t="shared" si="2"/>
        <v>946150</v>
      </c>
      <c r="K28" s="693">
        <f t="shared" si="2"/>
        <v>0</v>
      </c>
      <c r="L28" s="694">
        <f t="shared" si="2"/>
        <v>271421575</v>
      </c>
      <c r="M28" s="695">
        <f>SUM(F28:K28)</f>
        <v>271421575</v>
      </c>
      <c r="N28" s="696"/>
      <c r="O28" s="696"/>
    </row>
    <row r="29" spans="1:12" s="573" customFormat="1" ht="39" customHeight="1">
      <c r="A29" s="542"/>
      <c r="B29" s="543"/>
      <c r="C29" s="543"/>
      <c r="D29" s="1023" t="s">
        <v>856</v>
      </c>
      <c r="E29" s="1024"/>
      <c r="F29" s="1024"/>
      <c r="G29" s="1024"/>
      <c r="H29" s="1024"/>
      <c r="I29" s="1024"/>
      <c r="J29" s="1024"/>
      <c r="K29" s="1024"/>
      <c r="L29" s="1025"/>
    </row>
    <row r="30" spans="2:12" s="678" customFormat="1" ht="31.5" customHeight="1">
      <c r="B30" s="679" t="s">
        <v>52</v>
      </c>
      <c r="C30" s="679"/>
      <c r="D30" s="680" t="s">
        <v>408</v>
      </c>
      <c r="E30" s="681" t="s">
        <v>560</v>
      </c>
      <c r="F30" s="683">
        <v>0</v>
      </c>
      <c r="G30" s="683">
        <v>0</v>
      </c>
      <c r="H30" s="683">
        <v>1100000</v>
      </c>
      <c r="I30" s="683">
        <v>0</v>
      </c>
      <c r="J30" s="683">
        <v>0</v>
      </c>
      <c r="K30" s="683">
        <v>0</v>
      </c>
      <c r="L30" s="684">
        <f>SUM(F30:K30)</f>
        <v>1100000</v>
      </c>
    </row>
    <row r="31" spans="2:12" s="678" customFormat="1" ht="23.25" customHeight="1">
      <c r="B31" s="679" t="s">
        <v>53</v>
      </c>
      <c r="C31" s="679"/>
      <c r="D31" s="680" t="s">
        <v>409</v>
      </c>
      <c r="E31" s="681" t="s">
        <v>393</v>
      </c>
      <c r="F31" s="683">
        <v>2629600</v>
      </c>
      <c r="G31" s="683">
        <v>512772</v>
      </c>
      <c r="H31" s="683">
        <v>289700</v>
      </c>
      <c r="I31" s="683">
        <v>0</v>
      </c>
      <c r="J31" s="683">
        <v>0</v>
      </c>
      <c r="K31" s="683">
        <v>0</v>
      </c>
      <c r="L31" s="684">
        <f>SUM(F31:K31)</f>
        <v>3432072</v>
      </c>
    </row>
    <row r="32" spans="2:12" s="678" customFormat="1" ht="33" customHeight="1">
      <c r="B32" s="679"/>
      <c r="C32" s="679"/>
      <c r="D32" s="680" t="s">
        <v>410</v>
      </c>
      <c r="E32" s="681" t="s">
        <v>819</v>
      </c>
      <c r="F32" s="683">
        <v>7774800</v>
      </c>
      <c r="G32" s="683">
        <v>1539290</v>
      </c>
      <c r="H32" s="683">
        <f>13067490-1270000</f>
        <v>11797490</v>
      </c>
      <c r="I32" s="683">
        <v>0</v>
      </c>
      <c r="J32" s="683">
        <v>635000</v>
      </c>
      <c r="K32" s="683">
        <v>0</v>
      </c>
      <c r="L32" s="684">
        <f>SUM(F32:K32)</f>
        <v>21746580</v>
      </c>
    </row>
    <row r="33" spans="2:12" s="678" customFormat="1" ht="33" customHeight="1" thickBot="1">
      <c r="B33" s="679"/>
      <c r="C33" s="679"/>
      <c r="D33" s="685" t="s">
        <v>411</v>
      </c>
      <c r="E33" s="686" t="s">
        <v>898</v>
      </c>
      <c r="F33" s="687">
        <v>6761296</v>
      </c>
      <c r="G33" s="687">
        <v>1646453</v>
      </c>
      <c r="H33" s="687">
        <v>14095151</v>
      </c>
      <c r="I33" s="687">
        <v>0</v>
      </c>
      <c r="J33" s="687">
        <v>2497100</v>
      </c>
      <c r="K33" s="687">
        <v>0</v>
      </c>
      <c r="L33" s="688">
        <f>SUM(F33:K33)</f>
        <v>25000000</v>
      </c>
    </row>
    <row r="34" spans="1:15" s="689" customFormat="1" ht="24" customHeight="1" thickBot="1">
      <c r="A34" s="689">
        <v>999997</v>
      </c>
      <c r="B34" s="690"/>
      <c r="D34" s="691" t="s">
        <v>412</v>
      </c>
      <c r="E34" s="692" t="s">
        <v>373</v>
      </c>
      <c r="F34" s="693">
        <f>SUM(F29:F33)</f>
        <v>17165696</v>
      </c>
      <c r="G34" s="693">
        <f aca="true" t="shared" si="3" ref="G34:L34">SUM(G29:G33)</f>
        <v>3698515</v>
      </c>
      <c r="H34" s="693">
        <f t="shared" si="3"/>
        <v>27282341</v>
      </c>
      <c r="I34" s="693">
        <f t="shared" si="3"/>
        <v>0</v>
      </c>
      <c r="J34" s="693">
        <f t="shared" si="3"/>
        <v>3132100</v>
      </c>
      <c r="K34" s="693">
        <f t="shared" si="3"/>
        <v>0</v>
      </c>
      <c r="L34" s="841">
        <f t="shared" si="3"/>
        <v>51278652</v>
      </c>
      <c r="M34" s="695">
        <f>SUM(F34:K34)</f>
        <v>51278652</v>
      </c>
      <c r="N34" s="696"/>
      <c r="O34" s="696"/>
    </row>
  </sheetData>
  <sheetProtection/>
  <mergeCells count="10">
    <mergeCell ref="D4:L4"/>
    <mergeCell ref="D17:L17"/>
    <mergeCell ref="D29:L29"/>
    <mergeCell ref="C1:C4"/>
    <mergeCell ref="J1:L1"/>
    <mergeCell ref="D8:D11"/>
    <mergeCell ref="E8:E10"/>
    <mergeCell ref="F8:K8"/>
    <mergeCell ref="L8:L10"/>
    <mergeCell ref="D12:L12"/>
  </mergeCells>
  <printOptions/>
  <pageMargins left="0.11811023622047245" right="0.11811023622047245" top="1.141732283464567" bottom="0.7480314960629921" header="0.31496062992125984" footer="0.31496062992125984"/>
  <pageSetup horizontalDpi="600" verticalDpi="600" orientation="portrait" paperSize="9" scale="65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A84"/>
  <sheetViews>
    <sheetView workbookViewId="0" topLeftCell="A1">
      <selection activeCell="G2" sqref="G2"/>
    </sheetView>
  </sheetViews>
  <sheetFormatPr defaultColWidth="9.00390625" defaultRowHeight="12.75"/>
  <cols>
    <col min="1" max="1" width="7.75390625" style="191" customWidth="1"/>
    <col min="2" max="2" width="31.75390625" style="191" customWidth="1"/>
    <col min="3" max="3" width="14.375" style="191" customWidth="1"/>
    <col min="4" max="5" width="14.375" style="191" bestFit="1" customWidth="1"/>
    <col min="6" max="6" width="16.25390625" style="191" bestFit="1" customWidth="1"/>
    <col min="7" max="8" width="14.625" style="191" bestFit="1" customWidth="1"/>
    <col min="9" max="9" width="16.25390625" style="191" bestFit="1" customWidth="1"/>
    <col min="10" max="11" width="12.875" style="191" customWidth="1"/>
    <col min="12" max="12" width="15.00390625" style="191" customWidth="1"/>
    <col min="13" max="13" width="17.00390625" style="191" bestFit="1" customWidth="1"/>
    <col min="14" max="15" width="9.125" style="191" customWidth="1"/>
    <col min="16" max="16" width="12.875" style="191" bestFit="1" customWidth="1"/>
    <col min="17" max="16384" width="9.125" style="191" customWidth="1"/>
  </cols>
  <sheetData>
    <row r="1" spans="1:21" ht="12.75">
      <c r="A1" s="258"/>
      <c r="B1" s="259"/>
      <c r="C1" s="260"/>
      <c r="D1" s="260"/>
      <c r="E1" s="260"/>
      <c r="F1" s="260"/>
      <c r="G1" s="1029" t="s">
        <v>1068</v>
      </c>
      <c r="H1" s="1029"/>
      <c r="I1" s="1030"/>
      <c r="J1" s="1030"/>
      <c r="K1" s="1030"/>
      <c r="L1" s="1030"/>
      <c r="M1" s="1030"/>
      <c r="N1" s="259"/>
      <c r="O1" s="259"/>
      <c r="P1" s="259"/>
      <c r="Q1" s="259"/>
      <c r="R1" s="261"/>
      <c r="S1" s="261"/>
      <c r="T1" s="261"/>
      <c r="U1" s="259"/>
    </row>
    <row r="2" spans="1:21" ht="12.75">
      <c r="A2" s="258"/>
      <c r="B2" s="259"/>
      <c r="C2" s="260"/>
      <c r="D2" s="260"/>
      <c r="E2" s="260"/>
      <c r="F2" s="260"/>
      <c r="G2" s="262"/>
      <c r="H2" s="262"/>
      <c r="I2" s="263"/>
      <c r="J2" s="263"/>
      <c r="K2" s="263"/>
      <c r="L2" s="263"/>
      <c r="M2" s="263"/>
      <c r="N2" s="259"/>
      <c r="O2" s="259"/>
      <c r="P2" s="259"/>
      <c r="Q2" s="259"/>
      <c r="R2" s="261"/>
      <c r="S2" s="261"/>
      <c r="T2" s="261"/>
      <c r="U2" s="259"/>
    </row>
    <row r="3" spans="1:27" ht="15.75" customHeight="1">
      <c r="A3" s="1034" t="s">
        <v>967</v>
      </c>
      <c r="B3" s="1034"/>
      <c r="C3" s="1034"/>
      <c r="D3" s="1034"/>
      <c r="E3" s="1034"/>
      <c r="F3" s="1034"/>
      <c r="G3" s="1034"/>
      <c r="H3" s="1034"/>
      <c r="I3" s="1034"/>
      <c r="J3" s="1034"/>
      <c r="K3" s="1034"/>
      <c r="L3" s="1034"/>
      <c r="M3" s="103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</row>
    <row r="4" spans="1:27" ht="13.5" thickBot="1">
      <c r="A4" s="1034"/>
      <c r="B4" s="1034"/>
      <c r="C4" s="1034"/>
      <c r="D4" s="1034"/>
      <c r="E4" s="1034"/>
      <c r="F4" s="1034"/>
      <c r="G4" s="1034"/>
      <c r="H4" s="1034"/>
      <c r="I4" s="1034"/>
      <c r="J4" s="1034"/>
      <c r="K4" s="1034"/>
      <c r="L4" s="1034"/>
      <c r="M4" s="1034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</row>
    <row r="5" spans="1:27" ht="16.5" thickBot="1">
      <c r="A5" s="1056" t="s">
        <v>448</v>
      </c>
      <c r="B5" s="1053" t="s">
        <v>369</v>
      </c>
      <c r="C5" s="1059" t="s">
        <v>498</v>
      </c>
      <c r="D5" s="1059"/>
      <c r="E5" s="1059"/>
      <c r="F5" s="1059"/>
      <c r="G5" s="1059"/>
      <c r="H5" s="1059"/>
      <c r="I5" s="1059"/>
      <c r="J5" s="1059"/>
      <c r="K5" s="1059"/>
      <c r="L5" s="1059"/>
      <c r="M5" s="1060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66"/>
    </row>
    <row r="6" spans="1:13" ht="12.75" customHeight="1">
      <c r="A6" s="1057"/>
      <c r="B6" s="1054"/>
      <c r="C6" s="1035" t="s">
        <v>499</v>
      </c>
      <c r="D6" s="1038" t="s">
        <v>500</v>
      </c>
      <c r="E6" s="1039"/>
      <c r="F6" s="1040"/>
      <c r="G6" s="1038" t="s">
        <v>501</v>
      </c>
      <c r="H6" s="1039"/>
      <c r="I6" s="1040"/>
      <c r="J6" s="1038" t="s">
        <v>502</v>
      </c>
      <c r="K6" s="1039"/>
      <c r="L6" s="1040"/>
      <c r="M6" s="1031" t="s">
        <v>378</v>
      </c>
    </row>
    <row r="7" spans="1:13" ht="12.75" customHeight="1">
      <c r="A7" s="1057"/>
      <c r="B7" s="1054"/>
      <c r="C7" s="1036"/>
      <c r="D7" s="1041"/>
      <c r="E7" s="1042"/>
      <c r="F7" s="1043"/>
      <c r="G7" s="1041"/>
      <c r="H7" s="1042"/>
      <c r="I7" s="1043"/>
      <c r="J7" s="1041"/>
      <c r="K7" s="1042"/>
      <c r="L7" s="1043"/>
      <c r="M7" s="1032"/>
    </row>
    <row r="8" spans="1:13" ht="24" customHeight="1" thickBot="1">
      <c r="A8" s="1058"/>
      <c r="B8" s="1055"/>
      <c r="C8" s="1037"/>
      <c r="D8" s="267" t="s">
        <v>84</v>
      </c>
      <c r="E8" s="268" t="s">
        <v>85</v>
      </c>
      <c r="F8" s="269" t="s">
        <v>86</v>
      </c>
      <c r="G8" s="270" t="s">
        <v>84</v>
      </c>
      <c r="H8" s="268" t="s">
        <v>85</v>
      </c>
      <c r="I8" s="269" t="s">
        <v>86</v>
      </c>
      <c r="J8" s="270" t="s">
        <v>84</v>
      </c>
      <c r="K8" s="268" t="s">
        <v>85</v>
      </c>
      <c r="L8" s="269" t="s">
        <v>86</v>
      </c>
      <c r="M8" s="1033"/>
    </row>
    <row r="9" spans="1:13" ht="29.25" customHeight="1" thickBot="1">
      <c r="A9" s="271" t="s">
        <v>408</v>
      </c>
      <c r="B9" s="272" t="s">
        <v>59</v>
      </c>
      <c r="C9" s="273" t="s">
        <v>749</v>
      </c>
      <c r="D9" s="274">
        <f>55669529+45000+23349000</f>
        <v>79063529</v>
      </c>
      <c r="E9" s="698"/>
      <c r="F9" s="276">
        <f aca="true" t="shared" si="0" ref="F9:F54">SUM(D9:E9)</f>
        <v>79063529</v>
      </c>
      <c r="G9" s="703"/>
      <c r="H9" s="698"/>
      <c r="I9" s="276">
        <f aca="true" t="shared" si="1" ref="I9:I54">SUM(G9:H9)</f>
        <v>0</v>
      </c>
      <c r="J9" s="278"/>
      <c r="K9" s="279"/>
      <c r="L9" s="276">
        <f aca="true" t="shared" si="2" ref="L9:L43">SUM(J9:K9)</f>
        <v>0</v>
      </c>
      <c r="M9" s="280">
        <f aca="true" t="shared" si="3" ref="M9:M54">SUM(F9+I9+L9)</f>
        <v>79063529</v>
      </c>
    </row>
    <row r="10" spans="1:13" ht="29.25" customHeight="1">
      <c r="A10" s="281" t="s">
        <v>409</v>
      </c>
      <c r="B10" s="567" t="s">
        <v>971</v>
      </c>
      <c r="C10" s="273" t="s">
        <v>738</v>
      </c>
      <c r="D10" s="274">
        <v>100000</v>
      </c>
      <c r="E10" s="698"/>
      <c r="F10" s="276">
        <f t="shared" si="0"/>
        <v>100000</v>
      </c>
      <c r="G10" s="703"/>
      <c r="H10" s="698"/>
      <c r="I10" s="276">
        <f t="shared" si="1"/>
        <v>0</v>
      </c>
      <c r="J10" s="278"/>
      <c r="K10" s="279"/>
      <c r="L10" s="276">
        <f t="shared" si="2"/>
        <v>0</v>
      </c>
      <c r="M10" s="280">
        <f t="shared" si="3"/>
        <v>100000</v>
      </c>
    </row>
    <row r="11" spans="1:13" ht="29.25" customHeight="1">
      <c r="A11" s="281" t="s">
        <v>410</v>
      </c>
      <c r="B11" s="283" t="s">
        <v>56</v>
      </c>
      <c r="C11" s="282" t="s">
        <v>736</v>
      </c>
      <c r="D11" s="274">
        <f>62555863-700000</f>
        <v>61855863</v>
      </c>
      <c r="E11" s="275">
        <v>13299520</v>
      </c>
      <c r="F11" s="276">
        <f t="shared" si="0"/>
        <v>75155383</v>
      </c>
      <c r="G11" s="277">
        <v>7875000</v>
      </c>
      <c r="H11" s="275">
        <v>682185231</v>
      </c>
      <c r="I11" s="276">
        <f t="shared" si="1"/>
        <v>690060231</v>
      </c>
      <c r="J11" s="278"/>
      <c r="K11" s="279"/>
      <c r="L11" s="276">
        <f t="shared" si="2"/>
        <v>0</v>
      </c>
      <c r="M11" s="280">
        <f t="shared" si="3"/>
        <v>765215614</v>
      </c>
    </row>
    <row r="12" spans="1:13" ht="29.25" customHeight="1">
      <c r="A12" s="281" t="s">
        <v>411</v>
      </c>
      <c r="B12" s="283" t="s">
        <v>387</v>
      </c>
      <c r="C12" s="284"/>
      <c r="D12" s="697"/>
      <c r="E12" s="698"/>
      <c r="F12" s="276">
        <f t="shared" si="0"/>
        <v>0</v>
      </c>
      <c r="G12" s="277">
        <v>823750</v>
      </c>
      <c r="H12" s="698"/>
      <c r="I12" s="276">
        <f t="shared" si="1"/>
        <v>823750</v>
      </c>
      <c r="J12" s="278"/>
      <c r="K12" s="279"/>
      <c r="L12" s="276">
        <f t="shared" si="2"/>
        <v>0</v>
      </c>
      <c r="M12" s="280">
        <f t="shared" si="3"/>
        <v>823750</v>
      </c>
    </row>
    <row r="13" spans="1:13" ht="21.75" customHeight="1">
      <c r="A13" s="281" t="s">
        <v>412</v>
      </c>
      <c r="B13" s="299" t="s">
        <v>661</v>
      </c>
      <c r="C13" s="276" t="s">
        <v>822</v>
      </c>
      <c r="D13" s="286">
        <v>17347428</v>
      </c>
      <c r="E13" s="700"/>
      <c r="F13" s="276">
        <f t="shared" si="0"/>
        <v>17347428</v>
      </c>
      <c r="G13" s="704"/>
      <c r="H13" s="700"/>
      <c r="I13" s="276">
        <f t="shared" si="1"/>
        <v>0</v>
      </c>
      <c r="J13" s="289"/>
      <c r="K13" s="290"/>
      <c r="L13" s="276">
        <f t="shared" si="2"/>
        <v>0</v>
      </c>
      <c r="M13" s="280">
        <f t="shared" si="3"/>
        <v>17347428</v>
      </c>
    </row>
    <row r="14" spans="1:13" ht="29.25" customHeight="1">
      <c r="A14" s="281" t="s">
        <v>413</v>
      </c>
      <c r="B14" s="283" t="s">
        <v>64</v>
      </c>
      <c r="C14" s="276" t="s">
        <v>737</v>
      </c>
      <c r="D14" s="697"/>
      <c r="E14" s="698"/>
      <c r="F14" s="276">
        <f t="shared" si="0"/>
        <v>0</v>
      </c>
      <c r="G14" s="703"/>
      <c r="H14" s="698"/>
      <c r="I14" s="276">
        <f t="shared" si="1"/>
        <v>0</v>
      </c>
      <c r="J14" s="278">
        <f>20091100-34818</f>
        <v>20056282</v>
      </c>
      <c r="K14" s="279"/>
      <c r="L14" s="276">
        <f t="shared" si="2"/>
        <v>20056282</v>
      </c>
      <c r="M14" s="280">
        <f t="shared" si="3"/>
        <v>20056282</v>
      </c>
    </row>
    <row r="15" spans="1:13" ht="29.25" customHeight="1">
      <c r="A15" s="281" t="s">
        <v>414</v>
      </c>
      <c r="B15" s="283" t="s">
        <v>809</v>
      </c>
      <c r="C15" s="282" t="s">
        <v>820</v>
      </c>
      <c r="D15" s="274">
        <v>10633011</v>
      </c>
      <c r="E15" s="275">
        <v>289870</v>
      </c>
      <c r="F15" s="276">
        <f t="shared" si="0"/>
        <v>10922881</v>
      </c>
      <c r="G15" s="703"/>
      <c r="H15" s="698"/>
      <c r="I15" s="276">
        <f t="shared" si="1"/>
        <v>0</v>
      </c>
      <c r="J15" s="278"/>
      <c r="K15" s="279"/>
      <c r="L15" s="276">
        <f t="shared" si="2"/>
        <v>0</v>
      </c>
      <c r="M15" s="280">
        <f t="shared" si="3"/>
        <v>10922881</v>
      </c>
    </row>
    <row r="16" spans="1:13" ht="29.25" customHeight="1">
      <c r="A16" s="281" t="s">
        <v>415</v>
      </c>
      <c r="B16" s="283" t="s">
        <v>810</v>
      </c>
      <c r="C16" s="282" t="s">
        <v>820</v>
      </c>
      <c r="D16" s="274">
        <v>12480966</v>
      </c>
      <c r="E16" s="698"/>
      <c r="F16" s="276">
        <f t="shared" si="0"/>
        <v>12480966</v>
      </c>
      <c r="G16" s="703"/>
      <c r="H16" s="698"/>
      <c r="I16" s="276">
        <f t="shared" si="1"/>
        <v>0</v>
      </c>
      <c r="J16" s="278"/>
      <c r="K16" s="279"/>
      <c r="L16" s="276">
        <f t="shared" si="2"/>
        <v>0</v>
      </c>
      <c r="M16" s="280">
        <f t="shared" si="3"/>
        <v>12480966</v>
      </c>
    </row>
    <row r="17" spans="1:13" ht="21.75" customHeight="1">
      <c r="A17" s="281" t="s">
        <v>416</v>
      </c>
      <c r="B17" s="299" t="s">
        <v>662</v>
      </c>
      <c r="C17" s="282" t="s">
        <v>738</v>
      </c>
      <c r="D17" s="699"/>
      <c r="E17" s="287">
        <v>12223750</v>
      </c>
      <c r="F17" s="276">
        <f t="shared" si="0"/>
        <v>12223750</v>
      </c>
      <c r="G17" s="704"/>
      <c r="H17" s="287"/>
      <c r="I17" s="276">
        <f t="shared" si="1"/>
        <v>0</v>
      </c>
      <c r="J17" s="289"/>
      <c r="K17" s="290"/>
      <c r="L17" s="276">
        <f t="shared" si="2"/>
        <v>0</v>
      </c>
      <c r="M17" s="280">
        <f t="shared" si="3"/>
        <v>12223750</v>
      </c>
    </row>
    <row r="18" spans="1:13" ht="29.25" customHeight="1">
      <c r="A18" s="285" t="s">
        <v>417</v>
      </c>
      <c r="B18" s="283" t="s">
        <v>349</v>
      </c>
      <c r="C18" s="282" t="s">
        <v>738</v>
      </c>
      <c r="D18" s="274">
        <f>15352369+1</f>
        <v>15352370</v>
      </c>
      <c r="E18" s="275"/>
      <c r="F18" s="276">
        <f t="shared" si="0"/>
        <v>15352370</v>
      </c>
      <c r="G18" s="703"/>
      <c r="H18" s="698"/>
      <c r="I18" s="276">
        <f t="shared" si="1"/>
        <v>0</v>
      </c>
      <c r="J18" s="278"/>
      <c r="K18" s="279"/>
      <c r="L18" s="276">
        <f t="shared" si="2"/>
        <v>0</v>
      </c>
      <c r="M18" s="280">
        <f t="shared" si="3"/>
        <v>15352370</v>
      </c>
    </row>
    <row r="19" spans="1:13" ht="29.25" customHeight="1">
      <c r="A19" s="281" t="s">
        <v>418</v>
      </c>
      <c r="B19" s="283" t="s">
        <v>66</v>
      </c>
      <c r="C19" s="282" t="s">
        <v>739</v>
      </c>
      <c r="D19" s="274">
        <v>1000000</v>
      </c>
      <c r="E19" s="275">
        <v>106961800</v>
      </c>
      <c r="F19" s="276">
        <f t="shared" si="0"/>
        <v>107961800</v>
      </c>
      <c r="G19" s="703"/>
      <c r="H19" s="698"/>
      <c r="I19" s="276">
        <f t="shared" si="1"/>
        <v>0</v>
      </c>
      <c r="J19" s="278"/>
      <c r="K19" s="279"/>
      <c r="L19" s="276">
        <f t="shared" si="2"/>
        <v>0</v>
      </c>
      <c r="M19" s="280">
        <f t="shared" si="3"/>
        <v>107961800</v>
      </c>
    </row>
    <row r="20" spans="1:13" ht="29.25" customHeight="1">
      <c r="A20" s="281" t="s">
        <v>419</v>
      </c>
      <c r="B20" s="283" t="s">
        <v>905</v>
      </c>
      <c r="C20" s="282"/>
      <c r="D20" s="274"/>
      <c r="E20" s="275"/>
      <c r="F20" s="276">
        <f t="shared" si="0"/>
        <v>0</v>
      </c>
      <c r="G20" s="703"/>
      <c r="H20" s="275">
        <v>196302400</v>
      </c>
      <c r="I20" s="276">
        <f t="shared" si="1"/>
        <v>196302400</v>
      </c>
      <c r="J20" s="278"/>
      <c r="K20" s="279"/>
      <c r="L20" s="276">
        <f t="shared" si="2"/>
        <v>0</v>
      </c>
      <c r="M20" s="280">
        <f t="shared" si="3"/>
        <v>196302400</v>
      </c>
    </row>
    <row r="21" spans="1:13" ht="30.75" customHeight="1">
      <c r="A21" s="281" t="s">
        <v>420</v>
      </c>
      <c r="B21" s="283" t="s">
        <v>50</v>
      </c>
      <c r="C21" s="282" t="s">
        <v>740</v>
      </c>
      <c r="D21" s="286">
        <v>2827348</v>
      </c>
      <c r="E21" s="700"/>
      <c r="F21" s="276">
        <f t="shared" si="0"/>
        <v>2827348</v>
      </c>
      <c r="G21" s="704"/>
      <c r="H21" s="700"/>
      <c r="I21" s="276">
        <f t="shared" si="1"/>
        <v>0</v>
      </c>
      <c r="J21" s="289"/>
      <c r="K21" s="290"/>
      <c r="L21" s="276">
        <f t="shared" si="2"/>
        <v>0</v>
      </c>
      <c r="M21" s="280">
        <f t="shared" si="3"/>
        <v>2827348</v>
      </c>
    </row>
    <row r="22" spans="1:13" ht="31.5" customHeight="1">
      <c r="A22" s="281" t="s">
        <v>421</v>
      </c>
      <c r="B22" s="283" t="s">
        <v>385</v>
      </c>
      <c r="C22" s="282" t="s">
        <v>741</v>
      </c>
      <c r="D22" s="286">
        <f>10052423+1</f>
        <v>10052424</v>
      </c>
      <c r="E22" s="700"/>
      <c r="F22" s="276">
        <f t="shared" si="0"/>
        <v>10052424</v>
      </c>
      <c r="G22" s="704"/>
      <c r="H22" s="700"/>
      <c r="I22" s="276">
        <f t="shared" si="1"/>
        <v>0</v>
      </c>
      <c r="J22" s="289"/>
      <c r="K22" s="290"/>
      <c r="L22" s="276">
        <f t="shared" si="2"/>
        <v>0</v>
      </c>
      <c r="M22" s="280">
        <f t="shared" si="3"/>
        <v>10052424</v>
      </c>
    </row>
    <row r="23" spans="1:13" ht="31.5" customHeight="1">
      <c r="A23" s="281" t="s">
        <v>422</v>
      </c>
      <c r="B23" s="283" t="s">
        <v>906</v>
      </c>
      <c r="C23" s="282" t="s">
        <v>968</v>
      </c>
      <c r="D23" s="286">
        <v>5440979</v>
      </c>
      <c r="E23" s="287">
        <v>5000000</v>
      </c>
      <c r="F23" s="276">
        <f t="shared" si="0"/>
        <v>10440979</v>
      </c>
      <c r="G23" s="704"/>
      <c r="H23" s="700"/>
      <c r="I23" s="276">
        <f t="shared" si="1"/>
        <v>0</v>
      </c>
      <c r="J23" s="289"/>
      <c r="K23" s="290"/>
      <c r="L23" s="276"/>
      <c r="M23" s="280">
        <f t="shared" si="3"/>
        <v>10440979</v>
      </c>
    </row>
    <row r="24" spans="1:13" ht="31.5" customHeight="1">
      <c r="A24" s="281" t="s">
        <v>423</v>
      </c>
      <c r="B24" s="283" t="s">
        <v>907</v>
      </c>
      <c r="C24" s="282" t="s">
        <v>739</v>
      </c>
      <c r="D24" s="286"/>
      <c r="E24" s="287">
        <v>47550000</v>
      </c>
      <c r="F24" s="276">
        <f t="shared" si="0"/>
        <v>47550000</v>
      </c>
      <c r="G24" s="704"/>
      <c r="H24" s="700"/>
      <c r="I24" s="276">
        <f t="shared" si="1"/>
        <v>0</v>
      </c>
      <c r="J24" s="289"/>
      <c r="K24" s="290"/>
      <c r="L24" s="276"/>
      <c r="M24" s="280">
        <f t="shared" si="3"/>
        <v>47550000</v>
      </c>
    </row>
    <row r="25" spans="1:13" ht="31.5" customHeight="1">
      <c r="A25" s="281" t="s">
        <v>424</v>
      </c>
      <c r="B25" s="283" t="s">
        <v>908</v>
      </c>
      <c r="C25" s="294" t="s">
        <v>969</v>
      </c>
      <c r="D25" s="286"/>
      <c r="E25" s="287">
        <f>104006598+1000000</f>
        <v>105006598</v>
      </c>
      <c r="F25" s="276">
        <f t="shared" si="0"/>
        <v>105006598</v>
      </c>
      <c r="G25" s="704"/>
      <c r="H25" s="287">
        <v>7085832</v>
      </c>
      <c r="I25" s="276">
        <f t="shared" si="1"/>
        <v>7085832</v>
      </c>
      <c r="J25" s="289"/>
      <c r="K25" s="290"/>
      <c r="L25" s="276"/>
      <c r="M25" s="280">
        <f t="shared" si="3"/>
        <v>112092430</v>
      </c>
    </row>
    <row r="26" spans="1:13" ht="21.75" customHeight="1">
      <c r="A26" s="281" t="s">
        <v>425</v>
      </c>
      <c r="B26" s="299" t="s">
        <v>812</v>
      </c>
      <c r="C26" s="294" t="s">
        <v>821</v>
      </c>
      <c r="D26" s="286"/>
      <c r="E26" s="287">
        <v>6462419</v>
      </c>
      <c r="F26" s="276">
        <f t="shared" si="0"/>
        <v>6462419</v>
      </c>
      <c r="G26" s="704"/>
      <c r="H26" s="700"/>
      <c r="I26" s="276">
        <f t="shared" si="1"/>
        <v>0</v>
      </c>
      <c r="J26" s="289"/>
      <c r="K26" s="290"/>
      <c r="L26" s="276">
        <f t="shared" si="2"/>
        <v>0</v>
      </c>
      <c r="M26" s="280">
        <f t="shared" si="3"/>
        <v>6462419</v>
      </c>
    </row>
    <row r="27" spans="1:13" ht="21.75" customHeight="1">
      <c r="A27" s="281" t="s">
        <v>426</v>
      </c>
      <c r="B27" s="299" t="s">
        <v>388</v>
      </c>
      <c r="C27" s="294" t="s">
        <v>738</v>
      </c>
      <c r="D27" s="286">
        <v>23398480</v>
      </c>
      <c r="E27" s="700"/>
      <c r="F27" s="276">
        <f t="shared" si="0"/>
        <v>23398480</v>
      </c>
      <c r="G27" s="704"/>
      <c r="H27" s="700"/>
      <c r="I27" s="276">
        <f t="shared" si="1"/>
        <v>0</v>
      </c>
      <c r="J27" s="289"/>
      <c r="K27" s="290"/>
      <c r="L27" s="276">
        <f t="shared" si="2"/>
        <v>0</v>
      </c>
      <c r="M27" s="280">
        <f t="shared" si="3"/>
        <v>23398480</v>
      </c>
    </row>
    <row r="28" spans="1:13" ht="21.75" customHeight="1">
      <c r="A28" s="281" t="s">
        <v>427</v>
      </c>
      <c r="B28" s="299" t="s">
        <v>386</v>
      </c>
      <c r="C28" s="294" t="s">
        <v>738</v>
      </c>
      <c r="D28" s="286">
        <v>29975000</v>
      </c>
      <c r="E28" s="287"/>
      <c r="F28" s="276">
        <f t="shared" si="0"/>
        <v>29975000</v>
      </c>
      <c r="G28" s="704"/>
      <c r="H28" s="700"/>
      <c r="I28" s="276">
        <f t="shared" si="1"/>
        <v>0</v>
      </c>
      <c r="J28" s="289"/>
      <c r="K28" s="290"/>
      <c r="L28" s="276">
        <f t="shared" si="2"/>
        <v>0</v>
      </c>
      <c r="M28" s="280">
        <f t="shared" si="3"/>
        <v>29975000</v>
      </c>
    </row>
    <row r="29" spans="1:13" ht="22.5" customHeight="1">
      <c r="A29" s="281" t="s">
        <v>428</v>
      </c>
      <c r="B29" s="299" t="s">
        <v>82</v>
      </c>
      <c r="C29" s="294" t="s">
        <v>742</v>
      </c>
      <c r="D29" s="286">
        <f>25086204-500000+650000</f>
        <v>25236204</v>
      </c>
      <c r="E29" s="287">
        <v>6823000</v>
      </c>
      <c r="F29" s="276">
        <f t="shared" si="0"/>
        <v>32059204</v>
      </c>
      <c r="G29" s="288">
        <v>1468526</v>
      </c>
      <c r="H29" s="700"/>
      <c r="I29" s="276">
        <f t="shared" si="1"/>
        <v>1468526</v>
      </c>
      <c r="J29" s="289"/>
      <c r="K29" s="290"/>
      <c r="L29" s="276">
        <f t="shared" si="2"/>
        <v>0</v>
      </c>
      <c r="M29" s="280">
        <f t="shared" si="3"/>
        <v>33527730</v>
      </c>
    </row>
    <row r="30" spans="1:13" ht="23.25" customHeight="1">
      <c r="A30" s="281" t="s">
        <v>429</v>
      </c>
      <c r="B30" s="299" t="s">
        <v>390</v>
      </c>
      <c r="C30" s="294" t="s">
        <v>743</v>
      </c>
      <c r="D30" s="286">
        <v>360000</v>
      </c>
      <c r="E30" s="700"/>
      <c r="F30" s="276">
        <f t="shared" si="0"/>
        <v>360000</v>
      </c>
      <c r="G30" s="704"/>
      <c r="H30" s="700"/>
      <c r="I30" s="276">
        <f t="shared" si="1"/>
        <v>0</v>
      </c>
      <c r="J30" s="289"/>
      <c r="K30" s="290"/>
      <c r="L30" s="276">
        <f t="shared" si="2"/>
        <v>0</v>
      </c>
      <c r="M30" s="280">
        <f t="shared" si="3"/>
        <v>360000</v>
      </c>
    </row>
    <row r="31" spans="1:13" ht="22.5" customHeight="1">
      <c r="A31" s="281" t="s">
        <v>503</v>
      </c>
      <c r="B31" s="299" t="s">
        <v>391</v>
      </c>
      <c r="C31" s="294" t="s">
        <v>743</v>
      </c>
      <c r="D31" s="286">
        <f>10148541+27436735-12000000</f>
        <v>25585276</v>
      </c>
      <c r="E31" s="287"/>
      <c r="F31" s="276">
        <f t="shared" si="0"/>
        <v>25585276</v>
      </c>
      <c r="G31" s="704"/>
      <c r="H31" s="700"/>
      <c r="I31" s="276">
        <f t="shared" si="1"/>
        <v>0</v>
      </c>
      <c r="J31" s="289"/>
      <c r="K31" s="290"/>
      <c r="L31" s="276">
        <f t="shared" si="2"/>
        <v>0</v>
      </c>
      <c r="M31" s="280">
        <f t="shared" si="3"/>
        <v>25585276</v>
      </c>
    </row>
    <row r="32" spans="1:13" ht="22.5" customHeight="1">
      <c r="A32" s="281" t="s">
        <v>504</v>
      </c>
      <c r="B32" s="299" t="s">
        <v>392</v>
      </c>
      <c r="C32" s="294" t="s">
        <v>743</v>
      </c>
      <c r="D32" s="286">
        <v>120000</v>
      </c>
      <c r="E32" s="700"/>
      <c r="F32" s="276">
        <f t="shared" si="0"/>
        <v>120000</v>
      </c>
      <c r="G32" s="704"/>
      <c r="H32" s="700"/>
      <c r="I32" s="276">
        <f t="shared" si="1"/>
        <v>0</v>
      </c>
      <c r="J32" s="289"/>
      <c r="K32" s="290"/>
      <c r="L32" s="276">
        <f t="shared" si="2"/>
        <v>0</v>
      </c>
      <c r="M32" s="280">
        <f t="shared" si="3"/>
        <v>120000</v>
      </c>
    </row>
    <row r="33" spans="1:13" ht="29.25" customHeight="1">
      <c r="A33" s="281" t="s">
        <v>505</v>
      </c>
      <c r="B33" s="283" t="s">
        <v>751</v>
      </c>
      <c r="C33" s="282" t="s">
        <v>743</v>
      </c>
      <c r="D33" s="286">
        <f>24199734+254000</f>
        <v>24453734</v>
      </c>
      <c r="E33" s="287"/>
      <c r="F33" s="276">
        <f t="shared" si="0"/>
        <v>24453734</v>
      </c>
      <c r="G33" s="704"/>
      <c r="H33" s="700"/>
      <c r="I33" s="276">
        <f t="shared" si="1"/>
        <v>0</v>
      </c>
      <c r="J33" s="289"/>
      <c r="K33" s="290"/>
      <c r="L33" s="276">
        <f t="shared" si="2"/>
        <v>0</v>
      </c>
      <c r="M33" s="280">
        <f t="shared" si="3"/>
        <v>24453734</v>
      </c>
    </row>
    <row r="34" spans="1:13" ht="29.25" customHeight="1">
      <c r="A34" s="281" t="s">
        <v>477</v>
      </c>
      <c r="B34" s="291" t="s">
        <v>81</v>
      </c>
      <c r="C34" s="276" t="s">
        <v>744</v>
      </c>
      <c r="D34" s="286">
        <v>18713000</v>
      </c>
      <c r="E34" s="700"/>
      <c r="F34" s="276">
        <f t="shared" si="0"/>
        <v>18713000</v>
      </c>
      <c r="G34" s="705"/>
      <c r="H34" s="287"/>
      <c r="I34" s="276">
        <f t="shared" si="1"/>
        <v>0</v>
      </c>
      <c r="J34" s="289"/>
      <c r="K34" s="290"/>
      <c r="L34" s="276">
        <f t="shared" si="2"/>
        <v>0</v>
      </c>
      <c r="M34" s="280">
        <f t="shared" si="3"/>
        <v>18713000</v>
      </c>
    </row>
    <row r="35" spans="1:13" ht="29.25" customHeight="1">
      <c r="A35" s="281" t="s">
        <v>506</v>
      </c>
      <c r="B35" s="291" t="s">
        <v>974</v>
      </c>
      <c r="C35" s="276"/>
      <c r="D35" s="286"/>
      <c r="E35" s="700"/>
      <c r="F35" s="276">
        <f t="shared" si="0"/>
        <v>0</v>
      </c>
      <c r="G35" s="846">
        <v>15000</v>
      </c>
      <c r="H35" s="287"/>
      <c r="I35" s="276">
        <f t="shared" si="1"/>
        <v>15000</v>
      </c>
      <c r="J35" s="289"/>
      <c r="K35" s="290"/>
      <c r="L35" s="276">
        <f t="shared" si="2"/>
        <v>0</v>
      </c>
      <c r="M35" s="280">
        <f t="shared" si="3"/>
        <v>15000</v>
      </c>
    </row>
    <row r="36" spans="1:13" ht="30.75" customHeight="1">
      <c r="A36" s="281" t="s">
        <v>430</v>
      </c>
      <c r="B36" s="306" t="s">
        <v>630</v>
      </c>
      <c r="C36" s="276"/>
      <c r="D36" s="699"/>
      <c r="E36" s="700"/>
      <c r="F36" s="276">
        <f t="shared" si="0"/>
        <v>0</v>
      </c>
      <c r="G36" s="293">
        <v>1823311</v>
      </c>
      <c r="H36" s="287">
        <v>700000</v>
      </c>
      <c r="I36" s="276">
        <f t="shared" si="1"/>
        <v>2523311</v>
      </c>
      <c r="J36" s="289"/>
      <c r="K36" s="290"/>
      <c r="L36" s="276">
        <f t="shared" si="2"/>
        <v>0</v>
      </c>
      <c r="M36" s="280">
        <f t="shared" si="3"/>
        <v>2523311</v>
      </c>
    </row>
    <row r="37" spans="1:13" ht="23.25" customHeight="1">
      <c r="A37" s="281" t="s">
        <v>431</v>
      </c>
      <c r="B37" s="283" t="s">
        <v>83</v>
      </c>
      <c r="C37" s="298"/>
      <c r="D37" s="701"/>
      <c r="E37" s="702"/>
      <c r="F37" s="276">
        <f t="shared" si="0"/>
        <v>0</v>
      </c>
      <c r="G37" s="297">
        <v>49530</v>
      </c>
      <c r="H37" s="702"/>
      <c r="I37" s="276">
        <f t="shared" si="1"/>
        <v>49530</v>
      </c>
      <c r="J37" s="289"/>
      <c r="K37" s="290"/>
      <c r="L37" s="276">
        <f t="shared" si="2"/>
        <v>0</v>
      </c>
      <c r="M37" s="280">
        <f t="shared" si="3"/>
        <v>49530</v>
      </c>
    </row>
    <row r="38" spans="1:13" ht="23.25" customHeight="1">
      <c r="A38" s="281" t="s">
        <v>432</v>
      </c>
      <c r="B38" s="283" t="s">
        <v>975</v>
      </c>
      <c r="C38" s="298"/>
      <c r="D38" s="701"/>
      <c r="E38" s="702"/>
      <c r="F38" s="276">
        <f t="shared" si="0"/>
        <v>0</v>
      </c>
      <c r="G38" s="297">
        <f>19772715+55</f>
        <v>19772770</v>
      </c>
      <c r="H38" s="296">
        <f>55-55</f>
        <v>0</v>
      </c>
      <c r="I38" s="276">
        <f t="shared" si="1"/>
        <v>19772770</v>
      </c>
      <c r="J38" s="289"/>
      <c r="K38" s="290"/>
      <c r="L38" s="276">
        <f t="shared" si="2"/>
        <v>0</v>
      </c>
      <c r="M38" s="280">
        <f t="shared" si="3"/>
        <v>19772770</v>
      </c>
    </row>
    <row r="39" spans="1:13" ht="23.25" customHeight="1">
      <c r="A39" s="281" t="s">
        <v>507</v>
      </c>
      <c r="B39" s="283" t="s">
        <v>911</v>
      </c>
      <c r="C39" s="276" t="s">
        <v>750</v>
      </c>
      <c r="D39" s="701"/>
      <c r="E39" s="296">
        <v>19957013</v>
      </c>
      <c r="F39" s="276">
        <f t="shared" si="0"/>
        <v>19957013</v>
      </c>
      <c r="G39" s="297"/>
      <c r="H39" s="702"/>
      <c r="I39" s="276">
        <f t="shared" si="1"/>
        <v>0</v>
      </c>
      <c r="J39" s="289"/>
      <c r="K39" s="290"/>
      <c r="L39" s="276">
        <f t="shared" si="2"/>
        <v>0</v>
      </c>
      <c r="M39" s="280">
        <f t="shared" si="3"/>
        <v>19957013</v>
      </c>
    </row>
    <row r="40" spans="1:13" ht="23.25" customHeight="1">
      <c r="A40" s="281" t="s">
        <v>433</v>
      </c>
      <c r="B40" s="283" t="s">
        <v>912</v>
      </c>
      <c r="C40" s="298"/>
      <c r="D40" s="701"/>
      <c r="E40" s="296"/>
      <c r="F40" s="276">
        <f t="shared" si="0"/>
        <v>0</v>
      </c>
      <c r="G40" s="297">
        <v>12971925</v>
      </c>
      <c r="H40" s="702"/>
      <c r="I40" s="276">
        <f t="shared" si="1"/>
        <v>12971925</v>
      </c>
      <c r="J40" s="289"/>
      <c r="K40" s="290"/>
      <c r="L40" s="276">
        <f t="shared" si="2"/>
        <v>0</v>
      </c>
      <c r="M40" s="280">
        <f t="shared" si="3"/>
        <v>12971925</v>
      </c>
    </row>
    <row r="41" spans="1:13" ht="24" customHeight="1">
      <c r="A41" s="281" t="s">
        <v>451</v>
      </c>
      <c r="B41" s="283" t="s">
        <v>669</v>
      </c>
      <c r="C41" s="292" t="s">
        <v>754</v>
      </c>
      <c r="D41" s="295">
        <v>58023789</v>
      </c>
      <c r="E41" s="296"/>
      <c r="F41" s="276">
        <f t="shared" si="0"/>
        <v>58023789</v>
      </c>
      <c r="G41" s="706"/>
      <c r="H41" s="702"/>
      <c r="I41" s="276">
        <f t="shared" si="1"/>
        <v>0</v>
      </c>
      <c r="J41" s="289"/>
      <c r="K41" s="290"/>
      <c r="L41" s="276">
        <f t="shared" si="2"/>
        <v>0</v>
      </c>
      <c r="M41" s="280">
        <f t="shared" si="3"/>
        <v>58023789</v>
      </c>
    </row>
    <row r="42" spans="1:13" ht="24">
      <c r="A42" s="281" t="s">
        <v>508</v>
      </c>
      <c r="B42" s="283" t="s">
        <v>627</v>
      </c>
      <c r="C42" s="282"/>
      <c r="D42" s="701"/>
      <c r="E42" s="702"/>
      <c r="F42" s="276">
        <f>SUM(D42:E42)</f>
        <v>0</v>
      </c>
      <c r="G42" s="297">
        <v>117194</v>
      </c>
      <c r="H42" s="702"/>
      <c r="I42" s="276">
        <f>SUM(G42:H42)</f>
        <v>117194</v>
      </c>
      <c r="J42" s="289"/>
      <c r="K42" s="290"/>
      <c r="L42" s="276">
        <f>SUM(J42:K42)</f>
        <v>0</v>
      </c>
      <c r="M42" s="280">
        <f>SUM(F42+I42+L42)</f>
        <v>117194</v>
      </c>
    </row>
    <row r="43" spans="1:13" ht="21.75" customHeight="1">
      <c r="A43" s="281" t="s">
        <v>509</v>
      </c>
      <c r="B43" s="299" t="s">
        <v>731</v>
      </c>
      <c r="C43" s="294"/>
      <c r="D43" s="699"/>
      <c r="E43" s="700"/>
      <c r="F43" s="276">
        <f t="shared" si="0"/>
        <v>0</v>
      </c>
      <c r="G43" s="288">
        <v>34022000</v>
      </c>
      <c r="H43" s="700"/>
      <c r="I43" s="276">
        <f t="shared" si="1"/>
        <v>34022000</v>
      </c>
      <c r="J43" s="289"/>
      <c r="K43" s="290"/>
      <c r="L43" s="276">
        <f t="shared" si="2"/>
        <v>0</v>
      </c>
      <c r="M43" s="280">
        <f t="shared" si="3"/>
        <v>34022000</v>
      </c>
    </row>
    <row r="44" spans="1:13" ht="21.75" customHeight="1">
      <c r="A44" s="281" t="s">
        <v>922</v>
      </c>
      <c r="B44" s="299" t="s">
        <v>913</v>
      </c>
      <c r="C44" s="294" t="s">
        <v>976</v>
      </c>
      <c r="D44" s="286">
        <v>4417000</v>
      </c>
      <c r="E44" s="700"/>
      <c r="F44" s="276">
        <f>SUM(D44:E44)</f>
        <v>4417000</v>
      </c>
      <c r="G44" s="288"/>
      <c r="H44" s="700"/>
      <c r="I44" s="276">
        <f>SUM(G44:H44)</f>
        <v>0</v>
      </c>
      <c r="J44" s="289"/>
      <c r="K44" s="290"/>
      <c r="L44" s="276">
        <f aca="true" t="shared" si="4" ref="L44:L54">SUM(J44:K44)</f>
        <v>0</v>
      </c>
      <c r="M44" s="280">
        <f>SUM(F44+I44+L44)</f>
        <v>4417000</v>
      </c>
    </row>
    <row r="45" spans="1:13" ht="24" customHeight="1">
      <c r="A45" s="281" t="s">
        <v>923</v>
      </c>
      <c r="B45" s="283" t="s">
        <v>671</v>
      </c>
      <c r="C45" s="292" t="s">
        <v>759</v>
      </c>
      <c r="D45" s="295">
        <v>1778400</v>
      </c>
      <c r="E45" s="702"/>
      <c r="F45" s="276">
        <f>SUM(D45:E45)</f>
        <v>1778400</v>
      </c>
      <c r="G45" s="706"/>
      <c r="H45" s="702"/>
      <c r="I45" s="276">
        <f>SUM(G45:H45)</f>
        <v>0</v>
      </c>
      <c r="J45" s="289"/>
      <c r="K45" s="290"/>
      <c r="L45" s="276">
        <f t="shared" si="4"/>
        <v>0</v>
      </c>
      <c r="M45" s="280">
        <f>SUM(F45+I45+L45)</f>
        <v>1778400</v>
      </c>
    </row>
    <row r="46" spans="1:13" ht="29.25" customHeight="1">
      <c r="A46" s="281" t="s">
        <v>924</v>
      </c>
      <c r="B46" s="299" t="s">
        <v>813</v>
      </c>
      <c r="C46" s="294"/>
      <c r="D46" s="699"/>
      <c r="E46" s="700"/>
      <c r="F46" s="276">
        <f t="shared" si="0"/>
        <v>0</v>
      </c>
      <c r="G46" s="288">
        <v>58227996</v>
      </c>
      <c r="H46" s="287">
        <v>11411381</v>
      </c>
      <c r="I46" s="276">
        <f t="shared" si="1"/>
        <v>69639377</v>
      </c>
      <c r="J46" s="289"/>
      <c r="K46" s="290"/>
      <c r="L46" s="276">
        <f t="shared" si="4"/>
        <v>0</v>
      </c>
      <c r="M46" s="280">
        <f t="shared" si="3"/>
        <v>69639377</v>
      </c>
    </row>
    <row r="47" spans="1:13" ht="29.25" customHeight="1">
      <c r="A47" s="281" t="s">
        <v>925</v>
      </c>
      <c r="B47" s="299" t="s">
        <v>977</v>
      </c>
      <c r="C47" s="276" t="s">
        <v>979</v>
      </c>
      <c r="D47" s="699"/>
      <c r="E47" s="700"/>
      <c r="F47" s="276">
        <f t="shared" si="0"/>
        <v>0</v>
      </c>
      <c r="G47" s="288">
        <v>3047000</v>
      </c>
      <c r="H47" s="287"/>
      <c r="I47" s="276">
        <f t="shared" si="1"/>
        <v>3047000</v>
      </c>
      <c r="J47" s="289"/>
      <c r="K47" s="290"/>
      <c r="L47" s="276">
        <f t="shared" si="4"/>
        <v>0</v>
      </c>
      <c r="M47" s="280">
        <f t="shared" si="3"/>
        <v>3047000</v>
      </c>
    </row>
    <row r="48" spans="1:13" ht="29.25" customHeight="1">
      <c r="A48" s="281" t="s">
        <v>926</v>
      </c>
      <c r="B48" s="299" t="s">
        <v>978</v>
      </c>
      <c r="C48" s="276" t="s">
        <v>979</v>
      </c>
      <c r="D48" s="699"/>
      <c r="E48" s="700"/>
      <c r="F48" s="276">
        <f t="shared" si="0"/>
        <v>0</v>
      </c>
      <c r="G48" s="288">
        <v>4852000</v>
      </c>
      <c r="H48" s="287"/>
      <c r="I48" s="276">
        <f t="shared" si="1"/>
        <v>4852000</v>
      </c>
      <c r="J48" s="289"/>
      <c r="K48" s="290"/>
      <c r="L48" s="276">
        <f t="shared" si="4"/>
        <v>0</v>
      </c>
      <c r="M48" s="280">
        <f t="shared" si="3"/>
        <v>4852000</v>
      </c>
    </row>
    <row r="49" spans="1:13" ht="21.75" customHeight="1">
      <c r="A49" s="281" t="s">
        <v>927</v>
      </c>
      <c r="B49" s="299" t="s">
        <v>473</v>
      </c>
      <c r="C49" s="294" t="s">
        <v>747</v>
      </c>
      <c r="D49" s="286">
        <v>6560000</v>
      </c>
      <c r="E49" s="700"/>
      <c r="F49" s="276">
        <f t="shared" si="0"/>
        <v>6560000</v>
      </c>
      <c r="G49" s="704"/>
      <c r="H49" s="700"/>
      <c r="I49" s="276">
        <f t="shared" si="1"/>
        <v>0</v>
      </c>
      <c r="J49" s="289"/>
      <c r="K49" s="290"/>
      <c r="L49" s="276">
        <f t="shared" si="4"/>
        <v>0</v>
      </c>
      <c r="M49" s="280">
        <f t="shared" si="3"/>
        <v>6560000</v>
      </c>
    </row>
    <row r="50" spans="1:13" ht="21.75" customHeight="1">
      <c r="A50" s="281" t="s">
        <v>928</v>
      </c>
      <c r="B50" s="299" t="s">
        <v>919</v>
      </c>
      <c r="C50" s="294" t="s">
        <v>980</v>
      </c>
      <c r="D50" s="286">
        <v>2738000</v>
      </c>
      <c r="E50" s="700"/>
      <c r="F50" s="276">
        <f t="shared" si="0"/>
        <v>2738000</v>
      </c>
      <c r="G50" s="704"/>
      <c r="H50" s="700"/>
      <c r="I50" s="276">
        <f t="shared" si="1"/>
        <v>0</v>
      </c>
      <c r="J50" s="289"/>
      <c r="K50" s="290"/>
      <c r="L50" s="276">
        <f t="shared" si="4"/>
        <v>0</v>
      </c>
      <c r="M50" s="280">
        <f t="shared" si="3"/>
        <v>2738000</v>
      </c>
    </row>
    <row r="51" spans="1:13" ht="26.25" customHeight="1">
      <c r="A51" s="281" t="s">
        <v>929</v>
      </c>
      <c r="B51" s="283" t="s">
        <v>631</v>
      </c>
      <c r="C51" s="276" t="s">
        <v>755</v>
      </c>
      <c r="D51" s="286">
        <v>3804900</v>
      </c>
      <c r="E51" s="700"/>
      <c r="F51" s="276">
        <f t="shared" si="0"/>
        <v>3804900</v>
      </c>
      <c r="G51" s="704"/>
      <c r="H51" s="700"/>
      <c r="I51" s="276">
        <f t="shared" si="1"/>
        <v>0</v>
      </c>
      <c r="J51" s="289"/>
      <c r="K51" s="290"/>
      <c r="L51" s="276">
        <f t="shared" si="4"/>
        <v>0</v>
      </c>
      <c r="M51" s="280">
        <f t="shared" si="3"/>
        <v>3804900</v>
      </c>
    </row>
    <row r="52" spans="1:13" ht="26.25" customHeight="1">
      <c r="A52" s="281" t="s">
        <v>973</v>
      </c>
      <c r="B52" s="283" t="s">
        <v>921</v>
      </c>
      <c r="C52" s="282"/>
      <c r="D52" s="286"/>
      <c r="E52" s="700"/>
      <c r="F52" s="276">
        <f t="shared" si="0"/>
        <v>0</v>
      </c>
      <c r="G52" s="288">
        <v>76044041</v>
      </c>
      <c r="H52" s="287">
        <v>5319730</v>
      </c>
      <c r="I52" s="276">
        <f t="shared" si="1"/>
        <v>81363771</v>
      </c>
      <c r="J52" s="289"/>
      <c r="K52" s="289"/>
      <c r="L52" s="276">
        <f t="shared" si="4"/>
        <v>0</v>
      </c>
      <c r="M52" s="280">
        <f t="shared" si="3"/>
        <v>81363771</v>
      </c>
    </row>
    <row r="53" spans="1:13" s="252" customFormat="1" ht="27.75" customHeight="1">
      <c r="A53" s="281" t="s">
        <v>981</v>
      </c>
      <c r="B53" s="283" t="s">
        <v>389</v>
      </c>
      <c r="C53" s="282" t="s">
        <v>748</v>
      </c>
      <c r="D53" s="286">
        <v>2350000</v>
      </c>
      <c r="E53" s="287"/>
      <c r="F53" s="276">
        <f t="shared" si="0"/>
        <v>2350000</v>
      </c>
      <c r="G53" s="286">
        <v>200000</v>
      </c>
      <c r="H53" s="700"/>
      <c r="I53" s="276">
        <f t="shared" si="1"/>
        <v>200000</v>
      </c>
      <c r="J53" s="301"/>
      <c r="K53" s="301"/>
      <c r="L53" s="276">
        <f t="shared" si="4"/>
        <v>0</v>
      </c>
      <c r="M53" s="280">
        <f t="shared" si="3"/>
        <v>2550000</v>
      </c>
    </row>
    <row r="54" spans="1:13" ht="24.75" customHeight="1" thickBot="1">
      <c r="A54" s="281" t="s">
        <v>982</v>
      </c>
      <c r="B54" s="283" t="s">
        <v>628</v>
      </c>
      <c r="C54" s="303"/>
      <c r="D54" s="710"/>
      <c r="E54" s="711"/>
      <c r="F54" s="310">
        <f t="shared" si="0"/>
        <v>0</v>
      </c>
      <c r="G54" s="712">
        <v>8285000</v>
      </c>
      <c r="H54" s="711"/>
      <c r="I54" s="310">
        <f t="shared" si="1"/>
        <v>8285000</v>
      </c>
      <c r="J54" s="713"/>
      <c r="K54" s="713"/>
      <c r="L54" s="310">
        <f t="shared" si="4"/>
        <v>0</v>
      </c>
      <c r="M54" s="714">
        <f t="shared" si="3"/>
        <v>8285000</v>
      </c>
    </row>
    <row r="55" spans="1:16" s="252" customFormat="1" ht="14.25" thickBot="1">
      <c r="A55" s="1047" t="s">
        <v>732</v>
      </c>
      <c r="B55" s="1048"/>
      <c r="C55" s="1049"/>
      <c r="D55" s="308">
        <f aca="true" t="shared" si="5" ref="D55:M55">SUM(D9:D54)</f>
        <v>443667701</v>
      </c>
      <c r="E55" s="715">
        <f t="shared" si="5"/>
        <v>323573970</v>
      </c>
      <c r="F55" s="716">
        <f t="shared" si="5"/>
        <v>767241671</v>
      </c>
      <c r="G55" s="715">
        <f t="shared" si="5"/>
        <v>229595043</v>
      </c>
      <c r="H55" s="715">
        <f t="shared" si="5"/>
        <v>903004574</v>
      </c>
      <c r="I55" s="716">
        <f t="shared" si="5"/>
        <v>1132599617</v>
      </c>
      <c r="J55" s="715">
        <f t="shared" si="5"/>
        <v>20056282</v>
      </c>
      <c r="K55" s="715">
        <f t="shared" si="5"/>
        <v>0</v>
      </c>
      <c r="L55" s="716">
        <f t="shared" si="5"/>
        <v>20056282</v>
      </c>
      <c r="M55" s="716">
        <f t="shared" si="5"/>
        <v>1919897570</v>
      </c>
      <c r="P55" s="540">
        <f>SUM(L55,I55,F55)</f>
        <v>1919897570</v>
      </c>
    </row>
    <row r="56" spans="1:13" ht="30.75" customHeight="1">
      <c r="A56" s="285" t="s">
        <v>408</v>
      </c>
      <c r="B56" s="283" t="s">
        <v>59</v>
      </c>
      <c r="C56" s="273" t="s">
        <v>749</v>
      </c>
      <c r="D56" s="304">
        <f>142790403+2326520+453671</f>
        <v>145570594</v>
      </c>
      <c r="E56" s="305">
        <v>1016000</v>
      </c>
      <c r="F56" s="276">
        <f>SUM(D56:E56)</f>
        <v>146586594</v>
      </c>
      <c r="G56" s="304"/>
      <c r="H56" s="305"/>
      <c r="I56" s="273">
        <f>SUM(G56:H56)</f>
        <v>0</v>
      </c>
      <c r="J56" s="304"/>
      <c r="K56" s="305"/>
      <c r="L56" s="273">
        <f>SUM(J56:K56)</f>
        <v>0</v>
      </c>
      <c r="M56" s="280">
        <f>SUM(L56,I56,F56)</f>
        <v>146586594</v>
      </c>
    </row>
    <row r="57" spans="1:13" ht="30.75" customHeight="1">
      <c r="A57" s="285" t="s">
        <v>409</v>
      </c>
      <c r="B57" s="283" t="s">
        <v>912</v>
      </c>
      <c r="C57" s="282"/>
      <c r="D57" s="274"/>
      <c r="E57" s="275"/>
      <c r="F57" s="276">
        <f>SUM(D57:E57)</f>
        <v>0</v>
      </c>
      <c r="G57" s="274">
        <v>4015200</v>
      </c>
      <c r="H57" s="275"/>
      <c r="I57" s="276">
        <f>SUM(G57:H57)</f>
        <v>4015200</v>
      </c>
      <c r="J57" s="274"/>
      <c r="K57" s="275"/>
      <c r="L57" s="276">
        <f>SUM(J57:K57)</f>
        <v>0</v>
      </c>
      <c r="M57" s="280">
        <f>SUM(L57,I57,F57)</f>
        <v>4015200</v>
      </c>
    </row>
    <row r="58" spans="1:13" ht="36.75" thickBot="1">
      <c r="A58" s="285" t="s">
        <v>410</v>
      </c>
      <c r="B58" s="306" t="s">
        <v>634</v>
      </c>
      <c r="C58" s="307" t="s">
        <v>636</v>
      </c>
      <c r="D58" s="286">
        <v>7430000</v>
      </c>
      <c r="E58" s="287"/>
      <c r="F58" s="276">
        <f>SUM(D58:E58)</f>
        <v>7430000</v>
      </c>
      <c r="G58" s="286"/>
      <c r="H58" s="287"/>
      <c r="I58" s="276">
        <f>SUM(G58:H58)</f>
        <v>0</v>
      </c>
      <c r="J58" s="286"/>
      <c r="K58" s="287"/>
      <c r="L58" s="276">
        <f>SUM(J58:K58)</f>
        <v>0</v>
      </c>
      <c r="M58" s="280">
        <f>SUM(L58,I58,F58)</f>
        <v>7430000</v>
      </c>
    </row>
    <row r="59" spans="1:13" s="252" customFormat="1" ht="14.25" thickBot="1">
      <c r="A59" s="1047" t="s">
        <v>510</v>
      </c>
      <c r="B59" s="1048"/>
      <c r="C59" s="1049"/>
      <c r="D59" s="308">
        <f aca="true" t="shared" si="6" ref="D59:M59">SUM(D56:D58)</f>
        <v>153000594</v>
      </c>
      <c r="E59" s="308">
        <f t="shared" si="6"/>
        <v>1016000</v>
      </c>
      <c r="F59" s="308">
        <f t="shared" si="6"/>
        <v>154016594</v>
      </c>
      <c r="G59" s="308">
        <f t="shared" si="6"/>
        <v>4015200</v>
      </c>
      <c r="H59" s="308">
        <f t="shared" si="6"/>
        <v>0</v>
      </c>
      <c r="I59" s="308">
        <f t="shared" si="6"/>
        <v>4015200</v>
      </c>
      <c r="J59" s="308">
        <f t="shared" si="6"/>
        <v>0</v>
      </c>
      <c r="K59" s="308">
        <f t="shared" si="6"/>
        <v>0</v>
      </c>
      <c r="L59" s="308">
        <f t="shared" si="6"/>
        <v>0</v>
      </c>
      <c r="M59" s="309">
        <f t="shared" si="6"/>
        <v>158031794</v>
      </c>
    </row>
    <row r="60" spans="1:13" ht="23.25" customHeight="1">
      <c r="A60" s="271" t="s">
        <v>408</v>
      </c>
      <c r="B60" s="311" t="s">
        <v>511</v>
      </c>
      <c r="C60" s="292" t="s">
        <v>754</v>
      </c>
      <c r="D60" s="312">
        <v>34363647</v>
      </c>
      <c r="E60" s="313"/>
      <c r="F60" s="310">
        <f aca="true" t="shared" si="7" ref="F60:F69">SUM(D60:E60)</f>
        <v>34363647</v>
      </c>
      <c r="G60" s="312"/>
      <c r="H60" s="313"/>
      <c r="I60" s="310">
        <f aca="true" t="shared" si="8" ref="I60:I69">SUM(G60:H60)</f>
        <v>0</v>
      </c>
      <c r="J60" s="312"/>
      <c r="K60" s="313"/>
      <c r="L60" s="310">
        <f aca="true" t="shared" si="9" ref="L60:L69">SUM(J60:K60)</f>
        <v>0</v>
      </c>
      <c r="M60" s="280">
        <f aca="true" t="shared" si="10" ref="M60:M69">SUM(L60,I60,F60)</f>
        <v>34363647</v>
      </c>
    </row>
    <row r="61" spans="1:13" ht="23.25" customHeight="1">
      <c r="A61" s="285" t="s">
        <v>409</v>
      </c>
      <c r="B61" s="283" t="s">
        <v>983</v>
      </c>
      <c r="C61" s="325" t="s">
        <v>750</v>
      </c>
      <c r="D61" s="295">
        <f>126783640-1359950</f>
        <v>125423690</v>
      </c>
      <c r="E61" s="296">
        <v>552450</v>
      </c>
      <c r="F61" s="276">
        <f t="shared" si="7"/>
        <v>125976140</v>
      </c>
      <c r="G61" s="302"/>
      <c r="H61" s="300"/>
      <c r="I61" s="276">
        <f t="shared" si="8"/>
        <v>0</v>
      </c>
      <c r="J61" s="289"/>
      <c r="K61" s="289"/>
      <c r="L61" s="276">
        <f t="shared" si="9"/>
        <v>0</v>
      </c>
      <c r="M61" s="280">
        <f t="shared" si="10"/>
        <v>125976140</v>
      </c>
    </row>
    <row r="62" spans="1:13" ht="23.25" customHeight="1">
      <c r="A62" s="281" t="s">
        <v>410</v>
      </c>
      <c r="B62" s="283" t="s">
        <v>601</v>
      </c>
      <c r="C62" s="325" t="s">
        <v>635</v>
      </c>
      <c r="D62" s="295">
        <v>28507248</v>
      </c>
      <c r="E62" s="296">
        <v>152400</v>
      </c>
      <c r="F62" s="276">
        <f t="shared" si="7"/>
        <v>28659648</v>
      </c>
      <c r="G62" s="302"/>
      <c r="H62" s="300"/>
      <c r="I62" s="276">
        <f t="shared" si="8"/>
        <v>0</v>
      </c>
      <c r="J62" s="289"/>
      <c r="K62" s="289"/>
      <c r="L62" s="276">
        <f t="shared" si="9"/>
        <v>0</v>
      </c>
      <c r="M62" s="280">
        <f t="shared" si="10"/>
        <v>28659648</v>
      </c>
    </row>
    <row r="63" spans="1:13" ht="23.25" customHeight="1">
      <c r="A63" s="281" t="s">
        <v>411</v>
      </c>
      <c r="B63" s="283" t="s">
        <v>733</v>
      </c>
      <c r="C63" s="325" t="s">
        <v>756</v>
      </c>
      <c r="D63" s="295">
        <v>20738697</v>
      </c>
      <c r="E63" s="296">
        <v>241300</v>
      </c>
      <c r="F63" s="276">
        <f t="shared" si="7"/>
        <v>20979997</v>
      </c>
      <c r="G63" s="302"/>
      <c r="H63" s="300"/>
      <c r="I63" s="276">
        <f t="shared" si="8"/>
        <v>0</v>
      </c>
      <c r="J63" s="289"/>
      <c r="K63" s="289"/>
      <c r="L63" s="276">
        <f t="shared" si="9"/>
        <v>0</v>
      </c>
      <c r="M63" s="280">
        <f t="shared" si="10"/>
        <v>20979997</v>
      </c>
    </row>
    <row r="64" spans="1:13" ht="23.25" customHeight="1">
      <c r="A64" s="281" t="s">
        <v>412</v>
      </c>
      <c r="B64" s="283" t="s">
        <v>734</v>
      </c>
      <c r="C64" s="325" t="s">
        <v>757</v>
      </c>
      <c r="D64" s="297">
        <v>12163522</v>
      </c>
      <c r="E64" s="296"/>
      <c r="F64" s="276">
        <f t="shared" si="7"/>
        <v>12163522</v>
      </c>
      <c r="G64" s="297"/>
      <c r="H64" s="296"/>
      <c r="I64" s="276">
        <f t="shared" si="8"/>
        <v>0</v>
      </c>
      <c r="J64" s="289"/>
      <c r="K64" s="289"/>
      <c r="L64" s="276">
        <f t="shared" si="9"/>
        <v>0</v>
      </c>
      <c r="M64" s="280">
        <f t="shared" si="10"/>
        <v>12163522</v>
      </c>
    </row>
    <row r="65" spans="1:13" ht="23.25" customHeight="1">
      <c r="A65" s="281" t="s">
        <v>413</v>
      </c>
      <c r="B65" s="283" t="s">
        <v>735</v>
      </c>
      <c r="C65" s="292" t="s">
        <v>754</v>
      </c>
      <c r="D65" s="297">
        <v>3260222</v>
      </c>
      <c r="E65" s="296"/>
      <c r="F65" s="276">
        <f t="shared" si="7"/>
        <v>3260222</v>
      </c>
      <c r="G65" s="297"/>
      <c r="H65" s="296"/>
      <c r="I65" s="276">
        <f t="shared" si="8"/>
        <v>0</v>
      </c>
      <c r="J65" s="289"/>
      <c r="K65" s="289"/>
      <c r="L65" s="276">
        <f t="shared" si="9"/>
        <v>0</v>
      </c>
      <c r="M65" s="280">
        <f t="shared" si="10"/>
        <v>3260222</v>
      </c>
    </row>
    <row r="66" spans="1:13" ht="23.25" customHeight="1">
      <c r="A66" s="285" t="s">
        <v>414</v>
      </c>
      <c r="B66" s="311" t="s">
        <v>561</v>
      </c>
      <c r="C66" s="292" t="s">
        <v>758</v>
      </c>
      <c r="D66" s="847"/>
      <c r="E66" s="848"/>
      <c r="F66" s="276">
        <f t="shared" si="7"/>
        <v>0</v>
      </c>
      <c r="G66" s="712">
        <v>6245111</v>
      </c>
      <c r="H66" s="848"/>
      <c r="I66" s="276">
        <f t="shared" si="8"/>
        <v>6245111</v>
      </c>
      <c r="J66" s="713"/>
      <c r="K66" s="713"/>
      <c r="L66" s="276">
        <f t="shared" si="9"/>
        <v>0</v>
      </c>
      <c r="M66" s="280">
        <f t="shared" si="10"/>
        <v>6245111</v>
      </c>
    </row>
    <row r="67" spans="1:13" ht="38.25" customHeight="1">
      <c r="A67" s="285" t="s">
        <v>415</v>
      </c>
      <c r="B67" s="283" t="s">
        <v>1030</v>
      </c>
      <c r="C67" s="292"/>
      <c r="D67" s="847"/>
      <c r="E67" s="848"/>
      <c r="F67" s="276">
        <f t="shared" si="7"/>
        <v>0</v>
      </c>
      <c r="G67" s="712">
        <v>6883200</v>
      </c>
      <c r="H67" s="848"/>
      <c r="I67" s="276">
        <f t="shared" si="8"/>
        <v>6883200</v>
      </c>
      <c r="J67" s="713"/>
      <c r="K67" s="713"/>
      <c r="L67" s="276">
        <f t="shared" si="9"/>
        <v>0</v>
      </c>
      <c r="M67" s="280">
        <f t="shared" si="10"/>
        <v>6883200</v>
      </c>
    </row>
    <row r="68" spans="1:13" ht="23.25" customHeight="1">
      <c r="A68" s="285" t="s">
        <v>416</v>
      </c>
      <c r="B68" s="922" t="s">
        <v>1031</v>
      </c>
      <c r="C68" s="292"/>
      <c r="D68" s="847"/>
      <c r="E68" s="848"/>
      <c r="F68" s="276">
        <f t="shared" si="7"/>
        <v>0</v>
      </c>
      <c r="G68" s="712">
        <v>5459106</v>
      </c>
      <c r="H68" s="848"/>
      <c r="I68" s="276">
        <f t="shared" si="8"/>
        <v>5459106</v>
      </c>
      <c r="J68" s="713"/>
      <c r="K68" s="713"/>
      <c r="L68" s="276">
        <f t="shared" si="9"/>
        <v>0</v>
      </c>
      <c r="M68" s="280">
        <f t="shared" si="10"/>
        <v>5459106</v>
      </c>
    </row>
    <row r="69" spans="1:13" ht="27" customHeight="1" thickBot="1">
      <c r="A69" s="849" t="s">
        <v>417</v>
      </c>
      <c r="B69" s="283" t="s">
        <v>1032</v>
      </c>
      <c r="C69" s="292"/>
      <c r="D69" s="312"/>
      <c r="E69" s="313"/>
      <c r="F69" s="310">
        <f t="shared" si="7"/>
        <v>0</v>
      </c>
      <c r="G69" s="312">
        <v>27430982</v>
      </c>
      <c r="H69" s="313"/>
      <c r="I69" s="310">
        <f t="shared" si="8"/>
        <v>27430982</v>
      </c>
      <c r="J69" s="312"/>
      <c r="K69" s="313"/>
      <c r="L69" s="310">
        <f t="shared" si="9"/>
        <v>0</v>
      </c>
      <c r="M69" s="280">
        <f t="shared" si="10"/>
        <v>27430982</v>
      </c>
    </row>
    <row r="70" spans="1:16" ht="27.75" customHeight="1" thickBot="1">
      <c r="A70" s="1050" t="s">
        <v>825</v>
      </c>
      <c r="B70" s="1051"/>
      <c r="C70" s="1052"/>
      <c r="D70" s="314">
        <f aca="true" t="shared" si="11" ref="D70:M70">SUM(D60:D69)</f>
        <v>224457026</v>
      </c>
      <c r="E70" s="538">
        <f t="shared" si="11"/>
        <v>946150</v>
      </c>
      <c r="F70" s="537">
        <f t="shared" si="11"/>
        <v>225403176</v>
      </c>
      <c r="G70" s="314">
        <f t="shared" si="11"/>
        <v>46018399</v>
      </c>
      <c r="H70" s="538">
        <f t="shared" si="11"/>
        <v>0</v>
      </c>
      <c r="I70" s="537">
        <f t="shared" si="11"/>
        <v>46018399</v>
      </c>
      <c r="J70" s="314">
        <f t="shared" si="11"/>
        <v>0</v>
      </c>
      <c r="K70" s="538">
        <f t="shared" si="11"/>
        <v>0</v>
      </c>
      <c r="L70" s="537">
        <f t="shared" si="11"/>
        <v>0</v>
      </c>
      <c r="M70" s="309">
        <f t="shared" si="11"/>
        <v>271421575</v>
      </c>
      <c r="P70" s="541">
        <f>SUM(L70,I70,F70)</f>
        <v>271421575</v>
      </c>
    </row>
    <row r="71" spans="1:13" ht="32.25" customHeight="1">
      <c r="A71" s="281" t="s">
        <v>408</v>
      </c>
      <c r="B71" s="291" t="s">
        <v>560</v>
      </c>
      <c r="C71" s="282" t="s">
        <v>745</v>
      </c>
      <c r="D71" s="286">
        <v>1100000</v>
      </c>
      <c r="E71" s="287"/>
      <c r="F71" s="276">
        <f>SUM(D71:E71)</f>
        <v>1100000</v>
      </c>
      <c r="G71" s="288"/>
      <c r="H71" s="287"/>
      <c r="I71" s="276">
        <f>SUM(G71:H71)</f>
        <v>0</v>
      </c>
      <c r="J71" s="289"/>
      <c r="K71" s="290"/>
      <c r="L71" s="276">
        <f>SUM(J71:K71)</f>
        <v>0</v>
      </c>
      <c r="M71" s="280">
        <f>SUM(F71+I71+L71)</f>
        <v>1100000</v>
      </c>
    </row>
    <row r="72" spans="1:13" ht="22.5" customHeight="1">
      <c r="A72" s="281" t="s">
        <v>409</v>
      </c>
      <c r="B72" s="299" t="s">
        <v>393</v>
      </c>
      <c r="C72" s="294" t="s">
        <v>745</v>
      </c>
      <c r="D72" s="286">
        <v>3432072</v>
      </c>
      <c r="E72" s="287"/>
      <c r="F72" s="276">
        <f>SUM(D72:E72)</f>
        <v>3432072</v>
      </c>
      <c r="G72" s="288"/>
      <c r="H72" s="287"/>
      <c r="I72" s="276">
        <f>SUM(G72:H72)</f>
        <v>0</v>
      </c>
      <c r="J72" s="289"/>
      <c r="K72" s="290"/>
      <c r="L72" s="276">
        <f>SUM(J72:K72)</f>
        <v>0</v>
      </c>
      <c r="M72" s="280">
        <f>SUM(F72+I72+L72)</f>
        <v>3432072</v>
      </c>
    </row>
    <row r="73" spans="1:13" ht="33.75" customHeight="1">
      <c r="A73" s="281" t="s">
        <v>410</v>
      </c>
      <c r="B73" s="283" t="s">
        <v>79</v>
      </c>
      <c r="C73" s="298" t="s">
        <v>746</v>
      </c>
      <c r="D73" s="295">
        <f>22381580-1270000</f>
        <v>21111580</v>
      </c>
      <c r="E73" s="296">
        <v>635000</v>
      </c>
      <c r="F73" s="276">
        <f>SUM(D73:E73)</f>
        <v>21746580</v>
      </c>
      <c r="G73" s="297"/>
      <c r="H73" s="296"/>
      <c r="I73" s="276">
        <f>SUM(G73:H73)</f>
        <v>0</v>
      </c>
      <c r="J73" s="289"/>
      <c r="K73" s="290"/>
      <c r="L73" s="276">
        <f>SUM(J73:K73)</f>
        <v>0</v>
      </c>
      <c r="M73" s="280">
        <f>SUM(F73+I73+L73)</f>
        <v>21746580</v>
      </c>
    </row>
    <row r="74" spans="1:13" ht="33.75" customHeight="1" thickBot="1">
      <c r="A74" s="281" t="s">
        <v>411</v>
      </c>
      <c r="B74" s="283" t="s">
        <v>921</v>
      </c>
      <c r="C74" s="298"/>
      <c r="D74" s="295"/>
      <c r="E74" s="296"/>
      <c r="F74" s="276">
        <f>SUM(D74:E74)</f>
        <v>0</v>
      </c>
      <c r="G74" s="297">
        <v>22502900</v>
      </c>
      <c r="H74" s="296">
        <v>2497100</v>
      </c>
      <c r="I74" s="276">
        <f>SUM(G74:H74)</f>
        <v>25000000</v>
      </c>
      <c r="J74" s="289"/>
      <c r="K74" s="290"/>
      <c r="L74" s="276">
        <f>SUM(J74:K74)</f>
        <v>0</v>
      </c>
      <c r="M74" s="280">
        <f>SUM(F74+I74+L74)</f>
        <v>25000000</v>
      </c>
    </row>
    <row r="75" spans="1:16" ht="27.75" customHeight="1" thickBot="1">
      <c r="A75" s="1050" t="s">
        <v>857</v>
      </c>
      <c r="B75" s="1051"/>
      <c r="C75" s="1052"/>
      <c r="D75" s="314">
        <f>SUM(D71:D74)</f>
        <v>25643652</v>
      </c>
      <c r="E75" s="538">
        <f aca="true" t="shared" si="12" ref="E75:K75">SUM(E71:E74)</f>
        <v>635000</v>
      </c>
      <c r="F75" s="537">
        <f t="shared" si="12"/>
        <v>26278652</v>
      </c>
      <c r="G75" s="314">
        <f t="shared" si="12"/>
        <v>22502900</v>
      </c>
      <c r="H75" s="538">
        <f t="shared" si="12"/>
        <v>2497100</v>
      </c>
      <c r="I75" s="537">
        <f t="shared" si="12"/>
        <v>25000000</v>
      </c>
      <c r="J75" s="314">
        <f t="shared" si="12"/>
        <v>0</v>
      </c>
      <c r="K75" s="538">
        <f t="shared" si="12"/>
        <v>0</v>
      </c>
      <c r="L75" s="537">
        <f>SUM(L71:L74)</f>
        <v>0</v>
      </c>
      <c r="M75" s="309">
        <f>SUM(M71:M74)</f>
        <v>51278652</v>
      </c>
      <c r="P75" s="541"/>
    </row>
    <row r="76" spans="1:13" s="256" customFormat="1" ht="16.5" thickBot="1">
      <c r="A76" s="1044" t="s">
        <v>512</v>
      </c>
      <c r="B76" s="1045"/>
      <c r="C76" s="1046"/>
      <c r="D76" s="315">
        <f aca="true" t="shared" si="13" ref="D76:M76">D55+D59+D70+D75</f>
        <v>846768973</v>
      </c>
      <c r="E76" s="315">
        <f t="shared" si="13"/>
        <v>326171120</v>
      </c>
      <c r="F76" s="707">
        <f t="shared" si="13"/>
        <v>1172940093</v>
      </c>
      <c r="G76" s="315">
        <f t="shared" si="13"/>
        <v>302131542</v>
      </c>
      <c r="H76" s="315">
        <f t="shared" si="13"/>
        <v>905501674</v>
      </c>
      <c r="I76" s="316">
        <f t="shared" si="13"/>
        <v>1207633216</v>
      </c>
      <c r="J76" s="539">
        <f t="shared" si="13"/>
        <v>20056282</v>
      </c>
      <c r="K76" s="708">
        <f t="shared" si="13"/>
        <v>0</v>
      </c>
      <c r="L76" s="709">
        <f t="shared" si="13"/>
        <v>20056282</v>
      </c>
      <c r="M76" s="317">
        <f t="shared" si="13"/>
        <v>2400629591</v>
      </c>
    </row>
    <row r="78" spans="1:2" ht="12.75">
      <c r="A78" s="191" t="s">
        <v>513</v>
      </c>
      <c r="B78" s="191" t="s">
        <v>514</v>
      </c>
    </row>
    <row r="79" spans="1:2" ht="12.75">
      <c r="A79" s="191" t="s">
        <v>515</v>
      </c>
      <c r="B79" s="191" t="s">
        <v>516</v>
      </c>
    </row>
    <row r="80" spans="1:2" ht="12.75">
      <c r="A80" s="191" t="s">
        <v>517</v>
      </c>
      <c r="B80" s="191" t="s">
        <v>518</v>
      </c>
    </row>
    <row r="81" spans="1:2" ht="12.75">
      <c r="A81" s="191" t="s">
        <v>519</v>
      </c>
      <c r="B81" s="191" t="s">
        <v>520</v>
      </c>
    </row>
    <row r="82" spans="1:2" ht="12.75">
      <c r="A82" s="191" t="s">
        <v>521</v>
      </c>
      <c r="B82" s="191" t="s">
        <v>522</v>
      </c>
    </row>
    <row r="83" spans="1:2" ht="12.75">
      <c r="A83" s="191" t="s">
        <v>823</v>
      </c>
      <c r="B83" s="191" t="s">
        <v>824</v>
      </c>
    </row>
    <row r="84" spans="1:2" ht="12.75">
      <c r="A84" s="191" t="s">
        <v>633</v>
      </c>
      <c r="B84" s="191" t="s">
        <v>632</v>
      </c>
    </row>
  </sheetData>
  <sheetProtection/>
  <mergeCells count="15">
    <mergeCell ref="A76:C76"/>
    <mergeCell ref="A59:C59"/>
    <mergeCell ref="D6:F7"/>
    <mergeCell ref="A70:C70"/>
    <mergeCell ref="B5:B8"/>
    <mergeCell ref="A5:A8"/>
    <mergeCell ref="C5:M5"/>
    <mergeCell ref="A55:C55"/>
    <mergeCell ref="A75:C75"/>
    <mergeCell ref="G1:M1"/>
    <mergeCell ref="M6:M8"/>
    <mergeCell ref="A3:M4"/>
    <mergeCell ref="C6:C8"/>
    <mergeCell ref="G6:I7"/>
    <mergeCell ref="J6:L7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66" r:id="rId1"/>
  <rowBreaks count="2" manualBreakCount="2">
    <brk id="30" max="12" man="1"/>
    <brk id="5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O87"/>
  <sheetViews>
    <sheetView zoomScalePageLayoutView="0" workbookViewId="0" topLeftCell="S1">
      <pane ySplit="7" topLeftCell="A56" activePane="bottomLeft" state="frozen"/>
      <selection pane="topLeft" activeCell="A1" sqref="A1"/>
      <selection pane="bottomLeft" activeCell="T2" sqref="T2"/>
    </sheetView>
  </sheetViews>
  <sheetFormatPr defaultColWidth="9.00390625" defaultRowHeight="12.75"/>
  <cols>
    <col min="1" max="2" width="9.125" style="191" customWidth="1"/>
    <col min="3" max="3" width="19.125" style="191" customWidth="1"/>
    <col min="4" max="6" width="18.00390625" style="191" bestFit="1" customWidth="1"/>
    <col min="7" max="7" width="12.625" style="191" customWidth="1"/>
    <col min="8" max="8" width="18.875" style="191" customWidth="1"/>
    <col min="9" max="9" width="9.25390625" style="191" bestFit="1" customWidth="1"/>
    <col min="10" max="10" width="11.375" style="191" bestFit="1" customWidth="1"/>
    <col min="11" max="11" width="19.25390625" style="191" customWidth="1"/>
    <col min="12" max="12" width="9.75390625" style="191" customWidth="1"/>
    <col min="13" max="13" width="9.125" style="191" customWidth="1"/>
    <col min="14" max="14" width="12.625" style="191" customWidth="1"/>
    <col min="15" max="15" width="8.125" style="191" customWidth="1"/>
    <col min="16" max="16" width="10.375" style="191" bestFit="1" customWidth="1"/>
    <col min="17" max="17" width="14.00390625" style="191" bestFit="1" customWidth="1"/>
    <col min="18" max="20" width="9.125" style="191" customWidth="1"/>
    <col min="21" max="21" width="9.875" style="191" customWidth="1"/>
    <col min="22" max="22" width="13.125" style="191" customWidth="1"/>
    <col min="23" max="23" width="16.625" style="191" bestFit="1" customWidth="1"/>
    <col min="24" max="24" width="18.00390625" style="326" bestFit="1" customWidth="1"/>
    <col min="25" max="25" width="18.25390625" style="326" customWidth="1"/>
    <col min="26" max="26" width="18.75390625" style="326" customWidth="1"/>
    <col min="27" max="27" width="19.75390625" style="326" bestFit="1" customWidth="1"/>
    <col min="28" max="28" width="17.375" style="326" bestFit="1" customWidth="1"/>
    <col min="29" max="29" width="19.75390625" style="326" bestFit="1" customWidth="1"/>
    <col min="30" max="223" width="9.125" style="326" customWidth="1"/>
    <col min="224" max="16384" width="9.125" style="191" customWidth="1"/>
  </cols>
  <sheetData>
    <row r="1" spans="1:28" ht="15">
      <c r="A1" s="258"/>
      <c r="B1" s="259"/>
      <c r="C1" s="260"/>
      <c r="H1" s="259"/>
      <c r="I1" s="259"/>
      <c r="J1" s="259"/>
      <c r="K1" s="261"/>
      <c r="L1" s="261"/>
      <c r="M1" s="261"/>
      <c r="N1" s="259"/>
      <c r="T1" s="1195" t="s">
        <v>1069</v>
      </c>
      <c r="U1" s="1196"/>
      <c r="V1" s="1196"/>
      <c r="W1" s="1196"/>
      <c r="X1" s="1197"/>
      <c r="Y1" s="1197"/>
      <c r="Z1" s="1197"/>
      <c r="AA1" s="1197"/>
      <c r="AB1" s="1197"/>
    </row>
    <row r="2" spans="1:14" ht="12.75">
      <c r="A2" s="258"/>
      <c r="B2" s="259"/>
      <c r="C2" s="260"/>
      <c r="D2" s="262"/>
      <c r="E2" s="263"/>
      <c r="F2" s="263"/>
      <c r="G2" s="263"/>
      <c r="H2" s="259"/>
      <c r="I2" s="259"/>
      <c r="J2" s="259"/>
      <c r="K2" s="261"/>
      <c r="L2" s="261"/>
      <c r="M2" s="261"/>
      <c r="N2" s="259"/>
    </row>
    <row r="3" spans="1:29" ht="15.75" customHeight="1">
      <c r="A3" s="1208" t="s">
        <v>984</v>
      </c>
      <c r="B3" s="1208"/>
      <c r="C3" s="1208"/>
      <c r="D3" s="1208"/>
      <c r="E3" s="1208"/>
      <c r="F3" s="1208"/>
      <c r="G3" s="1208"/>
      <c r="H3" s="1208"/>
      <c r="I3" s="1208"/>
      <c r="J3" s="1208"/>
      <c r="K3" s="1208"/>
      <c r="L3" s="1208"/>
      <c r="M3" s="1208"/>
      <c r="N3" s="1208"/>
      <c r="O3" s="1208"/>
      <c r="P3" s="1208"/>
      <c r="Q3" s="1208"/>
      <c r="R3" s="1208"/>
      <c r="S3" s="1208"/>
      <c r="T3" s="1208"/>
      <c r="U3" s="1208"/>
      <c r="V3" s="1208"/>
      <c r="W3" s="1208"/>
      <c r="X3" s="1208"/>
      <c r="Y3" s="1208"/>
      <c r="Z3" s="1208"/>
      <c r="AA3" s="1208"/>
      <c r="AB3" s="1208"/>
      <c r="AC3" s="1208"/>
    </row>
    <row r="4" spans="1:29" ht="15.75" customHeight="1">
      <c r="A4" s="533"/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</row>
    <row r="5" spans="1:29" ht="13.5" customHeight="1" thickBot="1">
      <c r="A5" s="534"/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4"/>
      <c r="AC5" s="534"/>
    </row>
    <row r="6" spans="1:223" s="327" customFormat="1" ht="15" customHeight="1" thickBot="1" thickTop="1">
      <c r="A6" s="1149" t="s">
        <v>87</v>
      </c>
      <c r="B6" s="1150"/>
      <c r="C6" s="1150"/>
      <c r="D6" s="1118" t="s">
        <v>370</v>
      </c>
      <c r="E6" s="1103"/>
      <c r="F6" s="1119"/>
      <c r="G6" s="1120" t="s">
        <v>523</v>
      </c>
      <c r="H6" s="1203"/>
      <c r="I6" s="1203"/>
      <c r="J6" s="1203"/>
      <c r="K6" s="1204"/>
      <c r="L6" s="1102" t="s">
        <v>524</v>
      </c>
      <c r="M6" s="1137"/>
      <c r="N6" s="1137"/>
      <c r="O6" s="1137"/>
      <c r="P6" s="1137"/>
      <c r="Q6" s="1138"/>
      <c r="R6" s="1102" t="s">
        <v>525</v>
      </c>
      <c r="S6" s="1137"/>
      <c r="T6" s="1137"/>
      <c r="U6" s="1137"/>
      <c r="V6" s="1137"/>
      <c r="W6" s="1137"/>
      <c r="X6" s="1198" t="s">
        <v>526</v>
      </c>
      <c r="Y6" s="1173"/>
      <c r="Z6" s="1173"/>
      <c r="AA6" s="1084" t="s">
        <v>88</v>
      </c>
      <c r="AB6" s="1085"/>
      <c r="AC6" s="108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6"/>
      <c r="CN6" s="326"/>
      <c r="CO6" s="326"/>
      <c r="CP6" s="326"/>
      <c r="CQ6" s="326"/>
      <c r="CR6" s="326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  <c r="DD6" s="326"/>
      <c r="DE6" s="326"/>
      <c r="DF6" s="326"/>
      <c r="DG6" s="326"/>
      <c r="DH6" s="326"/>
      <c r="DI6" s="326"/>
      <c r="DJ6" s="326"/>
      <c r="DK6" s="326"/>
      <c r="DL6" s="326"/>
      <c r="DM6" s="326"/>
      <c r="DN6" s="326"/>
      <c r="DO6" s="326"/>
      <c r="DP6" s="326"/>
      <c r="DQ6" s="326"/>
      <c r="DR6" s="326"/>
      <c r="DS6" s="326"/>
      <c r="DT6" s="326"/>
      <c r="DU6" s="326"/>
      <c r="DV6" s="326"/>
      <c r="DW6" s="326"/>
      <c r="DX6" s="326"/>
      <c r="DY6" s="326"/>
      <c r="DZ6" s="326"/>
      <c r="EA6" s="326"/>
      <c r="EB6" s="326"/>
      <c r="EC6" s="326"/>
      <c r="ED6" s="326"/>
      <c r="EE6" s="326"/>
      <c r="EF6" s="326"/>
      <c r="EG6" s="326"/>
      <c r="EH6" s="326"/>
      <c r="EI6" s="326"/>
      <c r="EJ6" s="326"/>
      <c r="EK6" s="326"/>
      <c r="EL6" s="326"/>
      <c r="EM6" s="326"/>
      <c r="EN6" s="326"/>
      <c r="EO6" s="326"/>
      <c r="EP6" s="326"/>
      <c r="EQ6" s="326"/>
      <c r="ER6" s="326"/>
      <c r="ES6" s="326"/>
      <c r="ET6" s="326"/>
      <c r="EU6" s="326"/>
      <c r="EV6" s="326"/>
      <c r="EW6" s="326"/>
      <c r="EX6" s="326"/>
      <c r="EY6" s="326"/>
      <c r="EZ6" s="326"/>
      <c r="FA6" s="326"/>
      <c r="FB6" s="326"/>
      <c r="FC6" s="326"/>
      <c r="FD6" s="326"/>
      <c r="FE6" s="326"/>
      <c r="FF6" s="326"/>
      <c r="FG6" s="326"/>
      <c r="FH6" s="326"/>
      <c r="FI6" s="326"/>
      <c r="FJ6" s="326"/>
      <c r="FK6" s="326"/>
      <c r="FL6" s="326"/>
      <c r="FM6" s="326"/>
      <c r="FN6" s="326"/>
      <c r="FO6" s="326"/>
      <c r="FP6" s="326"/>
      <c r="FQ6" s="326"/>
      <c r="FR6" s="326"/>
      <c r="FS6" s="326"/>
      <c r="FT6" s="326"/>
      <c r="FU6" s="326"/>
      <c r="FV6" s="326"/>
      <c r="FW6" s="326"/>
      <c r="FX6" s="326"/>
      <c r="FY6" s="326"/>
      <c r="FZ6" s="326"/>
      <c r="GA6" s="326"/>
      <c r="GB6" s="326"/>
      <c r="GC6" s="326"/>
      <c r="GD6" s="326"/>
      <c r="GE6" s="326"/>
      <c r="GF6" s="326"/>
      <c r="GG6" s="326"/>
      <c r="GH6" s="326"/>
      <c r="GI6" s="326"/>
      <c r="GJ6" s="326"/>
      <c r="GK6" s="326"/>
      <c r="GL6" s="326"/>
      <c r="GM6" s="326"/>
      <c r="GN6" s="326"/>
      <c r="GO6" s="326"/>
      <c r="GP6" s="326"/>
      <c r="GQ6" s="326"/>
      <c r="GR6" s="326"/>
      <c r="GS6" s="326"/>
      <c r="GT6" s="326"/>
      <c r="GU6" s="326"/>
      <c r="GV6" s="326"/>
      <c r="GW6" s="326"/>
      <c r="GX6" s="326"/>
      <c r="GY6" s="326"/>
      <c r="GZ6" s="326"/>
      <c r="HA6" s="326"/>
      <c r="HB6" s="326"/>
      <c r="HC6" s="326"/>
      <c r="HD6" s="326"/>
      <c r="HE6" s="326"/>
      <c r="HF6" s="326"/>
      <c r="HG6" s="326"/>
      <c r="HH6" s="326"/>
      <c r="HI6" s="326"/>
      <c r="HJ6" s="326"/>
      <c r="HK6" s="326"/>
      <c r="HL6" s="326"/>
      <c r="HM6" s="326"/>
      <c r="HN6" s="326"/>
      <c r="HO6" s="326"/>
    </row>
    <row r="7" spans="1:29" s="326" customFormat="1" ht="16.5" customHeight="1" thickBot="1">
      <c r="A7" s="1151"/>
      <c r="B7" s="1152"/>
      <c r="C7" s="1152"/>
      <c r="D7" s="496" t="s">
        <v>89</v>
      </c>
      <c r="E7" s="827" t="s">
        <v>85</v>
      </c>
      <c r="F7" s="329" t="s">
        <v>90</v>
      </c>
      <c r="G7" s="1205"/>
      <c r="H7" s="1206"/>
      <c r="I7" s="1206"/>
      <c r="J7" s="1206"/>
      <c r="K7" s="1207"/>
      <c r="L7" s="1139"/>
      <c r="M7" s="1140"/>
      <c r="N7" s="1140"/>
      <c r="O7" s="1140"/>
      <c r="P7" s="1140"/>
      <c r="Q7" s="1141"/>
      <c r="R7" s="1139"/>
      <c r="S7" s="1140"/>
      <c r="T7" s="1140"/>
      <c r="U7" s="1140"/>
      <c r="V7" s="1140"/>
      <c r="W7" s="1140"/>
      <c r="X7" s="328" t="s">
        <v>89</v>
      </c>
      <c r="Y7" s="496" t="s">
        <v>85</v>
      </c>
      <c r="Z7" s="814" t="s">
        <v>90</v>
      </c>
      <c r="AA7" s="328" t="s">
        <v>89</v>
      </c>
      <c r="AB7" s="496" t="s">
        <v>85</v>
      </c>
      <c r="AC7" s="329" t="s">
        <v>90</v>
      </c>
    </row>
    <row r="8" spans="1:29" s="344" customFormat="1" ht="26.25" customHeight="1">
      <c r="A8" s="330"/>
      <c r="B8" s="331"/>
      <c r="C8" s="332"/>
      <c r="D8" s="333"/>
      <c r="E8" s="331"/>
      <c r="F8" s="334"/>
      <c r="G8" s="1169" t="s">
        <v>527</v>
      </c>
      <c r="H8" s="1097"/>
      <c r="I8" s="1097"/>
      <c r="J8" s="531">
        <v>67592700</v>
      </c>
      <c r="K8" s="1068">
        <f>SUM(J8:J16)</f>
        <v>167436567</v>
      </c>
      <c r="L8" s="1209"/>
      <c r="M8" s="1117"/>
      <c r="N8" s="1117"/>
      <c r="O8" s="1117"/>
      <c r="P8" s="336"/>
      <c r="Q8" s="1221">
        <f>SUM(P8:P16)</f>
        <v>46052006</v>
      </c>
      <c r="R8" s="1066" t="s">
        <v>238</v>
      </c>
      <c r="S8" s="1067"/>
      <c r="T8" s="1067"/>
      <c r="U8" s="1067"/>
      <c r="V8" s="531">
        <v>254780000</v>
      </c>
      <c r="W8" s="1132">
        <f>SUM(V8:V16)</f>
        <v>305625533</v>
      </c>
      <c r="X8" s="338"/>
      <c r="Y8" s="339"/>
      <c r="Z8" s="340"/>
      <c r="AA8" s="341"/>
      <c r="AB8" s="342"/>
      <c r="AC8" s="343"/>
    </row>
    <row r="9" spans="1:29" s="344" customFormat="1" ht="27" customHeight="1">
      <c r="A9" s="330"/>
      <c r="B9" s="331"/>
      <c r="C9" s="333"/>
      <c r="D9" s="333"/>
      <c r="E9" s="331"/>
      <c r="F9" s="334"/>
      <c r="G9" s="1094" t="s">
        <v>638</v>
      </c>
      <c r="H9" s="1095"/>
      <c r="I9" s="1095"/>
      <c r="J9" s="531">
        <v>1778400</v>
      </c>
      <c r="K9" s="1069"/>
      <c r="L9" s="1087" t="s">
        <v>528</v>
      </c>
      <c r="M9" s="1088"/>
      <c r="N9" s="1088"/>
      <c r="O9" s="1088"/>
      <c r="P9" s="531">
        <v>1710029</v>
      </c>
      <c r="Q9" s="1222"/>
      <c r="R9" s="1066" t="s">
        <v>112</v>
      </c>
      <c r="S9" s="1067"/>
      <c r="T9" s="1067"/>
      <c r="U9" s="1067"/>
      <c r="V9" s="531">
        <f>9471380+540000</f>
        <v>10011380</v>
      </c>
      <c r="W9" s="1133"/>
      <c r="X9" s="345"/>
      <c r="Y9" s="339"/>
      <c r="Z9" s="346"/>
      <c r="AA9" s="330"/>
      <c r="AB9" s="347"/>
      <c r="AC9" s="348"/>
    </row>
    <row r="10" spans="1:29" s="344" customFormat="1" ht="24.75" customHeight="1">
      <c r="A10" s="349"/>
      <c r="B10" s="350"/>
      <c r="C10" s="351" t="s">
        <v>500</v>
      </c>
      <c r="D10" s="352">
        <f>SUM('6. kiadások megbontása'!D55)</f>
        <v>443667701</v>
      </c>
      <c r="E10" s="353">
        <f>SUM('6. kiadások megbontása'!E55)</f>
        <v>323573970</v>
      </c>
      <c r="F10" s="354">
        <f>SUM(D10:E10)</f>
        <v>767241671</v>
      </c>
      <c r="G10" s="1094" t="s">
        <v>769</v>
      </c>
      <c r="H10" s="1095"/>
      <c r="I10" s="1095"/>
      <c r="J10" s="531">
        <v>48302876</v>
      </c>
      <c r="K10" s="1069"/>
      <c r="L10" s="1087" t="s">
        <v>529</v>
      </c>
      <c r="M10" s="1088"/>
      <c r="N10" s="1088"/>
      <c r="O10" s="1088"/>
      <c r="P10" s="531">
        <v>21228000</v>
      </c>
      <c r="Q10" s="1222"/>
      <c r="R10" s="835" t="s">
        <v>832</v>
      </c>
      <c r="S10" s="842"/>
      <c r="T10" s="842"/>
      <c r="U10" s="842"/>
      <c r="V10" s="531">
        <v>60000</v>
      </c>
      <c r="W10" s="1133"/>
      <c r="X10" s="355"/>
      <c r="Y10" s="356"/>
      <c r="Z10" s="346"/>
      <c r="AA10" s="357"/>
      <c r="AB10" s="358"/>
      <c r="AC10" s="359"/>
    </row>
    <row r="11" spans="1:29" s="344" customFormat="1" ht="16.5" customHeight="1">
      <c r="A11" s="360"/>
      <c r="B11" s="361"/>
      <c r="C11" s="362"/>
      <c r="D11" s="362"/>
      <c r="E11" s="331"/>
      <c r="F11" s="334"/>
      <c r="G11" s="1159" t="s">
        <v>562</v>
      </c>
      <c r="H11" s="1159"/>
      <c r="I11" s="1159"/>
      <c r="J11" s="531">
        <v>49762591</v>
      </c>
      <c r="K11" s="1069"/>
      <c r="L11" s="835" t="s">
        <v>986</v>
      </c>
      <c r="M11" s="836"/>
      <c r="N11" s="836"/>
      <c r="O11" s="836"/>
      <c r="P11" s="531">
        <v>10633011</v>
      </c>
      <c r="Q11" s="1222"/>
      <c r="R11" s="835" t="s">
        <v>279</v>
      </c>
      <c r="S11" s="842"/>
      <c r="T11" s="842"/>
      <c r="U11" s="842"/>
      <c r="V11" s="531">
        <f>706000+123120+15000</f>
        <v>844120</v>
      </c>
      <c r="W11" s="1133"/>
      <c r="X11" s="355"/>
      <c r="Y11" s="356"/>
      <c r="Z11" s="346"/>
      <c r="AA11" s="357"/>
      <c r="AB11" s="358"/>
      <c r="AC11" s="359"/>
    </row>
    <row r="12" spans="1:29" s="344" customFormat="1" ht="18.75" customHeight="1">
      <c r="A12" s="360"/>
      <c r="B12" s="361"/>
      <c r="C12" s="362"/>
      <c r="D12" s="362"/>
      <c r="E12" s="331"/>
      <c r="F12" s="334"/>
      <c r="G12" s="1094"/>
      <c r="H12" s="1095"/>
      <c r="I12" s="1095"/>
      <c r="J12" s="335"/>
      <c r="K12" s="1069"/>
      <c r="L12" s="1066" t="s">
        <v>987</v>
      </c>
      <c r="M12" s="1067"/>
      <c r="N12" s="1067"/>
      <c r="O12" s="1067"/>
      <c r="P12" s="527">
        <v>12480966</v>
      </c>
      <c r="Q12" s="1222"/>
      <c r="R12" s="835" t="s">
        <v>766</v>
      </c>
      <c r="S12" s="842"/>
      <c r="T12" s="842"/>
      <c r="U12" s="842"/>
      <c r="V12" s="531">
        <f>2840247+537587+853440</f>
        <v>4231274</v>
      </c>
      <c r="W12" s="1133"/>
      <c r="X12" s="355"/>
      <c r="Y12" s="356"/>
      <c r="Z12" s="346"/>
      <c r="AA12" s="357"/>
      <c r="AB12" s="358"/>
      <c r="AC12" s="359"/>
    </row>
    <row r="13" spans="1:29" s="344" customFormat="1" ht="15.75" customHeight="1">
      <c r="A13" s="360"/>
      <c r="B13" s="361"/>
      <c r="C13" s="362"/>
      <c r="D13" s="362"/>
      <c r="E13" s="331"/>
      <c r="F13" s="334"/>
      <c r="G13" s="1159"/>
      <c r="H13" s="1159"/>
      <c r="I13" s="1159"/>
      <c r="J13" s="335"/>
      <c r="K13" s="1069"/>
      <c r="L13" s="1066"/>
      <c r="M13" s="1067"/>
      <c r="N13" s="1067"/>
      <c r="O13" s="1067"/>
      <c r="P13" s="527"/>
      <c r="Q13" s="1222"/>
      <c r="R13" s="835" t="s">
        <v>830</v>
      </c>
      <c r="S13" s="836"/>
      <c r="T13" s="836"/>
      <c r="U13" s="836"/>
      <c r="V13" s="793">
        <v>6592967</v>
      </c>
      <c r="W13" s="1133"/>
      <c r="X13" s="355"/>
      <c r="Y13" s="356"/>
      <c r="Z13" s="346"/>
      <c r="AA13" s="357"/>
      <c r="AB13" s="358"/>
      <c r="AC13" s="359"/>
    </row>
    <row r="14" spans="1:29" s="344" customFormat="1" ht="16.5" customHeight="1">
      <c r="A14" s="360"/>
      <c r="B14" s="361"/>
      <c r="C14" s="362"/>
      <c r="D14" s="362"/>
      <c r="E14" s="331"/>
      <c r="F14" s="363"/>
      <c r="G14" s="1159"/>
      <c r="H14" s="1159"/>
      <c r="I14" s="1159"/>
      <c r="J14" s="335"/>
      <c r="K14" s="1069"/>
      <c r="L14" s="1214"/>
      <c r="M14" s="1159"/>
      <c r="N14" s="1159"/>
      <c r="O14" s="1159"/>
      <c r="Q14" s="1222"/>
      <c r="R14" s="1066" t="s">
        <v>767</v>
      </c>
      <c r="S14" s="1067"/>
      <c r="T14" s="1067"/>
      <c r="U14" s="1067"/>
      <c r="V14" s="793">
        <v>500</v>
      </c>
      <c r="W14" s="1133"/>
      <c r="X14" s="365">
        <f>SUM(W8,Q8,K8)</f>
        <v>519114106</v>
      </c>
      <c r="Y14" s="366">
        <f>SUM(W17+Q17+K17)</f>
        <v>377462502</v>
      </c>
      <c r="Z14" s="367">
        <f>SUM(Y14,X14)</f>
        <v>896576608</v>
      </c>
      <c r="AA14" s="365">
        <f>X14-D10</f>
        <v>75446405</v>
      </c>
      <c r="AB14" s="366">
        <f>Y14-E10</f>
        <v>53888532</v>
      </c>
      <c r="AC14" s="368">
        <f>SUM(AA14:AB14)</f>
        <v>129334937</v>
      </c>
    </row>
    <row r="15" spans="1:29" s="326" customFormat="1" ht="17.25" customHeight="1">
      <c r="A15" s="369"/>
      <c r="B15" s="370"/>
      <c r="C15" s="371"/>
      <c r="D15" s="371"/>
      <c r="E15" s="372"/>
      <c r="F15" s="373"/>
      <c r="G15" s="1094"/>
      <c r="H15" s="1095"/>
      <c r="I15" s="1095"/>
      <c r="J15" s="335"/>
      <c r="K15" s="1069"/>
      <c r="L15" s="1214"/>
      <c r="M15" s="1159"/>
      <c r="N15" s="1159"/>
      <c r="O15" s="1159"/>
      <c r="P15" s="364"/>
      <c r="Q15" s="1222"/>
      <c r="R15" s="1066" t="s">
        <v>768</v>
      </c>
      <c r="S15" s="1067"/>
      <c r="T15" s="1067"/>
      <c r="U15" s="1067"/>
      <c r="V15" s="793">
        <v>29101707</v>
      </c>
      <c r="W15" s="1133"/>
      <c r="X15" s="355"/>
      <c r="Y15" s="356"/>
      <c r="Z15" s="346"/>
      <c r="AA15" s="357"/>
      <c r="AB15" s="358"/>
      <c r="AC15" s="359"/>
    </row>
    <row r="16" spans="1:29" s="326" customFormat="1" ht="16.5" customHeight="1" thickBot="1">
      <c r="A16" s="369"/>
      <c r="B16" s="370"/>
      <c r="C16" s="371"/>
      <c r="D16" s="371"/>
      <c r="E16" s="372"/>
      <c r="F16" s="373"/>
      <c r="G16" s="1094"/>
      <c r="H16" s="1095"/>
      <c r="I16" s="1095"/>
      <c r="J16" s="335"/>
      <c r="K16" s="1069"/>
      <c r="L16" s="1098"/>
      <c r="M16" s="1095"/>
      <c r="N16" s="1095"/>
      <c r="O16" s="1095"/>
      <c r="P16" s="335"/>
      <c r="Q16" s="1222"/>
      <c r="R16" s="1066" t="s">
        <v>836</v>
      </c>
      <c r="S16" s="1067"/>
      <c r="T16" s="1067"/>
      <c r="U16" s="1067"/>
      <c r="V16" s="793">
        <v>3585</v>
      </c>
      <c r="W16" s="1133"/>
      <c r="X16" s="355"/>
      <c r="Y16" s="356"/>
      <c r="Z16" s="346"/>
      <c r="AA16" s="357"/>
      <c r="AB16" s="358"/>
      <c r="AC16" s="359"/>
    </row>
    <row r="17" spans="1:29" s="326" customFormat="1" ht="65.25" customHeight="1">
      <c r="A17" s="369"/>
      <c r="B17" s="370"/>
      <c r="C17" s="371"/>
      <c r="D17" s="371"/>
      <c r="E17" s="372"/>
      <c r="F17" s="373"/>
      <c r="G17" s="377"/>
      <c r="H17" s="378"/>
      <c r="I17" s="378"/>
      <c r="J17" s="379"/>
      <c r="K17" s="1068"/>
      <c r="L17" s="1096" t="s">
        <v>989</v>
      </c>
      <c r="M17" s="1097"/>
      <c r="N17" s="1097"/>
      <c r="O17" s="1097"/>
      <c r="P17" s="790">
        <f>9999992</f>
        <v>9999992</v>
      </c>
      <c r="Q17" s="1089">
        <f>SUM(P17:P18)</f>
        <v>10289862</v>
      </c>
      <c r="R17" s="1217" t="s">
        <v>92</v>
      </c>
      <c r="S17" s="1218"/>
      <c r="T17" s="1218"/>
      <c r="U17" s="1218"/>
      <c r="V17" s="532">
        <v>78841508</v>
      </c>
      <c r="W17" s="1132">
        <f>SUM(V17:V18)</f>
        <v>367172640</v>
      </c>
      <c r="X17" s="355"/>
      <c r="Y17" s="356"/>
      <c r="Z17" s="346"/>
      <c r="AA17" s="357"/>
      <c r="AB17" s="358"/>
      <c r="AC17" s="359"/>
    </row>
    <row r="18" spans="1:29" s="326" customFormat="1" ht="18.75" customHeight="1" thickBot="1">
      <c r="A18" s="369"/>
      <c r="B18" s="370"/>
      <c r="C18" s="371"/>
      <c r="D18" s="371"/>
      <c r="E18" s="372"/>
      <c r="F18" s="373"/>
      <c r="G18" s="375"/>
      <c r="H18" s="376"/>
      <c r="I18" s="376"/>
      <c r="J18" s="381"/>
      <c r="K18" s="1069"/>
      <c r="L18" s="1214" t="s">
        <v>988</v>
      </c>
      <c r="M18" s="1159"/>
      <c r="N18" s="1159"/>
      <c r="O18" s="1159"/>
      <c r="P18" s="364">
        <v>289870</v>
      </c>
      <c r="Q18" s="1090"/>
      <c r="R18" s="1087" t="s">
        <v>763</v>
      </c>
      <c r="S18" s="1088"/>
      <c r="T18" s="1088"/>
      <c r="U18" s="1088"/>
      <c r="V18" s="529">
        <v>288331132</v>
      </c>
      <c r="W18" s="1133"/>
      <c r="X18" s="355"/>
      <c r="Y18" s="356"/>
      <c r="Z18" s="346"/>
      <c r="AA18" s="357"/>
      <c r="AB18" s="358"/>
      <c r="AC18" s="359"/>
    </row>
    <row r="19" spans="1:29" s="326" customFormat="1" ht="18" customHeight="1" thickTop="1">
      <c r="A19" s="535"/>
      <c r="B19" s="382"/>
      <c r="C19" s="383"/>
      <c r="D19" s="383"/>
      <c r="E19" s="384"/>
      <c r="F19" s="385"/>
      <c r="G19" s="1215"/>
      <c r="H19" s="1216"/>
      <c r="I19" s="1216"/>
      <c r="J19" s="536"/>
      <c r="K19" s="1210">
        <f>SUM(J19:J20)</f>
        <v>0</v>
      </c>
      <c r="L19" s="1187" t="s">
        <v>530</v>
      </c>
      <c r="M19" s="1188"/>
      <c r="N19" s="1188"/>
      <c r="O19" s="1188"/>
      <c r="P19" s="791"/>
      <c r="Q19" s="1210">
        <f>SUM(P19:P20)</f>
        <v>0</v>
      </c>
      <c r="R19" s="387"/>
      <c r="S19" s="388"/>
      <c r="T19" s="388"/>
      <c r="U19" s="388"/>
      <c r="V19" s="389"/>
      <c r="W19" s="390"/>
      <c r="X19" s="391"/>
      <c r="Y19" s="392"/>
      <c r="Z19" s="393"/>
      <c r="AA19" s="394"/>
      <c r="AB19" s="395"/>
      <c r="AC19" s="396"/>
    </row>
    <row r="20" spans="1:223" s="502" customFormat="1" ht="19.5" customHeight="1" thickBot="1">
      <c r="A20" s="817"/>
      <c r="B20" s="1190" t="s">
        <v>93</v>
      </c>
      <c r="C20" s="1191"/>
      <c r="D20" s="818">
        <f>SUM('6. kiadások megbontása'!J55)</f>
        <v>20056282</v>
      </c>
      <c r="E20" s="819">
        <f>SUM('6. kiadások megbontása'!K55)</f>
        <v>0</v>
      </c>
      <c r="F20" s="820">
        <f>SUM(D20:E20)</f>
        <v>20056282</v>
      </c>
      <c r="G20" s="1219"/>
      <c r="H20" s="1220"/>
      <c r="I20" s="1220"/>
      <c r="J20" s="821"/>
      <c r="K20" s="1211"/>
      <c r="L20" s="1212" t="s">
        <v>639</v>
      </c>
      <c r="M20" s="1213"/>
      <c r="N20" s="1213"/>
      <c r="O20" s="1213"/>
      <c r="P20" s="792"/>
      <c r="Q20" s="1211"/>
      <c r="R20" s="1212"/>
      <c r="S20" s="1213"/>
      <c r="T20" s="1213"/>
      <c r="U20" s="1213"/>
      <c r="V20" s="822"/>
      <c r="W20" s="823">
        <f>SUM(V20)</f>
        <v>0</v>
      </c>
      <c r="X20" s="824">
        <f>SUM(W20,Q19,K19)</f>
        <v>0</v>
      </c>
      <c r="Y20" s="825">
        <v>0</v>
      </c>
      <c r="Z20" s="826">
        <f>SUM(X20:Y20)</f>
        <v>0</v>
      </c>
      <c r="AA20" s="824">
        <f>X20-D20</f>
        <v>-20056282</v>
      </c>
      <c r="AB20" s="825">
        <f>Y20-E20</f>
        <v>0</v>
      </c>
      <c r="AC20" s="397">
        <f>SUM(AA20:AB20)</f>
        <v>-20056282</v>
      </c>
      <c r="AD20" s="522"/>
      <c r="AE20" s="522"/>
      <c r="AF20" s="522"/>
      <c r="AG20" s="522"/>
      <c r="AH20" s="522"/>
      <c r="AI20" s="522"/>
      <c r="AJ20" s="522"/>
      <c r="AK20" s="522"/>
      <c r="AL20" s="522"/>
      <c r="AM20" s="522"/>
      <c r="AN20" s="522"/>
      <c r="AO20" s="522"/>
      <c r="AP20" s="522"/>
      <c r="AQ20" s="522"/>
      <c r="AR20" s="522"/>
      <c r="AS20" s="522"/>
      <c r="AT20" s="522"/>
      <c r="AU20" s="522"/>
      <c r="AV20" s="522"/>
      <c r="AW20" s="522"/>
      <c r="AX20" s="522"/>
      <c r="AY20" s="522"/>
      <c r="AZ20" s="522"/>
      <c r="BA20" s="522"/>
      <c r="BB20" s="522"/>
      <c r="BC20" s="522"/>
      <c r="BD20" s="522"/>
      <c r="BE20" s="522"/>
      <c r="BF20" s="522"/>
      <c r="BG20" s="522"/>
      <c r="BH20" s="522"/>
      <c r="BI20" s="522"/>
      <c r="BJ20" s="522"/>
      <c r="BK20" s="522"/>
      <c r="BL20" s="522"/>
      <c r="BM20" s="522"/>
      <c r="BN20" s="522"/>
      <c r="BO20" s="522"/>
      <c r="BP20" s="522"/>
      <c r="BQ20" s="522"/>
      <c r="BR20" s="522"/>
      <c r="BS20" s="522"/>
      <c r="BT20" s="522"/>
      <c r="BU20" s="522"/>
      <c r="BV20" s="522"/>
      <c r="BW20" s="522"/>
      <c r="BX20" s="522"/>
      <c r="BY20" s="522"/>
      <c r="BZ20" s="522"/>
      <c r="CA20" s="522"/>
      <c r="CB20" s="522"/>
      <c r="CC20" s="522"/>
      <c r="CD20" s="522"/>
      <c r="CE20" s="522"/>
      <c r="CF20" s="522"/>
      <c r="CG20" s="522"/>
      <c r="CH20" s="522"/>
      <c r="CI20" s="522"/>
      <c r="CJ20" s="522"/>
      <c r="CK20" s="522"/>
      <c r="CL20" s="522"/>
      <c r="CM20" s="522"/>
      <c r="CN20" s="522"/>
      <c r="CO20" s="522"/>
      <c r="CP20" s="522"/>
      <c r="CQ20" s="522"/>
      <c r="CR20" s="522"/>
      <c r="CS20" s="522"/>
      <c r="CT20" s="522"/>
      <c r="CU20" s="522"/>
      <c r="CV20" s="522"/>
      <c r="CW20" s="522"/>
      <c r="CX20" s="522"/>
      <c r="CY20" s="522"/>
      <c r="CZ20" s="522"/>
      <c r="DA20" s="522"/>
      <c r="DB20" s="522"/>
      <c r="DC20" s="522"/>
      <c r="DD20" s="522"/>
      <c r="DE20" s="522"/>
      <c r="DF20" s="522"/>
      <c r="DG20" s="522"/>
      <c r="DH20" s="522"/>
      <c r="DI20" s="522"/>
      <c r="DJ20" s="522"/>
      <c r="DK20" s="522"/>
      <c r="DL20" s="522"/>
      <c r="DM20" s="522"/>
      <c r="DN20" s="522"/>
      <c r="DO20" s="522"/>
      <c r="DP20" s="522"/>
      <c r="DQ20" s="522"/>
      <c r="DR20" s="522"/>
      <c r="DS20" s="522"/>
      <c r="DT20" s="522"/>
      <c r="DU20" s="522"/>
      <c r="DV20" s="522"/>
      <c r="DW20" s="522"/>
      <c r="DX20" s="522"/>
      <c r="DY20" s="522"/>
      <c r="DZ20" s="522"/>
      <c r="EA20" s="522"/>
      <c r="EB20" s="522"/>
      <c r="EC20" s="522"/>
      <c r="ED20" s="522"/>
      <c r="EE20" s="522"/>
      <c r="EF20" s="522"/>
      <c r="EG20" s="522"/>
      <c r="EH20" s="522"/>
      <c r="EI20" s="522"/>
      <c r="EJ20" s="522"/>
      <c r="EK20" s="522"/>
      <c r="EL20" s="522"/>
      <c r="EM20" s="522"/>
      <c r="EN20" s="522"/>
      <c r="EO20" s="522"/>
      <c r="EP20" s="522"/>
      <c r="EQ20" s="522"/>
      <c r="ER20" s="522"/>
      <c r="ES20" s="522"/>
      <c r="ET20" s="522"/>
      <c r="EU20" s="522"/>
      <c r="EV20" s="522"/>
      <c r="EW20" s="522"/>
      <c r="EX20" s="522"/>
      <c r="EY20" s="522"/>
      <c r="EZ20" s="522"/>
      <c r="FA20" s="522"/>
      <c r="FB20" s="522"/>
      <c r="FC20" s="522"/>
      <c r="FD20" s="522"/>
      <c r="FE20" s="522"/>
      <c r="FF20" s="522"/>
      <c r="FG20" s="522"/>
      <c r="FH20" s="522"/>
      <c r="FI20" s="522"/>
      <c r="FJ20" s="522"/>
      <c r="FK20" s="522"/>
      <c r="FL20" s="522"/>
      <c r="FM20" s="522"/>
      <c r="FN20" s="522"/>
      <c r="FO20" s="522"/>
      <c r="FP20" s="522"/>
      <c r="FQ20" s="522"/>
      <c r="FR20" s="522"/>
      <c r="FS20" s="522"/>
      <c r="FT20" s="522"/>
      <c r="FU20" s="522"/>
      <c r="FV20" s="522"/>
      <c r="FW20" s="522"/>
      <c r="FX20" s="522"/>
      <c r="FY20" s="522"/>
      <c r="FZ20" s="522"/>
      <c r="GA20" s="522"/>
      <c r="GB20" s="522"/>
      <c r="GC20" s="522"/>
      <c r="GD20" s="522"/>
      <c r="GE20" s="522"/>
      <c r="GF20" s="522"/>
      <c r="GG20" s="522"/>
      <c r="GH20" s="522"/>
      <c r="GI20" s="522"/>
      <c r="GJ20" s="522"/>
      <c r="GK20" s="522"/>
      <c r="GL20" s="522"/>
      <c r="GM20" s="522"/>
      <c r="GN20" s="522"/>
      <c r="GO20" s="522"/>
      <c r="GP20" s="522"/>
      <c r="GQ20" s="522"/>
      <c r="GR20" s="522"/>
      <c r="GS20" s="522"/>
      <c r="GT20" s="522"/>
      <c r="GU20" s="522"/>
      <c r="GV20" s="522"/>
      <c r="GW20" s="522"/>
      <c r="GX20" s="522"/>
      <c r="GY20" s="522"/>
      <c r="GZ20" s="522"/>
      <c r="HA20" s="522"/>
      <c r="HB20" s="522"/>
      <c r="HC20" s="522"/>
      <c r="HD20" s="522"/>
      <c r="HE20" s="522"/>
      <c r="HF20" s="522"/>
      <c r="HG20" s="522"/>
      <c r="HH20" s="522"/>
      <c r="HI20" s="522"/>
      <c r="HJ20" s="522"/>
      <c r="HK20" s="522"/>
      <c r="HL20" s="522"/>
      <c r="HM20" s="522"/>
      <c r="HN20" s="522"/>
      <c r="HO20" s="522"/>
    </row>
    <row r="21" spans="1:29" ht="24.75" customHeight="1" thickTop="1">
      <c r="A21" s="418"/>
      <c r="B21" s="372"/>
      <c r="C21" s="399"/>
      <c r="D21" s="400"/>
      <c r="E21" s="400"/>
      <c r="F21" s="373"/>
      <c r="G21" s="375"/>
      <c r="H21" s="376"/>
      <c r="I21" s="376"/>
      <c r="J21" s="401"/>
      <c r="K21" s="1210">
        <f>SUM(J21:J24)</f>
        <v>0</v>
      </c>
      <c r="L21" s="1066" t="s">
        <v>111</v>
      </c>
      <c r="M21" s="1067"/>
      <c r="N21" s="1067"/>
      <c r="O21" s="1067"/>
      <c r="P21" s="335">
        <v>2000000</v>
      </c>
      <c r="Q21" s="1210">
        <f>SUM(P21:P24)</f>
        <v>54411853</v>
      </c>
      <c r="R21" s="1087" t="s">
        <v>764</v>
      </c>
      <c r="S21" s="1088"/>
      <c r="T21" s="1088"/>
      <c r="U21" s="1088"/>
      <c r="V21" s="529">
        <v>8000000</v>
      </c>
      <c r="W21" s="1201">
        <f>SUM(V21:V24)</f>
        <v>140006417</v>
      </c>
      <c r="X21" s="402"/>
      <c r="Y21" s="403"/>
      <c r="Z21" s="404"/>
      <c r="AA21" s="402"/>
      <c r="AB21" s="403"/>
      <c r="AC21" s="385"/>
    </row>
    <row r="22" spans="1:29" ht="24.75" customHeight="1">
      <c r="A22" s="418"/>
      <c r="B22" s="372"/>
      <c r="C22" s="399"/>
      <c r="D22" s="400"/>
      <c r="E22" s="372"/>
      <c r="F22" s="373"/>
      <c r="G22" s="375"/>
      <c r="H22" s="376"/>
      <c r="I22" s="376"/>
      <c r="J22" s="401"/>
      <c r="K22" s="1069"/>
      <c r="L22" s="1098" t="s">
        <v>831</v>
      </c>
      <c r="M22" s="1095"/>
      <c r="N22" s="1095"/>
      <c r="O22" s="1095"/>
      <c r="P22" s="335">
        <v>52411853</v>
      </c>
      <c r="Q22" s="1069"/>
      <c r="R22" s="1087" t="s">
        <v>766</v>
      </c>
      <c r="S22" s="1088"/>
      <c r="T22" s="1088"/>
      <c r="U22" s="1088"/>
      <c r="V22" s="529">
        <v>117194</v>
      </c>
      <c r="W22" s="1090"/>
      <c r="X22" s="867"/>
      <c r="Y22" s="400"/>
      <c r="Z22" s="372"/>
      <c r="AA22" s="418"/>
      <c r="AB22" s="400"/>
      <c r="AC22" s="373"/>
    </row>
    <row r="23" spans="1:29" ht="24.75" customHeight="1">
      <c r="A23" s="418"/>
      <c r="B23" s="372"/>
      <c r="C23" s="399"/>
      <c r="D23" s="400"/>
      <c r="E23" s="372"/>
      <c r="F23" s="373"/>
      <c r="G23" s="375"/>
      <c r="H23" s="376"/>
      <c r="I23" s="376"/>
      <c r="J23" s="401"/>
      <c r="K23" s="1069"/>
      <c r="L23" s="503"/>
      <c r="M23" s="662"/>
      <c r="N23" s="662"/>
      <c r="O23" s="662"/>
      <c r="P23" s="335"/>
      <c r="Q23" s="1069"/>
      <c r="R23" s="1066" t="s">
        <v>768</v>
      </c>
      <c r="S23" s="1067"/>
      <c r="T23" s="1067"/>
      <c r="U23" s="1067"/>
      <c r="V23" s="529">
        <f>130189368-4015200+55</f>
        <v>126174223</v>
      </c>
      <c r="W23" s="1090"/>
      <c r="X23" s="867"/>
      <c r="Y23" s="400"/>
      <c r="Z23" s="372"/>
      <c r="AA23" s="418"/>
      <c r="AB23" s="400"/>
      <c r="AC23" s="373"/>
    </row>
    <row r="24" spans="1:29" ht="25.5" customHeight="1" thickBot="1">
      <c r="A24" s="1108" t="s">
        <v>501</v>
      </c>
      <c r="B24" s="1109"/>
      <c r="C24" s="1110"/>
      <c r="D24" s="405">
        <f>SUM('6. kiadások megbontása'!G55)</f>
        <v>229595043</v>
      </c>
      <c r="E24" s="353">
        <f>SUM('6. kiadások megbontása'!H55)</f>
        <v>903004574</v>
      </c>
      <c r="F24" s="354">
        <f>SUM(D24:E24)</f>
        <v>1132599617</v>
      </c>
      <c r="G24" s="406"/>
      <c r="H24" s="337"/>
      <c r="I24" s="337"/>
      <c r="J24" s="364"/>
      <c r="K24" s="1093"/>
      <c r="L24" s="1098"/>
      <c r="M24" s="1095"/>
      <c r="N24" s="1095"/>
      <c r="O24" s="1095"/>
      <c r="P24" s="335"/>
      <c r="Q24" s="1093"/>
      <c r="R24" s="1130" t="s">
        <v>765</v>
      </c>
      <c r="S24" s="1131"/>
      <c r="T24" s="1131"/>
      <c r="U24" s="1131"/>
      <c r="V24" s="528">
        <v>5715000</v>
      </c>
      <c r="W24" s="1202"/>
      <c r="X24" s="407">
        <f>SUM(W21,Q21,K21)</f>
        <v>194418270</v>
      </c>
      <c r="Y24" s="366">
        <f>SUM(Q25,W25,K25)</f>
        <v>891406751</v>
      </c>
      <c r="Z24" s="367">
        <f>SUM(X24:Y24)</f>
        <v>1085825021</v>
      </c>
      <c r="AA24" s="365">
        <f>X24-D24</f>
        <v>-35176773</v>
      </c>
      <c r="AB24" s="366">
        <f>Y24-E24</f>
        <v>-11597823</v>
      </c>
      <c r="AC24" s="368">
        <f>SUM(AA24:AB24)</f>
        <v>-46774596</v>
      </c>
    </row>
    <row r="25" spans="1:29" ht="29.25" customHeight="1">
      <c r="A25" s="349"/>
      <c r="B25" s="350"/>
      <c r="C25" s="351"/>
      <c r="D25" s="405"/>
      <c r="E25" s="353"/>
      <c r="F25" s="354"/>
      <c r="G25" s="663"/>
      <c r="H25" s="664"/>
      <c r="I25" s="664"/>
      <c r="J25" s="380"/>
      <c r="K25" s="1068">
        <f>SUM(J25)</f>
        <v>0</v>
      </c>
      <c r="L25" s="1096" t="s">
        <v>990</v>
      </c>
      <c r="M25" s="1097"/>
      <c r="N25" s="1097"/>
      <c r="O25" s="1097"/>
      <c r="P25" s="790">
        <v>4990349</v>
      </c>
      <c r="Q25" s="1068">
        <f>SUM(P25:P26)</f>
        <v>14880309</v>
      </c>
      <c r="R25" s="1087" t="s">
        <v>763</v>
      </c>
      <c r="S25" s="1088"/>
      <c r="T25" s="1088"/>
      <c r="U25" s="1088"/>
      <c r="V25" s="530">
        <f>876526497-55</f>
        <v>876526442</v>
      </c>
      <c r="W25" s="1199">
        <f>SUM(V25:V26)</f>
        <v>876526442</v>
      </c>
      <c r="X25" s="408"/>
      <c r="Y25" s="366"/>
      <c r="Z25" s="367"/>
      <c r="AA25" s="365"/>
      <c r="AB25" s="366"/>
      <c r="AC25" s="368"/>
    </row>
    <row r="26" spans="1:29" ht="25.5" customHeight="1" thickBot="1">
      <c r="A26" s="349"/>
      <c r="B26" s="350"/>
      <c r="C26" s="351"/>
      <c r="D26" s="405"/>
      <c r="E26" s="353"/>
      <c r="F26" s="354"/>
      <c r="G26" s="406"/>
      <c r="H26" s="337"/>
      <c r="I26" s="337"/>
      <c r="J26" s="364"/>
      <c r="K26" s="1069"/>
      <c r="L26" s="1130" t="s">
        <v>829</v>
      </c>
      <c r="M26" s="1131"/>
      <c r="N26" s="1131"/>
      <c r="O26" s="1131"/>
      <c r="P26" s="717">
        <v>9889960</v>
      </c>
      <c r="Q26" s="1069"/>
      <c r="R26" s="503"/>
      <c r="S26" s="662"/>
      <c r="T26" s="662"/>
      <c r="U26" s="662"/>
      <c r="V26" s="529"/>
      <c r="W26" s="1200"/>
      <c r="X26" s="408"/>
      <c r="Y26" s="366"/>
      <c r="Z26" s="367"/>
      <c r="AA26" s="365"/>
      <c r="AB26" s="366"/>
      <c r="AC26" s="368"/>
    </row>
    <row r="27" spans="1:223" s="502" customFormat="1" ht="25.5" customHeight="1" thickBot="1">
      <c r="A27" s="1192" t="s">
        <v>94</v>
      </c>
      <c r="B27" s="1193"/>
      <c r="C27" s="1194"/>
      <c r="D27" s="795">
        <f>SUM(D9:D26)</f>
        <v>693319026</v>
      </c>
      <c r="E27" s="796">
        <f>SUM(E8:E26)</f>
        <v>1226578544</v>
      </c>
      <c r="F27" s="797">
        <f>SUM(F8:F26)</f>
        <v>1919897570</v>
      </c>
      <c r="G27" s="517"/>
      <c r="H27" s="1073" t="s">
        <v>95</v>
      </c>
      <c r="I27" s="1074"/>
      <c r="J27" s="1075"/>
      <c r="K27" s="829">
        <f>SUM(K8:K26)</f>
        <v>167436567</v>
      </c>
      <c r="L27" s="515"/>
      <c r="M27" s="1076" t="s">
        <v>96</v>
      </c>
      <c r="N27" s="1076"/>
      <c r="O27" s="1076"/>
      <c r="P27" s="1077"/>
      <c r="Q27" s="829">
        <f>SUM(Q8:Q26)</f>
        <v>125634030</v>
      </c>
      <c r="R27" s="515"/>
      <c r="S27" s="1076" t="s">
        <v>97</v>
      </c>
      <c r="T27" s="1076"/>
      <c r="U27" s="1076"/>
      <c r="V27" s="1077"/>
      <c r="W27" s="829">
        <f>SUM(W8:W26)</f>
        <v>1689331032</v>
      </c>
      <c r="X27" s="830">
        <f>SUM(X8:X26)</f>
        <v>713532376</v>
      </c>
      <c r="Y27" s="802">
        <f>SUM(Y8:Y26)</f>
        <v>1268869253</v>
      </c>
      <c r="Z27" s="803">
        <f>SUM(X27:Y27)</f>
        <v>1982401629</v>
      </c>
      <c r="AA27" s="804">
        <f>SUM(AA11:AA26)</f>
        <v>20213350</v>
      </c>
      <c r="AB27" s="805">
        <f>SUM(AB10:AB26)</f>
        <v>42290709</v>
      </c>
      <c r="AC27" s="831">
        <f>SUM(AA27:AB27)</f>
        <v>62504059</v>
      </c>
      <c r="AD27" s="522"/>
      <c r="AE27" s="522"/>
      <c r="AF27" s="522"/>
      <c r="AG27" s="522"/>
      <c r="AH27" s="522"/>
      <c r="AI27" s="522"/>
      <c r="AJ27" s="522"/>
      <c r="AK27" s="522"/>
      <c r="AL27" s="522"/>
      <c r="AM27" s="522"/>
      <c r="AN27" s="522"/>
      <c r="AO27" s="522"/>
      <c r="AP27" s="522"/>
      <c r="AQ27" s="522"/>
      <c r="AR27" s="522"/>
      <c r="AS27" s="522"/>
      <c r="AT27" s="522"/>
      <c r="AU27" s="522"/>
      <c r="AV27" s="522"/>
      <c r="AW27" s="522"/>
      <c r="AX27" s="522"/>
      <c r="AY27" s="522"/>
      <c r="AZ27" s="522"/>
      <c r="BA27" s="522"/>
      <c r="BB27" s="522"/>
      <c r="BC27" s="522"/>
      <c r="BD27" s="522"/>
      <c r="BE27" s="522"/>
      <c r="BF27" s="522"/>
      <c r="BG27" s="522"/>
      <c r="BH27" s="522"/>
      <c r="BI27" s="522"/>
      <c r="BJ27" s="522"/>
      <c r="BK27" s="522"/>
      <c r="BL27" s="522"/>
      <c r="BM27" s="522"/>
      <c r="BN27" s="522"/>
      <c r="BO27" s="522"/>
      <c r="BP27" s="522"/>
      <c r="BQ27" s="522"/>
      <c r="BR27" s="522"/>
      <c r="BS27" s="522"/>
      <c r="BT27" s="522"/>
      <c r="BU27" s="522"/>
      <c r="BV27" s="522"/>
      <c r="BW27" s="522"/>
      <c r="BX27" s="522"/>
      <c r="BY27" s="522"/>
      <c r="BZ27" s="522"/>
      <c r="CA27" s="522"/>
      <c r="CB27" s="522"/>
      <c r="CC27" s="522"/>
      <c r="CD27" s="522"/>
      <c r="CE27" s="522"/>
      <c r="CF27" s="522"/>
      <c r="CG27" s="522"/>
      <c r="CH27" s="522"/>
      <c r="CI27" s="522"/>
      <c r="CJ27" s="522"/>
      <c r="CK27" s="522"/>
      <c r="CL27" s="522"/>
      <c r="CM27" s="522"/>
      <c r="CN27" s="522"/>
      <c r="CO27" s="522"/>
      <c r="CP27" s="522"/>
      <c r="CQ27" s="522"/>
      <c r="CR27" s="522"/>
      <c r="CS27" s="522"/>
      <c r="CT27" s="522"/>
      <c r="CU27" s="522"/>
      <c r="CV27" s="522"/>
      <c r="CW27" s="522"/>
      <c r="CX27" s="522"/>
      <c r="CY27" s="522"/>
      <c r="CZ27" s="522"/>
      <c r="DA27" s="522"/>
      <c r="DB27" s="522"/>
      <c r="DC27" s="522"/>
      <c r="DD27" s="522"/>
      <c r="DE27" s="522"/>
      <c r="DF27" s="522"/>
      <c r="DG27" s="522"/>
      <c r="DH27" s="522"/>
      <c r="DI27" s="522"/>
      <c r="DJ27" s="522"/>
      <c r="DK27" s="522"/>
      <c r="DL27" s="522"/>
      <c r="DM27" s="522"/>
      <c r="DN27" s="522"/>
      <c r="DO27" s="522"/>
      <c r="DP27" s="522"/>
      <c r="DQ27" s="522"/>
      <c r="DR27" s="522"/>
      <c r="DS27" s="522"/>
      <c r="DT27" s="522"/>
      <c r="DU27" s="522"/>
      <c r="DV27" s="522"/>
      <c r="DW27" s="522"/>
      <c r="DX27" s="522"/>
      <c r="DY27" s="522"/>
      <c r="DZ27" s="522"/>
      <c r="EA27" s="522"/>
      <c r="EB27" s="522"/>
      <c r="EC27" s="522"/>
      <c r="ED27" s="522"/>
      <c r="EE27" s="522"/>
      <c r="EF27" s="522"/>
      <c r="EG27" s="522"/>
      <c r="EH27" s="522"/>
      <c r="EI27" s="522"/>
      <c r="EJ27" s="522"/>
      <c r="EK27" s="522"/>
      <c r="EL27" s="522"/>
      <c r="EM27" s="522"/>
      <c r="EN27" s="522"/>
      <c r="EO27" s="522"/>
      <c r="EP27" s="522"/>
      <c r="EQ27" s="522"/>
      <c r="ER27" s="522"/>
      <c r="ES27" s="522"/>
      <c r="ET27" s="522"/>
      <c r="EU27" s="522"/>
      <c r="EV27" s="522"/>
      <c r="EW27" s="522"/>
      <c r="EX27" s="522"/>
      <c r="EY27" s="522"/>
      <c r="EZ27" s="522"/>
      <c r="FA27" s="522"/>
      <c r="FB27" s="522"/>
      <c r="FC27" s="522"/>
      <c r="FD27" s="522"/>
      <c r="FE27" s="522"/>
      <c r="FF27" s="522"/>
      <c r="FG27" s="522"/>
      <c r="FH27" s="522"/>
      <c r="FI27" s="522"/>
      <c r="FJ27" s="522"/>
      <c r="FK27" s="522"/>
      <c r="FL27" s="522"/>
      <c r="FM27" s="522"/>
      <c r="FN27" s="522"/>
      <c r="FO27" s="522"/>
      <c r="FP27" s="522"/>
      <c r="FQ27" s="522"/>
      <c r="FR27" s="522"/>
      <c r="FS27" s="522"/>
      <c r="FT27" s="522"/>
      <c r="FU27" s="522"/>
      <c r="FV27" s="522"/>
      <c r="FW27" s="522"/>
      <c r="FX27" s="522"/>
      <c r="FY27" s="522"/>
      <c r="FZ27" s="522"/>
      <c r="GA27" s="522"/>
      <c r="GB27" s="522"/>
      <c r="GC27" s="522"/>
      <c r="GD27" s="522"/>
      <c r="GE27" s="522"/>
      <c r="GF27" s="522"/>
      <c r="GG27" s="522"/>
      <c r="GH27" s="522"/>
      <c r="GI27" s="522"/>
      <c r="GJ27" s="522"/>
      <c r="GK27" s="522"/>
      <c r="GL27" s="522"/>
      <c r="GM27" s="522"/>
      <c r="GN27" s="522"/>
      <c r="GO27" s="522"/>
      <c r="GP27" s="522"/>
      <c r="GQ27" s="522"/>
      <c r="GR27" s="522"/>
      <c r="GS27" s="522"/>
      <c r="GT27" s="522"/>
      <c r="GU27" s="522"/>
      <c r="GV27" s="522"/>
      <c r="GW27" s="522"/>
      <c r="GX27" s="522"/>
      <c r="GY27" s="522"/>
      <c r="GZ27" s="522"/>
      <c r="HA27" s="522"/>
      <c r="HB27" s="522"/>
      <c r="HC27" s="522"/>
      <c r="HD27" s="522"/>
      <c r="HE27" s="522"/>
      <c r="HF27" s="522"/>
      <c r="HG27" s="522"/>
      <c r="HH27" s="522"/>
      <c r="HI27" s="522"/>
      <c r="HJ27" s="522"/>
      <c r="HK27" s="522"/>
      <c r="HL27" s="522"/>
      <c r="HM27" s="522"/>
      <c r="HN27" s="522"/>
      <c r="HO27" s="522"/>
    </row>
    <row r="28" spans="1:29" ht="27.75" customHeight="1" thickBot="1" thickTop="1">
      <c r="A28" s="1078" t="s">
        <v>98</v>
      </c>
      <c r="B28" s="1079"/>
      <c r="C28" s="1080"/>
      <c r="D28" s="1118" t="s">
        <v>370</v>
      </c>
      <c r="E28" s="1103"/>
      <c r="F28" s="1119"/>
      <c r="G28" s="1120" t="s">
        <v>523</v>
      </c>
      <c r="H28" s="1103"/>
      <c r="I28" s="1103"/>
      <c r="J28" s="1103"/>
      <c r="K28" s="1104"/>
      <c r="L28" s="1102" t="s">
        <v>524</v>
      </c>
      <c r="M28" s="1103"/>
      <c r="N28" s="1103"/>
      <c r="O28" s="1103"/>
      <c r="P28" s="1103"/>
      <c r="Q28" s="1104"/>
      <c r="R28" s="1102" t="s">
        <v>525</v>
      </c>
      <c r="S28" s="1103"/>
      <c r="T28" s="1103"/>
      <c r="U28" s="1103"/>
      <c r="V28" s="1103"/>
      <c r="W28" s="1119"/>
      <c r="X28" s="1172" t="s">
        <v>526</v>
      </c>
      <c r="Y28" s="1173"/>
      <c r="Z28" s="1173"/>
      <c r="AA28" s="1084" t="s">
        <v>88</v>
      </c>
      <c r="AB28" s="1085"/>
      <c r="AC28" s="1086"/>
    </row>
    <row r="29" spans="1:223" s="414" customFormat="1" ht="18.75" customHeight="1" thickBot="1" thickTop="1">
      <c r="A29" s="1081"/>
      <c r="B29" s="1082"/>
      <c r="C29" s="1083"/>
      <c r="D29" s="498" t="s">
        <v>89</v>
      </c>
      <c r="E29" s="828" t="s">
        <v>85</v>
      </c>
      <c r="F29" s="329" t="s">
        <v>90</v>
      </c>
      <c r="G29" s="1162"/>
      <c r="H29" s="1106"/>
      <c r="I29" s="1106"/>
      <c r="J29" s="1163"/>
      <c r="K29" s="1107"/>
      <c r="L29" s="1105"/>
      <c r="M29" s="1106"/>
      <c r="N29" s="1106"/>
      <c r="O29" s="1106"/>
      <c r="P29" s="1106"/>
      <c r="Q29" s="1107"/>
      <c r="R29" s="1105"/>
      <c r="S29" s="1106"/>
      <c r="T29" s="1106"/>
      <c r="U29" s="1106"/>
      <c r="V29" s="1106"/>
      <c r="W29" s="1189"/>
      <c r="X29" s="813" t="s">
        <v>89</v>
      </c>
      <c r="Y29" s="816" t="s">
        <v>85</v>
      </c>
      <c r="Z29" s="329" t="s">
        <v>90</v>
      </c>
      <c r="AA29" s="807" t="s">
        <v>89</v>
      </c>
      <c r="AB29" s="498" t="s">
        <v>85</v>
      </c>
      <c r="AC29" s="329" t="s">
        <v>90</v>
      </c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26"/>
      <c r="BO29" s="326"/>
      <c r="BP29" s="326"/>
      <c r="BQ29" s="326"/>
      <c r="BR29" s="326"/>
      <c r="BS29" s="326"/>
      <c r="BT29" s="326"/>
      <c r="BU29" s="326"/>
      <c r="BV29" s="326"/>
      <c r="BW29" s="326"/>
      <c r="BX29" s="326"/>
      <c r="BY29" s="326"/>
      <c r="BZ29" s="326"/>
      <c r="CA29" s="326"/>
      <c r="CB29" s="326"/>
      <c r="CC29" s="326"/>
      <c r="CD29" s="326"/>
      <c r="CE29" s="326"/>
      <c r="CF29" s="326"/>
      <c r="CG29" s="326"/>
      <c r="CH29" s="326"/>
      <c r="CI29" s="326"/>
      <c r="CJ29" s="326"/>
      <c r="CK29" s="326"/>
      <c r="CL29" s="326"/>
      <c r="CM29" s="326"/>
      <c r="CN29" s="326"/>
      <c r="CO29" s="326"/>
      <c r="CP29" s="326"/>
      <c r="CQ29" s="326"/>
      <c r="CR29" s="326"/>
      <c r="CS29" s="326"/>
      <c r="CT29" s="326"/>
      <c r="CU29" s="326"/>
      <c r="CV29" s="326"/>
      <c r="CW29" s="326"/>
      <c r="CX29" s="326"/>
      <c r="CY29" s="326"/>
      <c r="CZ29" s="326"/>
      <c r="DA29" s="326"/>
      <c r="DB29" s="326"/>
      <c r="DC29" s="326"/>
      <c r="DD29" s="326"/>
      <c r="DE29" s="326"/>
      <c r="DF29" s="326"/>
      <c r="DG29" s="326"/>
      <c r="DH29" s="326"/>
      <c r="DI29" s="326"/>
      <c r="DJ29" s="326"/>
      <c r="DK29" s="326"/>
      <c r="DL29" s="326"/>
      <c r="DM29" s="326"/>
      <c r="DN29" s="326"/>
      <c r="DO29" s="326"/>
      <c r="DP29" s="326"/>
      <c r="DQ29" s="326"/>
      <c r="DR29" s="326"/>
      <c r="DS29" s="326"/>
      <c r="DT29" s="326"/>
      <c r="DU29" s="326"/>
      <c r="DV29" s="326"/>
      <c r="DW29" s="326"/>
      <c r="DX29" s="326"/>
      <c r="DY29" s="326"/>
      <c r="DZ29" s="326"/>
      <c r="EA29" s="326"/>
      <c r="EB29" s="326"/>
      <c r="EC29" s="326"/>
      <c r="ED29" s="326"/>
      <c r="EE29" s="326"/>
      <c r="EF29" s="326"/>
      <c r="EG29" s="326"/>
      <c r="EH29" s="326"/>
      <c r="EI29" s="326"/>
      <c r="EJ29" s="326"/>
      <c r="EK29" s="326"/>
      <c r="EL29" s="326"/>
      <c r="EM29" s="326"/>
      <c r="EN29" s="326"/>
      <c r="EO29" s="326"/>
      <c r="EP29" s="326"/>
      <c r="EQ29" s="326"/>
      <c r="ER29" s="326"/>
      <c r="ES29" s="326"/>
      <c r="ET29" s="326"/>
      <c r="EU29" s="326"/>
      <c r="EV29" s="326"/>
      <c r="EW29" s="326"/>
      <c r="EX29" s="326"/>
      <c r="EY29" s="326"/>
      <c r="EZ29" s="326"/>
      <c r="FA29" s="326"/>
      <c r="FB29" s="326"/>
      <c r="FC29" s="326"/>
      <c r="FD29" s="326"/>
      <c r="FE29" s="326"/>
      <c r="FF29" s="326"/>
      <c r="FG29" s="326"/>
      <c r="FH29" s="326"/>
      <c r="FI29" s="326"/>
      <c r="FJ29" s="326"/>
      <c r="FK29" s="326"/>
      <c r="FL29" s="326"/>
      <c r="FM29" s="326"/>
      <c r="FN29" s="326"/>
      <c r="FO29" s="326"/>
      <c r="FP29" s="326"/>
      <c r="FQ29" s="326"/>
      <c r="FR29" s="326"/>
      <c r="FS29" s="326"/>
      <c r="FT29" s="326"/>
      <c r="FU29" s="326"/>
      <c r="FV29" s="326"/>
      <c r="FW29" s="326"/>
      <c r="FX29" s="326"/>
      <c r="FY29" s="326"/>
      <c r="FZ29" s="326"/>
      <c r="GA29" s="326"/>
      <c r="GB29" s="326"/>
      <c r="GC29" s="326"/>
      <c r="GD29" s="326"/>
      <c r="GE29" s="326"/>
      <c r="GF29" s="326"/>
      <c r="GG29" s="326"/>
      <c r="GH29" s="326"/>
      <c r="GI29" s="326"/>
      <c r="GJ29" s="326"/>
      <c r="GK29" s="326"/>
      <c r="GL29" s="326"/>
      <c r="GM29" s="326"/>
      <c r="GN29" s="326"/>
      <c r="GO29" s="326"/>
      <c r="GP29" s="326"/>
      <c r="GQ29" s="326"/>
      <c r="GR29" s="326"/>
      <c r="GS29" s="326"/>
      <c r="GT29" s="326"/>
      <c r="GU29" s="326"/>
      <c r="GV29" s="326"/>
      <c r="GW29" s="326"/>
      <c r="GX29" s="326"/>
      <c r="GY29" s="326"/>
      <c r="GZ29" s="326"/>
      <c r="HA29" s="326"/>
      <c r="HB29" s="326"/>
      <c r="HC29" s="326"/>
      <c r="HD29" s="326"/>
      <c r="HE29" s="326"/>
      <c r="HF29" s="326"/>
      <c r="HG29" s="326"/>
      <c r="HH29" s="326"/>
      <c r="HI29" s="326"/>
      <c r="HJ29" s="326"/>
      <c r="HK29" s="326"/>
      <c r="HL29" s="326"/>
      <c r="HM29" s="326"/>
      <c r="HN29" s="326"/>
      <c r="HO29" s="326"/>
    </row>
    <row r="30" spans="1:29" ht="12.75" customHeight="1">
      <c r="A30" s="330"/>
      <c r="B30" s="372"/>
      <c r="C30" s="372"/>
      <c r="D30" s="400"/>
      <c r="E30" s="372"/>
      <c r="F30" s="334"/>
      <c r="G30" s="1181" t="s">
        <v>481</v>
      </c>
      <c r="H30" s="1182"/>
      <c r="I30" s="1182"/>
      <c r="J30" s="1185">
        <v>119812800</v>
      </c>
      <c r="K30" s="1180">
        <f>SUM(J30:J34)</f>
        <v>119812800</v>
      </c>
      <c r="L30" s="1061"/>
      <c r="M30" s="1062"/>
      <c r="N30" s="1062"/>
      <c r="O30" s="1062"/>
      <c r="P30" s="1099"/>
      <c r="Q30" s="1068">
        <f>SUM(P30:P34)</f>
        <v>7430000</v>
      </c>
      <c r="R30" s="1217" t="s">
        <v>859</v>
      </c>
      <c r="S30" s="1218"/>
      <c r="T30" s="1218"/>
      <c r="U30" s="1218"/>
      <c r="V30" s="1099">
        <v>250000</v>
      </c>
      <c r="W30" s="1132">
        <f>SUM(V30:V34)</f>
        <v>17547028</v>
      </c>
      <c r="X30" s="415"/>
      <c r="Y30" s="416"/>
      <c r="Z30" s="417"/>
      <c r="AA30" s="330"/>
      <c r="AB30" s="347"/>
      <c r="AC30" s="348"/>
    </row>
    <row r="31" spans="1:29" ht="12.75" customHeight="1">
      <c r="A31" s="418"/>
      <c r="B31" s="370"/>
      <c r="C31" s="370"/>
      <c r="D31" s="419"/>
      <c r="E31" s="372"/>
      <c r="F31" s="373"/>
      <c r="G31" s="1183"/>
      <c r="H31" s="1184"/>
      <c r="I31" s="1184"/>
      <c r="J31" s="1186"/>
      <c r="K31" s="1069"/>
      <c r="L31" s="1087"/>
      <c r="M31" s="1088"/>
      <c r="N31" s="1088"/>
      <c r="O31" s="1088"/>
      <c r="P31" s="1100"/>
      <c r="Q31" s="1069"/>
      <c r="R31" s="1066"/>
      <c r="S31" s="1067"/>
      <c r="T31" s="1067"/>
      <c r="U31" s="1067"/>
      <c r="V31" s="1100"/>
      <c r="W31" s="1133"/>
      <c r="X31" s="420"/>
      <c r="Y31" s="356"/>
      <c r="Z31" s="346"/>
      <c r="AA31" s="357"/>
      <c r="AB31" s="358"/>
      <c r="AC31" s="359"/>
    </row>
    <row r="32" spans="1:29" ht="24.75" customHeight="1">
      <c r="A32" s="418"/>
      <c r="B32" s="1109" t="s">
        <v>500</v>
      </c>
      <c r="C32" s="1110"/>
      <c r="D32" s="405">
        <f>SUM('6. kiadások megbontása'!D59)</f>
        <v>153000594</v>
      </c>
      <c r="E32" s="353">
        <f>SUM('6. kiadások megbontása'!E59)</f>
        <v>1016000</v>
      </c>
      <c r="F32" s="354">
        <f>SUM(D32:E32)</f>
        <v>154016594</v>
      </c>
      <c r="G32" s="337"/>
      <c r="H32" s="337"/>
      <c r="I32" s="337"/>
      <c r="J32" s="508"/>
      <c r="K32" s="1069"/>
      <c r="L32" s="1087" t="s">
        <v>762</v>
      </c>
      <c r="M32" s="1088"/>
      <c r="N32" s="1088"/>
      <c r="O32" s="1088"/>
      <c r="P32" s="527">
        <v>7430000</v>
      </c>
      <c r="Q32" s="1069"/>
      <c r="R32" s="1066" t="s">
        <v>531</v>
      </c>
      <c r="S32" s="1067"/>
      <c r="T32" s="1067"/>
      <c r="U32" s="1067"/>
      <c r="V32" s="525">
        <v>6799209</v>
      </c>
      <c r="W32" s="1133"/>
      <c r="X32" s="420">
        <f>SUM(W30,Q30,K30)</f>
        <v>144789828</v>
      </c>
      <c r="Y32" s="356">
        <v>0</v>
      </c>
      <c r="Z32" s="367">
        <f>SUM(Y32,X32)</f>
        <v>144789828</v>
      </c>
      <c r="AA32" s="365">
        <f>X32-D32</f>
        <v>-8210766</v>
      </c>
      <c r="AB32" s="366">
        <f>Y32-E32</f>
        <v>-1016000</v>
      </c>
      <c r="AC32" s="359">
        <f>SUM(AA32:AB32)</f>
        <v>-9226766</v>
      </c>
    </row>
    <row r="33" spans="1:29" ht="24.75" customHeight="1">
      <c r="A33" s="418"/>
      <c r="B33" s="350"/>
      <c r="C33" s="350"/>
      <c r="D33" s="405"/>
      <c r="E33" s="353"/>
      <c r="F33" s="354"/>
      <c r="G33" s="337"/>
      <c r="H33" s="337"/>
      <c r="I33" s="337"/>
      <c r="J33" s="939"/>
      <c r="K33" s="1069"/>
      <c r="L33" s="938"/>
      <c r="M33" s="842"/>
      <c r="N33" s="842"/>
      <c r="O33" s="842"/>
      <c r="P33" s="527"/>
      <c r="Q33" s="1069"/>
      <c r="R33" s="1066" t="s">
        <v>1062</v>
      </c>
      <c r="S33" s="1067"/>
      <c r="T33" s="1067"/>
      <c r="U33" s="1067"/>
      <c r="V33" s="525">
        <v>10464000</v>
      </c>
      <c r="W33" s="1133"/>
      <c r="X33" s="420"/>
      <c r="Y33" s="356"/>
      <c r="Z33" s="367"/>
      <c r="AA33" s="365"/>
      <c r="AB33" s="366"/>
      <c r="AC33" s="359"/>
    </row>
    <row r="34" spans="1:29" ht="20.25" customHeight="1">
      <c r="A34" s="418"/>
      <c r="B34" s="370"/>
      <c r="C34" s="370"/>
      <c r="D34" s="421"/>
      <c r="E34" s="422"/>
      <c r="F34" s="423"/>
      <c r="G34" s="337"/>
      <c r="H34" s="337"/>
      <c r="I34" s="337"/>
      <c r="J34" s="424"/>
      <c r="K34" s="1069"/>
      <c r="L34" s="1087"/>
      <c r="M34" s="1088"/>
      <c r="N34" s="1088"/>
      <c r="O34" s="1088"/>
      <c r="P34" s="527"/>
      <c r="Q34" s="1069"/>
      <c r="R34" s="1066" t="s">
        <v>833</v>
      </c>
      <c r="S34" s="1067"/>
      <c r="T34" s="1067"/>
      <c r="U34" s="1067"/>
      <c r="V34" s="531">
        <v>33819</v>
      </c>
      <c r="W34" s="1133"/>
      <c r="X34" s="420"/>
      <c r="Y34" s="356"/>
      <c r="Z34" s="346"/>
      <c r="AA34" s="357"/>
      <c r="AB34" s="358"/>
      <c r="AC34" s="359"/>
    </row>
    <row r="35" spans="1:29" ht="20.25" customHeight="1" thickBot="1">
      <c r="A35" s="1113" t="s">
        <v>501</v>
      </c>
      <c r="B35" s="1114"/>
      <c r="C35" s="1115"/>
      <c r="D35" s="865">
        <f>'6. kiadások megbontása'!G59</f>
        <v>4015200</v>
      </c>
      <c r="E35" s="850"/>
      <c r="F35" s="866">
        <f>SUM(D35:E35)</f>
        <v>4015200</v>
      </c>
      <c r="G35" s="851"/>
      <c r="H35" s="851"/>
      <c r="I35" s="851"/>
      <c r="J35" s="852"/>
      <c r="K35" s="853"/>
      <c r="L35" s="854"/>
      <c r="M35" s="855"/>
      <c r="N35" s="855"/>
      <c r="O35" s="855"/>
      <c r="P35" s="856"/>
      <c r="Q35" s="853"/>
      <c r="R35" s="1223" t="s">
        <v>768</v>
      </c>
      <c r="S35" s="1224"/>
      <c r="T35" s="1224"/>
      <c r="U35" s="1224"/>
      <c r="V35" s="857">
        <v>4015200</v>
      </c>
      <c r="W35" s="858">
        <f>SUM(V35)</f>
        <v>4015200</v>
      </c>
      <c r="X35" s="859">
        <f>W35</f>
        <v>4015200</v>
      </c>
      <c r="Y35" s="860"/>
      <c r="Z35" s="861"/>
      <c r="AA35" s="862"/>
      <c r="AB35" s="863"/>
      <c r="AC35" s="864"/>
    </row>
    <row r="36" spans="1:29" ht="16.5" thickBot="1">
      <c r="A36" s="1174" t="s">
        <v>99</v>
      </c>
      <c r="B36" s="1175"/>
      <c r="C36" s="1176"/>
      <c r="D36" s="506">
        <f>SUM(D30:D35)</f>
        <v>157015794</v>
      </c>
      <c r="E36" s="506">
        <f>SUM(E30:E35)</f>
        <v>1016000</v>
      </c>
      <c r="F36" s="506">
        <f>SUM(F30:F35)</f>
        <v>158031794</v>
      </c>
      <c r="G36" s="509"/>
      <c r="H36" s="1177" t="s">
        <v>95</v>
      </c>
      <c r="I36" s="1178"/>
      <c r="J36" s="1179"/>
      <c r="K36" s="510">
        <f>SUM(K30:K34)</f>
        <v>119812800</v>
      </c>
      <c r="L36" s="409"/>
      <c r="M36" s="1091" t="s">
        <v>96</v>
      </c>
      <c r="N36" s="1091"/>
      <c r="O36" s="1091"/>
      <c r="P36" s="1092"/>
      <c r="Q36" s="510">
        <f>SUM(Q30:Q34)</f>
        <v>7430000</v>
      </c>
      <c r="R36" s="472"/>
      <c r="S36" s="1091" t="s">
        <v>97</v>
      </c>
      <c r="T36" s="1091"/>
      <c r="U36" s="1091"/>
      <c r="V36" s="1092"/>
      <c r="W36" s="511">
        <f>SUM(W30:W35)</f>
        <v>21562228</v>
      </c>
      <c r="X36" s="512">
        <f>SUM(X30:X35)</f>
        <v>148805028</v>
      </c>
      <c r="Y36" s="410">
        <v>0</v>
      </c>
      <c r="Z36" s="411">
        <f>SUM(X36:Y36)</f>
        <v>148805028</v>
      </c>
      <c r="AA36" s="412">
        <f>X36-D36</f>
        <v>-8210766</v>
      </c>
      <c r="AB36" s="413">
        <f>Y36-E36</f>
        <v>-1016000</v>
      </c>
      <c r="AC36" s="513">
        <f>SUM(AA36:AB36)</f>
        <v>-9226766</v>
      </c>
    </row>
    <row r="37" spans="1:29" ht="27.75" customHeight="1" thickBot="1" thickTop="1">
      <c r="A37" s="1078" t="s">
        <v>856</v>
      </c>
      <c r="B37" s="1079"/>
      <c r="C37" s="1080"/>
      <c r="D37" s="1118" t="s">
        <v>370</v>
      </c>
      <c r="E37" s="1103"/>
      <c r="F37" s="1119"/>
      <c r="G37" s="1120" t="s">
        <v>523</v>
      </c>
      <c r="H37" s="1103"/>
      <c r="I37" s="1103"/>
      <c r="J37" s="1103"/>
      <c r="K37" s="1104"/>
      <c r="L37" s="1102" t="s">
        <v>524</v>
      </c>
      <c r="M37" s="1103"/>
      <c r="N37" s="1103"/>
      <c r="O37" s="1103"/>
      <c r="P37" s="1103"/>
      <c r="Q37" s="1104"/>
      <c r="R37" s="1102" t="s">
        <v>525</v>
      </c>
      <c r="S37" s="1103"/>
      <c r="T37" s="1103"/>
      <c r="U37" s="1103"/>
      <c r="V37" s="1103"/>
      <c r="W37" s="1119"/>
      <c r="X37" s="1172" t="s">
        <v>526</v>
      </c>
      <c r="Y37" s="1173"/>
      <c r="Z37" s="1173"/>
      <c r="AA37" s="1084" t="s">
        <v>88</v>
      </c>
      <c r="AB37" s="1085"/>
      <c r="AC37" s="1086"/>
    </row>
    <row r="38" spans="1:223" s="414" customFormat="1" ht="18.75" customHeight="1" thickBot="1" thickTop="1">
      <c r="A38" s="1081"/>
      <c r="B38" s="1082"/>
      <c r="C38" s="1083"/>
      <c r="D38" s="498" t="s">
        <v>89</v>
      </c>
      <c r="E38" s="828" t="s">
        <v>85</v>
      </c>
      <c r="F38" s="329" t="s">
        <v>90</v>
      </c>
      <c r="G38" s="1162"/>
      <c r="H38" s="1106"/>
      <c r="I38" s="1106"/>
      <c r="J38" s="1163"/>
      <c r="K38" s="1107"/>
      <c r="L38" s="1105"/>
      <c r="M38" s="1106"/>
      <c r="N38" s="1106"/>
      <c r="O38" s="1106"/>
      <c r="P38" s="1106"/>
      <c r="Q38" s="1107"/>
      <c r="R38" s="1105"/>
      <c r="S38" s="1106"/>
      <c r="T38" s="1106"/>
      <c r="U38" s="1106"/>
      <c r="V38" s="1106"/>
      <c r="W38" s="1106"/>
      <c r="X38" s="815" t="s">
        <v>89</v>
      </c>
      <c r="Y38" s="816" t="s">
        <v>85</v>
      </c>
      <c r="Z38" s="329" t="s">
        <v>90</v>
      </c>
      <c r="AA38" s="807" t="s">
        <v>89</v>
      </c>
      <c r="AB38" s="498" t="s">
        <v>85</v>
      </c>
      <c r="AC38" s="329" t="s">
        <v>90</v>
      </c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6"/>
      <c r="BX38" s="326"/>
      <c r="BY38" s="326"/>
      <c r="BZ38" s="326"/>
      <c r="CA38" s="326"/>
      <c r="CB38" s="326"/>
      <c r="CC38" s="326"/>
      <c r="CD38" s="326"/>
      <c r="CE38" s="326"/>
      <c r="CF38" s="326"/>
      <c r="CG38" s="326"/>
      <c r="CH38" s="326"/>
      <c r="CI38" s="326"/>
      <c r="CJ38" s="326"/>
      <c r="CK38" s="326"/>
      <c r="CL38" s="326"/>
      <c r="CM38" s="326"/>
      <c r="CN38" s="326"/>
      <c r="CO38" s="326"/>
      <c r="CP38" s="326"/>
      <c r="CQ38" s="326"/>
      <c r="CR38" s="326"/>
      <c r="CS38" s="326"/>
      <c r="CT38" s="326"/>
      <c r="CU38" s="326"/>
      <c r="CV38" s="326"/>
      <c r="CW38" s="326"/>
      <c r="CX38" s="326"/>
      <c r="CY38" s="326"/>
      <c r="CZ38" s="326"/>
      <c r="DA38" s="326"/>
      <c r="DB38" s="326"/>
      <c r="DC38" s="326"/>
      <c r="DD38" s="326"/>
      <c r="DE38" s="326"/>
      <c r="DF38" s="326"/>
      <c r="DG38" s="326"/>
      <c r="DH38" s="326"/>
      <c r="DI38" s="326"/>
      <c r="DJ38" s="326"/>
      <c r="DK38" s="326"/>
      <c r="DL38" s="326"/>
      <c r="DM38" s="326"/>
      <c r="DN38" s="326"/>
      <c r="DO38" s="326"/>
      <c r="DP38" s="326"/>
      <c r="DQ38" s="326"/>
      <c r="DR38" s="326"/>
      <c r="DS38" s="326"/>
      <c r="DT38" s="326"/>
      <c r="DU38" s="326"/>
      <c r="DV38" s="326"/>
      <c r="DW38" s="326"/>
      <c r="DX38" s="326"/>
      <c r="DY38" s="326"/>
      <c r="DZ38" s="326"/>
      <c r="EA38" s="326"/>
      <c r="EB38" s="326"/>
      <c r="EC38" s="326"/>
      <c r="ED38" s="326"/>
      <c r="EE38" s="326"/>
      <c r="EF38" s="326"/>
      <c r="EG38" s="326"/>
      <c r="EH38" s="326"/>
      <c r="EI38" s="326"/>
      <c r="EJ38" s="326"/>
      <c r="EK38" s="326"/>
      <c r="EL38" s="326"/>
      <c r="EM38" s="326"/>
      <c r="EN38" s="326"/>
      <c r="EO38" s="326"/>
      <c r="EP38" s="326"/>
      <c r="EQ38" s="326"/>
      <c r="ER38" s="326"/>
      <c r="ES38" s="326"/>
      <c r="ET38" s="326"/>
      <c r="EU38" s="326"/>
      <c r="EV38" s="326"/>
      <c r="EW38" s="326"/>
      <c r="EX38" s="326"/>
      <c r="EY38" s="326"/>
      <c r="EZ38" s="326"/>
      <c r="FA38" s="326"/>
      <c r="FB38" s="326"/>
      <c r="FC38" s="326"/>
      <c r="FD38" s="326"/>
      <c r="FE38" s="326"/>
      <c r="FF38" s="326"/>
      <c r="FG38" s="326"/>
      <c r="FH38" s="326"/>
      <c r="FI38" s="326"/>
      <c r="FJ38" s="326"/>
      <c r="FK38" s="326"/>
      <c r="FL38" s="326"/>
      <c r="FM38" s="326"/>
      <c r="FN38" s="326"/>
      <c r="FO38" s="326"/>
      <c r="FP38" s="326"/>
      <c r="FQ38" s="326"/>
      <c r="FR38" s="326"/>
      <c r="FS38" s="326"/>
      <c r="FT38" s="326"/>
      <c r="FU38" s="326"/>
      <c r="FV38" s="326"/>
      <c r="FW38" s="326"/>
      <c r="FX38" s="326"/>
      <c r="FY38" s="326"/>
      <c r="FZ38" s="326"/>
      <c r="GA38" s="326"/>
      <c r="GB38" s="326"/>
      <c r="GC38" s="326"/>
      <c r="GD38" s="326"/>
      <c r="GE38" s="326"/>
      <c r="GF38" s="326"/>
      <c r="GG38" s="326"/>
      <c r="GH38" s="326"/>
      <c r="GI38" s="326"/>
      <c r="GJ38" s="326"/>
      <c r="GK38" s="326"/>
      <c r="GL38" s="326"/>
      <c r="GM38" s="326"/>
      <c r="GN38" s="326"/>
      <c r="GO38" s="326"/>
      <c r="GP38" s="326"/>
      <c r="GQ38" s="326"/>
      <c r="GR38" s="326"/>
      <c r="GS38" s="326"/>
      <c r="GT38" s="326"/>
      <c r="GU38" s="326"/>
      <c r="GV38" s="326"/>
      <c r="GW38" s="326"/>
      <c r="GX38" s="326"/>
      <c r="GY38" s="326"/>
      <c r="GZ38" s="326"/>
      <c r="HA38" s="326"/>
      <c r="HB38" s="326"/>
      <c r="HC38" s="326"/>
      <c r="HD38" s="326"/>
      <c r="HE38" s="326"/>
      <c r="HF38" s="326"/>
      <c r="HG38" s="326"/>
      <c r="HH38" s="326"/>
      <c r="HI38" s="326"/>
      <c r="HJ38" s="326"/>
      <c r="HK38" s="326"/>
      <c r="HL38" s="326"/>
      <c r="HM38" s="326"/>
      <c r="HN38" s="326"/>
      <c r="HO38" s="326"/>
    </row>
    <row r="39" spans="1:29" ht="26.25" customHeight="1">
      <c r="A39" s="330"/>
      <c r="B39" s="372"/>
      <c r="C39" s="372"/>
      <c r="D39" s="400"/>
      <c r="E39" s="372"/>
      <c r="F39" s="334"/>
      <c r="G39" s="1094" t="s">
        <v>551</v>
      </c>
      <c r="H39" s="1095"/>
      <c r="I39" s="1095"/>
      <c r="J39" s="507">
        <v>10507640</v>
      </c>
      <c r="K39" s="1068">
        <f>SUM(J39:J41)</f>
        <v>10507640</v>
      </c>
      <c r="L39" s="1096"/>
      <c r="M39" s="1097"/>
      <c r="N39" s="1097"/>
      <c r="O39" s="1097"/>
      <c r="P39" s="1099"/>
      <c r="Q39" s="1068">
        <f>SUM(P39:P41)</f>
        <v>0</v>
      </c>
      <c r="R39" s="1066" t="s">
        <v>834</v>
      </c>
      <c r="S39" s="1067"/>
      <c r="T39" s="1067"/>
      <c r="U39" s="1067"/>
      <c r="V39" s="531">
        <v>110000</v>
      </c>
      <c r="W39" s="1089">
        <f>SUM(V39:V41)</f>
        <v>6242312</v>
      </c>
      <c r="X39" s="811"/>
      <c r="Y39" s="416"/>
      <c r="Z39" s="417"/>
      <c r="AA39" s="330"/>
      <c r="AB39" s="347"/>
      <c r="AC39" s="348"/>
    </row>
    <row r="40" spans="1:29" ht="19.5" customHeight="1">
      <c r="A40" s="418"/>
      <c r="B40" s="1109" t="s">
        <v>500</v>
      </c>
      <c r="C40" s="1110"/>
      <c r="D40" s="405">
        <f>SUM('6. kiadások megbontása'!D75)</f>
        <v>25643652</v>
      </c>
      <c r="E40" s="353">
        <f>SUM('6. kiadások megbontása'!E75)</f>
        <v>635000</v>
      </c>
      <c r="F40" s="354">
        <f>SUM(D40:E40)</f>
        <v>26278652</v>
      </c>
      <c r="G40" s="1158"/>
      <c r="H40" s="1159"/>
      <c r="I40" s="1159"/>
      <c r="J40" s="508"/>
      <c r="K40" s="1069"/>
      <c r="L40" s="1098"/>
      <c r="M40" s="1095"/>
      <c r="N40" s="1095"/>
      <c r="O40" s="1095"/>
      <c r="P40" s="1100"/>
      <c r="Q40" s="1069"/>
      <c r="R40" s="1066" t="s">
        <v>835</v>
      </c>
      <c r="S40" s="1067"/>
      <c r="T40" s="1067"/>
      <c r="U40" s="1067"/>
      <c r="V40" s="531">
        <f>4190000+1080000</f>
        <v>5270000</v>
      </c>
      <c r="W40" s="1090"/>
      <c r="X40" s="810">
        <f>SUM(W39,Q39,K39)</f>
        <v>16749952</v>
      </c>
      <c r="Y40" s="356">
        <v>0</v>
      </c>
      <c r="Z40" s="367">
        <f>SUM(Y40,X40)</f>
        <v>16749952</v>
      </c>
      <c r="AA40" s="365">
        <f>X40-D40</f>
        <v>-8893700</v>
      </c>
      <c r="AB40" s="366">
        <f>Y40-E40</f>
        <v>-635000</v>
      </c>
      <c r="AC40" s="359">
        <f>SUM(AA40:AB40)</f>
        <v>-9528700</v>
      </c>
    </row>
    <row r="41" spans="1:29" ht="17.25" customHeight="1" thickBot="1">
      <c r="A41" s="418"/>
      <c r="B41" s="370"/>
      <c r="C41" s="370"/>
      <c r="D41" s="421"/>
      <c r="E41" s="422"/>
      <c r="F41" s="423"/>
      <c r="G41" s="337"/>
      <c r="H41" s="337"/>
      <c r="I41" s="337"/>
      <c r="J41" s="424"/>
      <c r="K41" s="1069"/>
      <c r="L41" s="523"/>
      <c r="M41" s="524"/>
      <c r="N41" s="524"/>
      <c r="O41" s="524"/>
      <c r="P41" s="526"/>
      <c r="Q41" s="1069"/>
      <c r="R41" s="1066" t="s">
        <v>837</v>
      </c>
      <c r="S41" s="1067"/>
      <c r="T41" s="1067"/>
      <c r="U41" s="1067"/>
      <c r="V41" s="531">
        <v>862312</v>
      </c>
      <c r="W41" s="1090"/>
      <c r="X41" s="812"/>
      <c r="Y41" s="356"/>
      <c r="Z41" s="346"/>
      <c r="AA41" s="357"/>
      <c r="AB41" s="358"/>
      <c r="AC41" s="359"/>
    </row>
    <row r="42" spans="1:29" ht="15.75">
      <c r="A42" s="447"/>
      <c r="B42" s="448"/>
      <c r="C42" s="514"/>
      <c r="D42" s="449"/>
      <c r="E42" s="450"/>
      <c r="F42" s="451"/>
      <c r="G42" s="1116"/>
      <c r="H42" s="1117"/>
      <c r="I42" s="1117"/>
      <c r="J42" s="452"/>
      <c r="K42" s="1068">
        <f>SUM(J42:J44)</f>
        <v>0</v>
      </c>
      <c r="L42" s="1096" t="s">
        <v>991</v>
      </c>
      <c r="M42" s="1097"/>
      <c r="N42" s="1097"/>
      <c r="O42" s="1097"/>
      <c r="P42" s="452"/>
      <c r="Q42" s="844"/>
      <c r="R42" s="453"/>
      <c r="S42" s="454"/>
      <c r="T42" s="454"/>
      <c r="U42" s="454"/>
      <c r="V42" s="455"/>
      <c r="W42" s="1068">
        <f>SUM(V42:V44)</f>
        <v>0</v>
      </c>
      <c r="X42" s="456"/>
      <c r="Y42" s="457"/>
      <c r="Z42" s="458"/>
      <c r="AA42" s="459"/>
      <c r="AB42" s="460"/>
      <c r="AC42" s="461"/>
    </row>
    <row r="43" spans="1:29" ht="16.5" customHeight="1" thickBot="1">
      <c r="A43" s="1108" t="s">
        <v>501</v>
      </c>
      <c r="B43" s="1109"/>
      <c r="C43" s="1110"/>
      <c r="D43" s="405">
        <f>SUM('6. kiadások megbontása'!G75)</f>
        <v>22502900</v>
      </c>
      <c r="E43" s="353">
        <f>SUM('6. kiadások megbontása'!H75)</f>
        <v>2497100</v>
      </c>
      <c r="F43" s="354">
        <f>SUM(D43:E43)</f>
        <v>25000000</v>
      </c>
      <c r="G43" s="375"/>
      <c r="H43" s="376"/>
      <c r="I43" s="376"/>
      <c r="J43" s="462"/>
      <c r="K43" s="1069"/>
      <c r="L43" s="1130"/>
      <c r="M43" s="1131"/>
      <c r="N43" s="1131"/>
      <c r="O43" s="1131"/>
      <c r="P43" s="335">
        <v>22502900</v>
      </c>
      <c r="Q43" s="843">
        <f>SUM(P43)</f>
        <v>22502900</v>
      </c>
      <c r="R43" s="1111"/>
      <c r="S43" s="1112"/>
      <c r="T43" s="1112"/>
      <c r="U43" s="1112"/>
      <c r="V43" s="374"/>
      <c r="W43" s="1090"/>
      <c r="X43" s="810">
        <f>SUM(K43+Q43+W43)</f>
        <v>22502900</v>
      </c>
      <c r="Y43" s="356">
        <f>Q44</f>
        <v>2497100</v>
      </c>
      <c r="Z43" s="367">
        <f>SUM(X43:Y43)</f>
        <v>25000000</v>
      </c>
      <c r="AA43" s="444">
        <f>X43-D43</f>
        <v>0</v>
      </c>
      <c r="AB43" s="366">
        <f>Y43-E43</f>
        <v>0</v>
      </c>
      <c r="AC43" s="368">
        <f>SUM(AA43:AB43)</f>
        <v>0</v>
      </c>
    </row>
    <row r="44" spans="1:29" ht="27" customHeight="1" thickBot="1">
      <c r="A44" s="349"/>
      <c r="B44" s="445"/>
      <c r="C44" s="445"/>
      <c r="D44" s="421"/>
      <c r="E44" s="422"/>
      <c r="F44" s="463"/>
      <c r="G44" s="464"/>
      <c r="H44" s="465"/>
      <c r="I44" s="465"/>
      <c r="J44" s="466"/>
      <c r="K44" s="1093"/>
      <c r="L44" s="1096" t="s">
        <v>992</v>
      </c>
      <c r="M44" s="1097"/>
      <c r="N44" s="1097"/>
      <c r="O44" s="1097"/>
      <c r="P44" s="790">
        <v>2497100</v>
      </c>
      <c r="Q44" s="843">
        <f>SUM(P44)</f>
        <v>2497100</v>
      </c>
      <c r="R44" s="372"/>
      <c r="S44" s="372"/>
      <c r="T44" s="372"/>
      <c r="U44" s="372"/>
      <c r="V44" s="372"/>
      <c r="W44" s="1093"/>
      <c r="X44" s="467"/>
      <c r="Y44" s="468"/>
      <c r="Z44" s="425"/>
      <c r="AA44" s="469"/>
      <c r="AB44" s="470"/>
      <c r="AC44" s="471"/>
    </row>
    <row r="45" spans="1:223" s="502" customFormat="1" ht="33.75" customHeight="1" thickBot="1">
      <c r="A45" s="1070" t="s">
        <v>1061</v>
      </c>
      <c r="B45" s="1071"/>
      <c r="C45" s="1072"/>
      <c r="D45" s="795">
        <f>SUM(D39:D44)</f>
        <v>48146552</v>
      </c>
      <c r="E45" s="796">
        <f>SUM(E39:E44)</f>
        <v>3132100</v>
      </c>
      <c r="F45" s="797">
        <f>SUM(F39:F44)</f>
        <v>51278652</v>
      </c>
      <c r="G45" s="798"/>
      <c r="H45" s="1073" t="s">
        <v>95</v>
      </c>
      <c r="I45" s="1074"/>
      <c r="J45" s="1075"/>
      <c r="K45" s="799">
        <f>SUM(K42+K39)</f>
        <v>10507640</v>
      </c>
      <c r="L45" s="515"/>
      <c r="M45" s="1076" t="s">
        <v>96</v>
      </c>
      <c r="N45" s="1076"/>
      <c r="O45" s="1076"/>
      <c r="P45" s="1077"/>
      <c r="Q45" s="799">
        <f>SUM(Q39:Q44)</f>
        <v>25000000</v>
      </c>
      <c r="R45" s="517"/>
      <c r="S45" s="1076" t="s">
        <v>97</v>
      </c>
      <c r="T45" s="1076"/>
      <c r="U45" s="1076"/>
      <c r="V45" s="1077"/>
      <c r="W45" s="800">
        <f>SUM(W39:W44)</f>
        <v>6242312</v>
      </c>
      <c r="X45" s="801">
        <f>SUM(X39:X44)</f>
        <v>39252852</v>
      </c>
      <c r="Y45" s="802">
        <f>SUM(Y39:Y44)</f>
        <v>2497100</v>
      </c>
      <c r="Z45" s="803">
        <f>SUM(X45:Y45)</f>
        <v>41749952</v>
      </c>
      <c r="AA45" s="804">
        <f>X45-D45</f>
        <v>-8893700</v>
      </c>
      <c r="AB45" s="805">
        <f>Y45-E45</f>
        <v>-635000</v>
      </c>
      <c r="AC45" s="513">
        <f>SUM(AA45:AB45)</f>
        <v>-9528700</v>
      </c>
      <c r="AD45" s="522"/>
      <c r="AE45" s="522"/>
      <c r="AF45" s="522"/>
      <c r="AG45" s="522"/>
      <c r="AH45" s="522"/>
      <c r="AI45" s="522"/>
      <c r="AJ45" s="522"/>
      <c r="AK45" s="522"/>
      <c r="AL45" s="522"/>
      <c r="AM45" s="522"/>
      <c r="AN45" s="522"/>
      <c r="AO45" s="522"/>
      <c r="AP45" s="522"/>
      <c r="AQ45" s="522"/>
      <c r="AR45" s="522"/>
      <c r="AS45" s="522"/>
      <c r="AT45" s="522"/>
      <c r="AU45" s="522"/>
      <c r="AV45" s="522"/>
      <c r="AW45" s="522"/>
      <c r="AX45" s="522"/>
      <c r="AY45" s="522"/>
      <c r="AZ45" s="522"/>
      <c r="BA45" s="522"/>
      <c r="BB45" s="522"/>
      <c r="BC45" s="522"/>
      <c r="BD45" s="522"/>
      <c r="BE45" s="522"/>
      <c r="BF45" s="522"/>
      <c r="BG45" s="522"/>
      <c r="BH45" s="522"/>
      <c r="BI45" s="522"/>
      <c r="BJ45" s="522"/>
      <c r="BK45" s="522"/>
      <c r="BL45" s="522"/>
      <c r="BM45" s="522"/>
      <c r="BN45" s="522"/>
      <c r="BO45" s="522"/>
      <c r="BP45" s="522"/>
      <c r="BQ45" s="522"/>
      <c r="BR45" s="522"/>
      <c r="BS45" s="522"/>
      <c r="BT45" s="522"/>
      <c r="BU45" s="522"/>
      <c r="BV45" s="522"/>
      <c r="BW45" s="522"/>
      <c r="BX45" s="522"/>
      <c r="BY45" s="522"/>
      <c r="BZ45" s="522"/>
      <c r="CA45" s="522"/>
      <c r="CB45" s="522"/>
      <c r="CC45" s="522"/>
      <c r="CD45" s="522"/>
      <c r="CE45" s="522"/>
      <c r="CF45" s="522"/>
      <c r="CG45" s="522"/>
      <c r="CH45" s="522"/>
      <c r="CI45" s="522"/>
      <c r="CJ45" s="522"/>
      <c r="CK45" s="522"/>
      <c r="CL45" s="522"/>
      <c r="CM45" s="522"/>
      <c r="CN45" s="522"/>
      <c r="CO45" s="522"/>
      <c r="CP45" s="522"/>
      <c r="CQ45" s="522"/>
      <c r="CR45" s="522"/>
      <c r="CS45" s="522"/>
      <c r="CT45" s="522"/>
      <c r="CU45" s="522"/>
      <c r="CV45" s="522"/>
      <c r="CW45" s="522"/>
      <c r="CX45" s="522"/>
      <c r="CY45" s="522"/>
      <c r="CZ45" s="522"/>
      <c r="DA45" s="522"/>
      <c r="DB45" s="522"/>
      <c r="DC45" s="522"/>
      <c r="DD45" s="522"/>
      <c r="DE45" s="522"/>
      <c r="DF45" s="522"/>
      <c r="DG45" s="522"/>
      <c r="DH45" s="522"/>
      <c r="DI45" s="522"/>
      <c r="DJ45" s="522"/>
      <c r="DK45" s="522"/>
      <c r="DL45" s="522"/>
      <c r="DM45" s="522"/>
      <c r="DN45" s="522"/>
      <c r="DO45" s="522"/>
      <c r="DP45" s="522"/>
      <c r="DQ45" s="522"/>
      <c r="DR45" s="522"/>
      <c r="DS45" s="522"/>
      <c r="DT45" s="522"/>
      <c r="DU45" s="522"/>
      <c r="DV45" s="522"/>
      <c r="DW45" s="522"/>
      <c r="DX45" s="522"/>
      <c r="DY45" s="522"/>
      <c r="DZ45" s="522"/>
      <c r="EA45" s="522"/>
      <c r="EB45" s="522"/>
      <c r="EC45" s="522"/>
      <c r="ED45" s="522"/>
      <c r="EE45" s="522"/>
      <c r="EF45" s="522"/>
      <c r="EG45" s="522"/>
      <c r="EH45" s="522"/>
      <c r="EI45" s="522"/>
      <c r="EJ45" s="522"/>
      <c r="EK45" s="522"/>
      <c r="EL45" s="522"/>
      <c r="EM45" s="522"/>
      <c r="EN45" s="522"/>
      <c r="EO45" s="522"/>
      <c r="EP45" s="522"/>
      <c r="EQ45" s="522"/>
      <c r="ER45" s="522"/>
      <c r="ES45" s="522"/>
      <c r="ET45" s="522"/>
      <c r="EU45" s="522"/>
      <c r="EV45" s="522"/>
      <c r="EW45" s="522"/>
      <c r="EX45" s="522"/>
      <c r="EY45" s="522"/>
      <c r="EZ45" s="522"/>
      <c r="FA45" s="522"/>
      <c r="FB45" s="522"/>
      <c r="FC45" s="522"/>
      <c r="FD45" s="522"/>
      <c r="FE45" s="522"/>
      <c r="FF45" s="522"/>
      <c r="FG45" s="522"/>
      <c r="FH45" s="522"/>
      <c r="FI45" s="522"/>
      <c r="FJ45" s="522"/>
      <c r="FK45" s="522"/>
      <c r="FL45" s="522"/>
      <c r="FM45" s="522"/>
      <c r="FN45" s="522"/>
      <c r="FO45" s="522"/>
      <c r="FP45" s="522"/>
      <c r="FQ45" s="522"/>
      <c r="FR45" s="522"/>
      <c r="FS45" s="522"/>
      <c r="FT45" s="522"/>
      <c r="FU45" s="522"/>
      <c r="FV45" s="522"/>
      <c r="FW45" s="522"/>
      <c r="FX45" s="522"/>
      <c r="FY45" s="522"/>
      <c r="FZ45" s="522"/>
      <c r="GA45" s="522"/>
      <c r="GB45" s="522"/>
      <c r="GC45" s="522"/>
      <c r="GD45" s="522"/>
      <c r="GE45" s="522"/>
      <c r="GF45" s="522"/>
      <c r="GG45" s="522"/>
      <c r="GH45" s="522"/>
      <c r="GI45" s="522"/>
      <c r="GJ45" s="522"/>
      <c r="GK45" s="522"/>
      <c r="GL45" s="522"/>
      <c r="GM45" s="522"/>
      <c r="GN45" s="522"/>
      <c r="GO45" s="522"/>
      <c r="GP45" s="522"/>
      <c r="GQ45" s="522"/>
      <c r="GR45" s="522"/>
      <c r="GS45" s="522"/>
      <c r="GT45" s="522"/>
      <c r="GU45" s="522"/>
      <c r="GV45" s="522"/>
      <c r="GW45" s="522"/>
      <c r="GX45" s="522"/>
      <c r="GY45" s="522"/>
      <c r="GZ45" s="522"/>
      <c r="HA45" s="522"/>
      <c r="HB45" s="522"/>
      <c r="HC45" s="522"/>
      <c r="HD45" s="522"/>
      <c r="HE45" s="522"/>
      <c r="HF45" s="522"/>
      <c r="HG45" s="522"/>
      <c r="HH45" s="522"/>
      <c r="HI45" s="522"/>
      <c r="HJ45" s="522"/>
      <c r="HK45" s="522"/>
      <c r="HL45" s="522"/>
      <c r="HM45" s="522"/>
      <c r="HN45" s="522"/>
      <c r="HO45" s="522"/>
    </row>
    <row r="46" spans="1:29" ht="17.25" thickBot="1" thickTop="1">
      <c r="A46" s="426"/>
      <c r="B46" s="427"/>
      <c r="C46" s="427"/>
      <c r="D46" s="428"/>
      <c r="E46" s="429"/>
      <c r="F46" s="430"/>
      <c r="G46" s="429"/>
      <c r="H46" s="429"/>
      <c r="I46" s="431"/>
      <c r="J46" s="431"/>
      <c r="K46" s="432"/>
      <c r="L46" s="433"/>
      <c r="M46" s="429"/>
      <c r="N46" s="429"/>
      <c r="O46" s="429"/>
      <c r="P46" s="429"/>
      <c r="Q46" s="432"/>
      <c r="R46" s="429"/>
      <c r="S46" s="429"/>
      <c r="T46" s="429"/>
      <c r="U46" s="429"/>
      <c r="V46" s="429"/>
      <c r="W46" s="434"/>
      <c r="X46" s="435"/>
      <c r="Y46" s="436"/>
      <c r="Z46" s="437"/>
      <c r="AA46" s="426"/>
      <c r="AB46" s="438"/>
      <c r="AC46" s="439"/>
    </row>
    <row r="47" spans="1:29" ht="14.25" thickBot="1" thickTop="1">
      <c r="A47" s="1149" t="s">
        <v>785</v>
      </c>
      <c r="B47" s="1150"/>
      <c r="C47" s="1150"/>
      <c r="D47" s="1118" t="s">
        <v>370</v>
      </c>
      <c r="E47" s="1103"/>
      <c r="F47" s="1119"/>
      <c r="G47" s="1120" t="s">
        <v>523</v>
      </c>
      <c r="H47" s="1121"/>
      <c r="I47" s="1121"/>
      <c r="J47" s="1121"/>
      <c r="K47" s="1122"/>
      <c r="L47" s="1102" t="s">
        <v>524</v>
      </c>
      <c r="M47" s="1137"/>
      <c r="N47" s="1137"/>
      <c r="O47" s="1137"/>
      <c r="P47" s="1137"/>
      <c r="Q47" s="1138"/>
      <c r="R47" s="1102" t="s">
        <v>525</v>
      </c>
      <c r="S47" s="1137"/>
      <c r="T47" s="1137"/>
      <c r="U47" s="1137"/>
      <c r="V47" s="1137"/>
      <c r="W47" s="1147"/>
      <c r="X47" s="1172" t="s">
        <v>526</v>
      </c>
      <c r="Y47" s="1173"/>
      <c r="Z47" s="1173"/>
      <c r="AA47" s="1084" t="s">
        <v>88</v>
      </c>
      <c r="AB47" s="1085"/>
      <c r="AC47" s="1086"/>
    </row>
    <row r="48" spans="1:223" s="721" customFormat="1" ht="32.25" customHeight="1" thickBot="1">
      <c r="A48" s="1151"/>
      <c r="B48" s="1152"/>
      <c r="C48" s="1152"/>
      <c r="D48" s="498" t="s">
        <v>89</v>
      </c>
      <c r="E48" s="828" t="s">
        <v>85</v>
      </c>
      <c r="F48" s="329" t="s">
        <v>90</v>
      </c>
      <c r="G48" s="1123"/>
      <c r="H48" s="1124"/>
      <c r="I48" s="1124"/>
      <c r="J48" s="1124"/>
      <c r="K48" s="1125"/>
      <c r="L48" s="1139"/>
      <c r="M48" s="1140"/>
      <c r="N48" s="1140"/>
      <c r="O48" s="1140"/>
      <c r="P48" s="1140"/>
      <c r="Q48" s="1141"/>
      <c r="R48" s="1139"/>
      <c r="S48" s="1140"/>
      <c r="T48" s="1140"/>
      <c r="U48" s="1140"/>
      <c r="V48" s="1140"/>
      <c r="W48" s="1148"/>
      <c r="X48" s="813" t="s">
        <v>89</v>
      </c>
      <c r="Y48" s="498" t="s">
        <v>85</v>
      </c>
      <c r="Z48" s="814" t="s">
        <v>90</v>
      </c>
      <c r="AA48" s="497" t="s">
        <v>89</v>
      </c>
      <c r="AB48" s="498" t="s">
        <v>85</v>
      </c>
      <c r="AC48" s="329" t="s">
        <v>90</v>
      </c>
      <c r="AD48" s="806"/>
      <c r="AE48" s="806"/>
      <c r="AF48" s="806"/>
      <c r="AG48" s="806"/>
      <c r="AH48" s="806"/>
      <c r="AI48" s="806"/>
      <c r="AJ48" s="806"/>
      <c r="AK48" s="806"/>
      <c r="AL48" s="806"/>
      <c r="AM48" s="806"/>
      <c r="AN48" s="806"/>
      <c r="AO48" s="806"/>
      <c r="AP48" s="806"/>
      <c r="AQ48" s="806"/>
      <c r="AR48" s="806"/>
      <c r="AS48" s="806"/>
      <c r="AT48" s="806"/>
      <c r="AU48" s="806"/>
      <c r="AV48" s="806"/>
      <c r="AW48" s="806"/>
      <c r="AX48" s="806"/>
      <c r="AY48" s="806"/>
      <c r="AZ48" s="806"/>
      <c r="BA48" s="806"/>
      <c r="BB48" s="806"/>
      <c r="BC48" s="806"/>
      <c r="BD48" s="806"/>
      <c r="BE48" s="806"/>
      <c r="BF48" s="806"/>
      <c r="BG48" s="806"/>
      <c r="BH48" s="806"/>
      <c r="BI48" s="806"/>
      <c r="BJ48" s="806"/>
      <c r="BK48" s="806"/>
      <c r="BL48" s="806"/>
      <c r="BM48" s="806"/>
      <c r="BN48" s="806"/>
      <c r="BO48" s="806"/>
      <c r="BP48" s="806"/>
      <c r="BQ48" s="806"/>
      <c r="BR48" s="806"/>
      <c r="BS48" s="806"/>
      <c r="BT48" s="806"/>
      <c r="BU48" s="806"/>
      <c r="BV48" s="806"/>
      <c r="BW48" s="806"/>
      <c r="BX48" s="806"/>
      <c r="BY48" s="806"/>
      <c r="BZ48" s="806"/>
      <c r="CA48" s="806"/>
      <c r="CB48" s="806"/>
      <c r="CC48" s="806"/>
      <c r="CD48" s="806"/>
      <c r="CE48" s="806"/>
      <c r="CF48" s="806"/>
      <c r="CG48" s="806"/>
      <c r="CH48" s="806"/>
      <c r="CI48" s="806"/>
      <c r="CJ48" s="806"/>
      <c r="CK48" s="806"/>
      <c r="CL48" s="806"/>
      <c r="CM48" s="806"/>
      <c r="CN48" s="806"/>
      <c r="CO48" s="806"/>
      <c r="CP48" s="806"/>
      <c r="CQ48" s="806"/>
      <c r="CR48" s="806"/>
      <c r="CS48" s="806"/>
      <c r="CT48" s="806"/>
      <c r="CU48" s="806"/>
      <c r="CV48" s="806"/>
      <c r="CW48" s="806"/>
      <c r="CX48" s="806"/>
      <c r="CY48" s="806"/>
      <c r="CZ48" s="806"/>
      <c r="DA48" s="806"/>
      <c r="DB48" s="806"/>
      <c r="DC48" s="806"/>
      <c r="DD48" s="806"/>
      <c r="DE48" s="806"/>
      <c r="DF48" s="806"/>
      <c r="DG48" s="806"/>
      <c r="DH48" s="806"/>
      <c r="DI48" s="806"/>
      <c r="DJ48" s="806"/>
      <c r="DK48" s="806"/>
      <c r="DL48" s="806"/>
      <c r="DM48" s="806"/>
      <c r="DN48" s="806"/>
      <c r="DO48" s="806"/>
      <c r="DP48" s="806"/>
      <c r="DQ48" s="806"/>
      <c r="DR48" s="806"/>
      <c r="DS48" s="806"/>
      <c r="DT48" s="806"/>
      <c r="DU48" s="806"/>
      <c r="DV48" s="806"/>
      <c r="DW48" s="806"/>
      <c r="DX48" s="806"/>
      <c r="DY48" s="806"/>
      <c r="DZ48" s="806"/>
      <c r="EA48" s="806"/>
      <c r="EB48" s="806"/>
      <c r="EC48" s="806"/>
      <c r="ED48" s="806"/>
      <c r="EE48" s="806"/>
      <c r="EF48" s="806"/>
      <c r="EG48" s="806"/>
      <c r="EH48" s="806"/>
      <c r="EI48" s="806"/>
      <c r="EJ48" s="806"/>
      <c r="EK48" s="806"/>
      <c r="EL48" s="806"/>
      <c r="EM48" s="806"/>
      <c r="EN48" s="806"/>
      <c r="EO48" s="806"/>
      <c r="EP48" s="806"/>
      <c r="EQ48" s="806"/>
      <c r="ER48" s="806"/>
      <c r="ES48" s="806"/>
      <c r="ET48" s="806"/>
      <c r="EU48" s="806"/>
      <c r="EV48" s="806"/>
      <c r="EW48" s="806"/>
      <c r="EX48" s="806"/>
      <c r="EY48" s="806"/>
      <c r="EZ48" s="806"/>
      <c r="FA48" s="806"/>
      <c r="FB48" s="806"/>
      <c r="FC48" s="806"/>
      <c r="FD48" s="806"/>
      <c r="FE48" s="806"/>
      <c r="FF48" s="806"/>
      <c r="FG48" s="806"/>
      <c r="FH48" s="806"/>
      <c r="FI48" s="806"/>
      <c r="FJ48" s="806"/>
      <c r="FK48" s="806"/>
      <c r="FL48" s="806"/>
      <c r="FM48" s="806"/>
      <c r="FN48" s="806"/>
      <c r="FO48" s="806"/>
      <c r="FP48" s="806"/>
      <c r="FQ48" s="806"/>
      <c r="FR48" s="806"/>
      <c r="FS48" s="806"/>
      <c r="FT48" s="806"/>
      <c r="FU48" s="806"/>
      <c r="FV48" s="806"/>
      <c r="FW48" s="806"/>
      <c r="FX48" s="806"/>
      <c r="FY48" s="806"/>
      <c r="FZ48" s="806"/>
      <c r="GA48" s="806"/>
      <c r="GB48" s="806"/>
      <c r="GC48" s="806"/>
      <c r="GD48" s="806"/>
      <c r="GE48" s="806"/>
      <c r="GF48" s="806"/>
      <c r="GG48" s="806"/>
      <c r="GH48" s="806"/>
      <c r="GI48" s="806"/>
      <c r="GJ48" s="806"/>
      <c r="GK48" s="806"/>
      <c r="GL48" s="806"/>
      <c r="GM48" s="806"/>
      <c r="GN48" s="806"/>
      <c r="GO48" s="806"/>
      <c r="GP48" s="806"/>
      <c r="GQ48" s="806"/>
      <c r="GR48" s="806"/>
      <c r="GS48" s="806"/>
      <c r="GT48" s="806"/>
      <c r="GU48" s="806"/>
      <c r="GV48" s="806"/>
      <c r="GW48" s="806"/>
      <c r="GX48" s="806"/>
      <c r="GY48" s="806"/>
      <c r="GZ48" s="806"/>
      <c r="HA48" s="806"/>
      <c r="HB48" s="806"/>
      <c r="HC48" s="806"/>
      <c r="HD48" s="806"/>
      <c r="HE48" s="806"/>
      <c r="HF48" s="806"/>
      <c r="HG48" s="806"/>
      <c r="HH48" s="806"/>
      <c r="HI48" s="806"/>
      <c r="HJ48" s="806"/>
      <c r="HK48" s="806"/>
      <c r="HL48" s="806"/>
      <c r="HM48" s="806"/>
      <c r="HN48" s="806"/>
      <c r="HO48" s="806"/>
    </row>
    <row r="49" spans="1:29" ht="25.5" customHeight="1">
      <c r="A49" s="418"/>
      <c r="B49" s="372"/>
      <c r="C49" s="372"/>
      <c r="D49" s="400"/>
      <c r="E49" s="372"/>
      <c r="F49" s="373"/>
      <c r="G49" s="1157" t="s">
        <v>487</v>
      </c>
      <c r="H49" s="1067"/>
      <c r="I49" s="1067"/>
      <c r="J49" s="527">
        <v>16720333</v>
      </c>
      <c r="K49" s="1068">
        <f>SUM(J49:J56)</f>
        <v>176567796</v>
      </c>
      <c r="L49" s="1169"/>
      <c r="M49" s="1097"/>
      <c r="N49" s="1097"/>
      <c r="O49" s="1097"/>
      <c r="P49" s="527"/>
      <c r="Q49" s="1128">
        <f>SUM(P49:P56)</f>
        <v>0</v>
      </c>
      <c r="R49" s="1087" t="s">
        <v>532</v>
      </c>
      <c r="S49" s="1088"/>
      <c r="T49" s="1088"/>
      <c r="U49" s="1088"/>
      <c r="V49" s="531">
        <v>1081470</v>
      </c>
      <c r="W49" s="1132">
        <f>SUM(V49:V56)</f>
        <v>11969983</v>
      </c>
      <c r="X49" s="372"/>
      <c r="Y49" s="400"/>
      <c r="Z49" s="441"/>
      <c r="AA49" s="418"/>
      <c r="AB49" s="400"/>
      <c r="AC49" s="348"/>
    </row>
    <row r="50" spans="1:29" ht="25.5" customHeight="1" thickBot="1">
      <c r="A50" s="418"/>
      <c r="B50" s="372"/>
      <c r="C50" s="399"/>
      <c r="D50" s="400"/>
      <c r="E50" s="372"/>
      <c r="F50" s="373"/>
      <c r="G50" s="1136" t="s">
        <v>637</v>
      </c>
      <c r="H50" s="1088"/>
      <c r="I50" s="1088"/>
      <c r="J50" s="527">
        <v>90264650</v>
      </c>
      <c r="K50" s="1069"/>
      <c r="L50" s="1170"/>
      <c r="M50" s="1171"/>
      <c r="N50" s="1171"/>
      <c r="O50" s="1171"/>
      <c r="P50" s="374"/>
      <c r="Q50" s="1129"/>
      <c r="R50" s="1087" t="s">
        <v>827</v>
      </c>
      <c r="S50" s="1088"/>
      <c r="T50" s="1088"/>
      <c r="U50" s="1088"/>
      <c r="V50" s="526">
        <f>43857-6000-1170+10844656</f>
        <v>10881343</v>
      </c>
      <c r="W50" s="1133"/>
      <c r="X50" s="335"/>
      <c r="Y50" s="358"/>
      <c r="Z50" s="346"/>
      <c r="AA50" s="357"/>
      <c r="AB50" s="358"/>
      <c r="AC50" s="359"/>
    </row>
    <row r="51" spans="1:29" ht="30" customHeight="1">
      <c r="A51" s="418"/>
      <c r="B51" s="372"/>
      <c r="C51" s="399"/>
      <c r="D51" s="400"/>
      <c r="E51" s="372"/>
      <c r="F51" s="373"/>
      <c r="G51" s="1136" t="s">
        <v>548</v>
      </c>
      <c r="H51" s="1088"/>
      <c r="I51" s="1088"/>
      <c r="J51" s="531">
        <v>6068200</v>
      </c>
      <c r="K51" s="1069"/>
      <c r="L51" s="504"/>
      <c r="M51" s="505"/>
      <c r="N51" s="505"/>
      <c r="O51" s="505"/>
      <c r="P51" s="374"/>
      <c r="Q51" s="1129"/>
      <c r="R51" s="1061" t="s">
        <v>1045</v>
      </c>
      <c r="S51" s="1062"/>
      <c r="T51" s="1062"/>
      <c r="U51" s="1062"/>
      <c r="V51" s="452">
        <f>6000+1170+233171-233171</f>
        <v>7170</v>
      </c>
      <c r="W51" s="1133"/>
      <c r="X51" s="335"/>
      <c r="Y51" s="358"/>
      <c r="Z51" s="346"/>
      <c r="AA51" s="357"/>
      <c r="AB51" s="358"/>
      <c r="AC51" s="359"/>
    </row>
    <row r="52" spans="1:29" ht="26.25" customHeight="1">
      <c r="A52" s="1108" t="s">
        <v>500</v>
      </c>
      <c r="B52" s="1142"/>
      <c r="C52" s="1143"/>
      <c r="D52" s="405">
        <f>SUM('6. kiadások megbontása'!D70)</f>
        <v>224457026</v>
      </c>
      <c r="E52" s="353">
        <f>SUM('6. kiadások megbontása'!E70)</f>
        <v>946150</v>
      </c>
      <c r="F52" s="354">
        <f>SUM(D52:E52)</f>
        <v>225403176</v>
      </c>
      <c r="G52" s="1136" t="s">
        <v>770</v>
      </c>
      <c r="H52" s="1088"/>
      <c r="I52" s="1088"/>
      <c r="J52" s="527">
        <v>21339990</v>
      </c>
      <c r="K52" s="1069"/>
      <c r="L52" s="398"/>
      <c r="M52" s="372"/>
      <c r="N52" s="372"/>
      <c r="O52" s="372"/>
      <c r="P52" s="372"/>
      <c r="Q52" s="1129"/>
      <c r="R52" s="1098"/>
      <c r="S52" s="1095"/>
      <c r="T52" s="1095"/>
      <c r="U52" s="1095"/>
      <c r="V52" s="335"/>
      <c r="W52" s="1133"/>
      <c r="X52" s="443">
        <f>SUM(W49+Q49+K49)</f>
        <v>188537779</v>
      </c>
      <c r="Y52" s="366">
        <v>0</v>
      </c>
      <c r="Z52" s="367">
        <f>SUM(X52:Y52)</f>
        <v>188537779</v>
      </c>
      <c r="AA52" s="444">
        <f>X52-D52</f>
        <v>-35919247</v>
      </c>
      <c r="AB52" s="366">
        <f>Y52-E52</f>
        <v>-946150</v>
      </c>
      <c r="AC52" s="368">
        <f>SUM(AA52:AB52)</f>
        <v>-36865397</v>
      </c>
    </row>
    <row r="53" spans="1:29" ht="29.25" customHeight="1">
      <c r="A53" s="349"/>
      <c r="B53" s="445"/>
      <c r="C53" s="665"/>
      <c r="D53" s="405"/>
      <c r="E53" s="353"/>
      <c r="F53" s="354"/>
      <c r="G53" s="1136" t="s">
        <v>772</v>
      </c>
      <c r="H53" s="1088"/>
      <c r="I53" s="1088"/>
      <c r="J53" s="531">
        <v>21890000</v>
      </c>
      <c r="K53" s="1069"/>
      <c r="L53" s="398"/>
      <c r="M53" s="372"/>
      <c r="N53" s="372"/>
      <c r="O53" s="372"/>
      <c r="P53" s="446"/>
      <c r="Q53" s="1129"/>
      <c r="R53" s="1098"/>
      <c r="S53" s="1095"/>
      <c r="T53" s="1095"/>
      <c r="U53" s="1095"/>
      <c r="V53" s="442"/>
      <c r="W53" s="1133"/>
      <c r="X53" s="420"/>
      <c r="Y53" s="356"/>
      <c r="Z53" s="367"/>
      <c r="AA53" s="365"/>
      <c r="AB53" s="366"/>
      <c r="AC53" s="359"/>
    </row>
    <row r="54" spans="1:29" ht="29.25" customHeight="1">
      <c r="A54" s="349"/>
      <c r="B54" s="445"/>
      <c r="C54" s="665"/>
      <c r="D54" s="405"/>
      <c r="E54" s="353"/>
      <c r="F54" s="354"/>
      <c r="G54" s="1136" t="s">
        <v>887</v>
      </c>
      <c r="H54" s="1088"/>
      <c r="I54" s="1088"/>
      <c r="J54" s="531">
        <v>7297579</v>
      </c>
      <c r="K54" s="1069"/>
      <c r="L54" s="398"/>
      <c r="M54" s="372"/>
      <c r="N54" s="372"/>
      <c r="O54" s="372"/>
      <c r="P54" s="446"/>
      <c r="Q54" s="1129"/>
      <c r="R54" s="503"/>
      <c r="S54" s="662"/>
      <c r="T54" s="662"/>
      <c r="U54" s="662"/>
      <c r="V54" s="442"/>
      <c r="W54" s="1133"/>
      <c r="X54" s="420"/>
      <c r="Y54" s="356"/>
      <c r="Z54" s="367"/>
      <c r="AA54" s="365"/>
      <c r="AB54" s="366"/>
      <c r="AC54" s="359"/>
    </row>
    <row r="55" spans="1:29" ht="29.25" customHeight="1">
      <c r="A55" s="349"/>
      <c r="B55" s="445"/>
      <c r="C55" s="665"/>
      <c r="D55" s="405"/>
      <c r="E55" s="353"/>
      <c r="F55" s="354"/>
      <c r="G55" s="1136" t="s">
        <v>828</v>
      </c>
      <c r="H55" s="1088"/>
      <c r="I55" s="1088"/>
      <c r="J55" s="527">
        <v>11544000</v>
      </c>
      <c r="K55" s="1069"/>
      <c r="L55" s="398"/>
      <c r="M55" s="372"/>
      <c r="N55" s="372"/>
      <c r="O55" s="372"/>
      <c r="P55" s="446"/>
      <c r="Q55" s="1129"/>
      <c r="R55" s="503"/>
      <c r="S55" s="662"/>
      <c r="T55" s="662"/>
      <c r="U55" s="662"/>
      <c r="V55" s="442"/>
      <c r="W55" s="1133"/>
      <c r="X55" s="420"/>
      <c r="Y55" s="356"/>
      <c r="Z55" s="367"/>
      <c r="AA55" s="365"/>
      <c r="AB55" s="366"/>
      <c r="AC55" s="359"/>
    </row>
    <row r="56" spans="1:29" ht="29.25" customHeight="1" thickBot="1">
      <c r="A56" s="349"/>
      <c r="B56" s="445"/>
      <c r="C56" s="665"/>
      <c r="D56" s="405"/>
      <c r="E56" s="353"/>
      <c r="F56" s="354"/>
      <c r="G56" s="1160" t="s">
        <v>985</v>
      </c>
      <c r="H56" s="1161"/>
      <c r="I56" s="1161"/>
      <c r="J56" s="933">
        <v>1443044</v>
      </c>
      <c r="K56" s="1069"/>
      <c r="L56" s="398"/>
      <c r="M56" s="372"/>
      <c r="N56" s="372"/>
      <c r="O56" s="372"/>
      <c r="P56" s="446"/>
      <c r="Q56" s="1129"/>
      <c r="R56" s="503"/>
      <c r="S56" s="662"/>
      <c r="T56" s="662"/>
      <c r="U56" s="662"/>
      <c r="V56" s="442"/>
      <c r="W56" s="1133"/>
      <c r="X56" s="420"/>
      <c r="Y56" s="356"/>
      <c r="Z56" s="367"/>
      <c r="AA56" s="365"/>
      <c r="AB56" s="366"/>
      <c r="AC56" s="359"/>
    </row>
    <row r="57" spans="1:29" ht="23.25" customHeight="1" thickBot="1">
      <c r="A57" s="1063" t="s">
        <v>501</v>
      </c>
      <c r="B57" s="1064"/>
      <c r="C57" s="1065"/>
      <c r="D57" s="928">
        <f>SUM('6. kiadások megbontása'!G70)</f>
        <v>46018399</v>
      </c>
      <c r="E57" s="928">
        <f>SUM('6. kiadások megbontása'!H69)</f>
        <v>0</v>
      </c>
      <c r="F57" s="929">
        <f>SUM(D57:E57)</f>
        <v>46018399</v>
      </c>
      <c r="G57" s="1156"/>
      <c r="H57" s="1062"/>
      <c r="I57" s="1062"/>
      <c r="J57" s="790"/>
      <c r="K57" s="930">
        <f>SUM(J57:J57)</f>
        <v>0</v>
      </c>
      <c r="L57" s="1116" t="s">
        <v>860</v>
      </c>
      <c r="M57" s="1117"/>
      <c r="N57" s="1117"/>
      <c r="O57" s="1117"/>
      <c r="P57" s="452">
        <v>6245115</v>
      </c>
      <c r="Q57" s="844">
        <f>SUM(P57:P57)</f>
        <v>6245115</v>
      </c>
      <c r="R57" s="1116" t="s">
        <v>768</v>
      </c>
      <c r="S57" s="1117"/>
      <c r="T57" s="1117"/>
      <c r="U57" s="1117"/>
      <c r="V57" s="452">
        <v>32890088</v>
      </c>
      <c r="W57" s="931">
        <f>SUM(V57:V57)</f>
        <v>32890088</v>
      </c>
      <c r="X57" s="932">
        <f>SUM(K57+Q57+W57)</f>
        <v>39135203</v>
      </c>
      <c r="Y57" s="457">
        <v>0</v>
      </c>
      <c r="Z57" s="461">
        <f>SUM(X57:Y57)</f>
        <v>39135203</v>
      </c>
      <c r="AA57" s="927">
        <f>X57-D57</f>
        <v>-6883196</v>
      </c>
      <c r="AB57" s="457">
        <f>Y57-E57</f>
        <v>0</v>
      </c>
      <c r="AC57" s="937">
        <f>SUM(AA57:AB57)</f>
        <v>-6883196</v>
      </c>
    </row>
    <row r="58" spans="1:223" s="502" customFormat="1" ht="44.25" customHeight="1" thickBot="1" thickTop="1">
      <c r="A58" s="1144" t="s">
        <v>861</v>
      </c>
      <c r="B58" s="1145"/>
      <c r="C58" s="1146"/>
      <c r="D58" s="934">
        <f>SUM(D50:D57)</f>
        <v>270475425</v>
      </c>
      <c r="E58" s="935">
        <f>SUM(E50:E57)</f>
        <v>946150</v>
      </c>
      <c r="F58" s="936">
        <f>SUM(D58:E58)</f>
        <v>271421575</v>
      </c>
      <c r="G58" s="794"/>
      <c r="H58" s="1073" t="s">
        <v>95</v>
      </c>
      <c r="I58" s="1074"/>
      <c r="J58" s="1075"/>
      <c r="K58" s="516">
        <f>SUM(K49:K57)</f>
        <v>176567796</v>
      </c>
      <c r="L58" s="515"/>
      <c r="M58" s="1076" t="s">
        <v>96</v>
      </c>
      <c r="N58" s="1076"/>
      <c r="O58" s="1076"/>
      <c r="P58" s="1077"/>
      <c r="Q58" s="516">
        <f>SUM(Q49:Q57)</f>
        <v>6245115</v>
      </c>
      <c r="R58" s="517"/>
      <c r="S58" s="1076" t="s">
        <v>97</v>
      </c>
      <c r="T58" s="1076"/>
      <c r="U58" s="1076"/>
      <c r="V58" s="1077"/>
      <c r="W58" s="516">
        <f>SUM(W49:W57)</f>
        <v>44860071</v>
      </c>
      <c r="X58" s="518">
        <f>SUM(X48:X57)</f>
        <v>227672982</v>
      </c>
      <c r="Y58" s="519">
        <f>SUM(Y48:Y57)</f>
        <v>0</v>
      </c>
      <c r="Z58" s="520">
        <f>SUM(X58:Y58)</f>
        <v>227672982</v>
      </c>
      <c r="AA58" s="518">
        <f>X58-D58</f>
        <v>-42802443</v>
      </c>
      <c r="AB58" s="521">
        <f>Y58-E58</f>
        <v>-946150</v>
      </c>
      <c r="AC58" s="520">
        <f>SUM(AA58:AB58)</f>
        <v>-43748593</v>
      </c>
      <c r="AD58" s="522"/>
      <c r="AE58" s="522"/>
      <c r="AF58" s="522"/>
      <c r="AG58" s="522"/>
      <c r="AH58" s="522"/>
      <c r="AI58" s="522"/>
      <c r="AJ58" s="522"/>
      <c r="AK58" s="522"/>
      <c r="AL58" s="522"/>
      <c r="AM58" s="522"/>
      <c r="AN58" s="522"/>
      <c r="AO58" s="522"/>
      <c r="AP58" s="522"/>
      <c r="AQ58" s="522"/>
      <c r="AR58" s="522"/>
      <c r="AS58" s="522"/>
      <c r="AT58" s="522"/>
      <c r="AU58" s="522"/>
      <c r="AV58" s="522"/>
      <c r="AW58" s="522"/>
      <c r="AX58" s="522"/>
      <c r="AY58" s="522"/>
      <c r="AZ58" s="522"/>
      <c r="BA58" s="522"/>
      <c r="BB58" s="522"/>
      <c r="BC58" s="522"/>
      <c r="BD58" s="522"/>
      <c r="BE58" s="522"/>
      <c r="BF58" s="522"/>
      <c r="BG58" s="522"/>
      <c r="BH58" s="522"/>
      <c r="BI58" s="522"/>
      <c r="BJ58" s="522"/>
      <c r="BK58" s="522"/>
      <c r="BL58" s="522"/>
      <c r="BM58" s="522"/>
      <c r="BN58" s="522"/>
      <c r="BO58" s="522"/>
      <c r="BP58" s="522"/>
      <c r="BQ58" s="522"/>
      <c r="BR58" s="522"/>
      <c r="BS58" s="522"/>
      <c r="BT58" s="522"/>
      <c r="BU58" s="522"/>
      <c r="BV58" s="522"/>
      <c r="BW58" s="522"/>
      <c r="BX58" s="522"/>
      <c r="BY58" s="522"/>
      <c r="BZ58" s="522"/>
      <c r="CA58" s="522"/>
      <c r="CB58" s="522"/>
      <c r="CC58" s="522"/>
      <c r="CD58" s="522"/>
      <c r="CE58" s="522"/>
      <c r="CF58" s="522"/>
      <c r="CG58" s="522"/>
      <c r="CH58" s="522"/>
      <c r="CI58" s="522"/>
      <c r="CJ58" s="522"/>
      <c r="CK58" s="522"/>
      <c r="CL58" s="522"/>
      <c r="CM58" s="522"/>
      <c r="CN58" s="522"/>
      <c r="CO58" s="522"/>
      <c r="CP58" s="522"/>
      <c r="CQ58" s="522"/>
      <c r="CR58" s="522"/>
      <c r="CS58" s="522"/>
      <c r="CT58" s="522"/>
      <c r="CU58" s="522"/>
      <c r="CV58" s="522"/>
      <c r="CW58" s="522"/>
      <c r="CX58" s="522"/>
      <c r="CY58" s="522"/>
      <c r="CZ58" s="522"/>
      <c r="DA58" s="522"/>
      <c r="DB58" s="522"/>
      <c r="DC58" s="522"/>
      <c r="DD58" s="522"/>
      <c r="DE58" s="522"/>
      <c r="DF58" s="522"/>
      <c r="DG58" s="522"/>
      <c r="DH58" s="522"/>
      <c r="DI58" s="522"/>
      <c r="DJ58" s="522"/>
      <c r="DK58" s="522"/>
      <c r="DL58" s="522"/>
      <c r="DM58" s="522"/>
      <c r="DN58" s="522"/>
      <c r="DO58" s="522"/>
      <c r="DP58" s="522"/>
      <c r="DQ58" s="522"/>
      <c r="DR58" s="522"/>
      <c r="DS58" s="522"/>
      <c r="DT58" s="522"/>
      <c r="DU58" s="522"/>
      <c r="DV58" s="522"/>
      <c r="DW58" s="522"/>
      <c r="DX58" s="522"/>
      <c r="DY58" s="522"/>
      <c r="DZ58" s="522"/>
      <c r="EA58" s="522"/>
      <c r="EB58" s="522"/>
      <c r="EC58" s="522"/>
      <c r="ED58" s="522"/>
      <c r="EE58" s="522"/>
      <c r="EF58" s="522"/>
      <c r="EG58" s="522"/>
      <c r="EH58" s="522"/>
      <c r="EI58" s="522"/>
      <c r="EJ58" s="522"/>
      <c r="EK58" s="522"/>
      <c r="EL58" s="522"/>
      <c r="EM58" s="522"/>
      <c r="EN58" s="522"/>
      <c r="EO58" s="522"/>
      <c r="EP58" s="522"/>
      <c r="EQ58" s="522"/>
      <c r="ER58" s="522"/>
      <c r="ES58" s="522"/>
      <c r="ET58" s="522"/>
      <c r="EU58" s="522"/>
      <c r="EV58" s="522"/>
      <c r="EW58" s="522"/>
      <c r="EX58" s="522"/>
      <c r="EY58" s="522"/>
      <c r="EZ58" s="522"/>
      <c r="FA58" s="522"/>
      <c r="FB58" s="522"/>
      <c r="FC58" s="522"/>
      <c r="FD58" s="522"/>
      <c r="FE58" s="522"/>
      <c r="FF58" s="522"/>
      <c r="FG58" s="522"/>
      <c r="FH58" s="522"/>
      <c r="FI58" s="522"/>
      <c r="FJ58" s="522"/>
      <c r="FK58" s="522"/>
      <c r="FL58" s="522"/>
      <c r="FM58" s="522"/>
      <c r="FN58" s="522"/>
      <c r="FO58" s="522"/>
      <c r="FP58" s="522"/>
      <c r="FQ58" s="522"/>
      <c r="FR58" s="522"/>
      <c r="FS58" s="522"/>
      <c r="FT58" s="522"/>
      <c r="FU58" s="522"/>
      <c r="FV58" s="522"/>
      <c r="FW58" s="522"/>
      <c r="FX58" s="522"/>
      <c r="FY58" s="522"/>
      <c r="FZ58" s="522"/>
      <c r="GA58" s="522"/>
      <c r="GB58" s="522"/>
      <c r="GC58" s="522"/>
      <c r="GD58" s="522"/>
      <c r="GE58" s="522"/>
      <c r="GF58" s="522"/>
      <c r="GG58" s="522"/>
      <c r="GH58" s="522"/>
      <c r="GI58" s="522"/>
      <c r="GJ58" s="522"/>
      <c r="GK58" s="522"/>
      <c r="GL58" s="522"/>
      <c r="GM58" s="522"/>
      <c r="GN58" s="522"/>
      <c r="GO58" s="522"/>
      <c r="GP58" s="522"/>
      <c r="GQ58" s="522"/>
      <c r="GR58" s="522"/>
      <c r="GS58" s="522"/>
      <c r="GT58" s="522"/>
      <c r="GU58" s="522"/>
      <c r="GV58" s="522"/>
      <c r="GW58" s="522"/>
      <c r="GX58" s="522"/>
      <c r="GY58" s="522"/>
      <c r="GZ58" s="522"/>
      <c r="HA58" s="522"/>
      <c r="HB58" s="522"/>
      <c r="HC58" s="522"/>
      <c r="HD58" s="522"/>
      <c r="HE58" s="522"/>
      <c r="HF58" s="522"/>
      <c r="HG58" s="522"/>
      <c r="HH58" s="522"/>
      <c r="HI58" s="522"/>
      <c r="HJ58" s="522"/>
      <c r="HK58" s="522"/>
      <c r="HL58" s="522"/>
      <c r="HM58" s="522"/>
      <c r="HN58" s="522"/>
      <c r="HO58" s="522"/>
    </row>
    <row r="59" spans="1:29" ht="21" customHeight="1" thickBot="1" thickTop="1">
      <c r="A59" s="1164" t="s">
        <v>373</v>
      </c>
      <c r="B59" s="1165"/>
      <c r="C59" s="1166"/>
      <c r="D59" s="473">
        <f>SUM(D58,D36,D27,D45)</f>
        <v>1168956797</v>
      </c>
      <c r="E59" s="473">
        <f>SUM(E58,E36,E27,E45)</f>
        <v>1231672794</v>
      </c>
      <c r="F59" s="474">
        <f>SUM(D59:E59)</f>
        <v>2400629591</v>
      </c>
      <c r="G59" s="475"/>
      <c r="H59" s="1153" t="s">
        <v>100</v>
      </c>
      <c r="I59" s="1154"/>
      <c r="J59" s="1155"/>
      <c r="K59" s="477">
        <f>SUM(K58,K36,K27,K45)</f>
        <v>474324803</v>
      </c>
      <c r="L59" s="476"/>
      <c r="M59" s="1134" t="s">
        <v>101</v>
      </c>
      <c r="N59" s="1134"/>
      <c r="O59" s="1134"/>
      <c r="P59" s="1135"/>
      <c r="Q59" s="477">
        <f>SUM(Q58,Q36,Q27,Q45)</f>
        <v>164309145</v>
      </c>
      <c r="R59" s="478"/>
      <c r="S59" s="1134" t="s">
        <v>102</v>
      </c>
      <c r="T59" s="1134"/>
      <c r="U59" s="1134"/>
      <c r="V59" s="1135"/>
      <c r="W59" s="808">
        <f>SUM(W58,W36,W27,W45)</f>
        <v>1761995643</v>
      </c>
      <c r="X59" s="809">
        <f>SUM(X58,X36,X27,X45)</f>
        <v>1129263238</v>
      </c>
      <c r="Y59" s="479">
        <f>SUM(Y58,Y36,Y27,Y45)</f>
        <v>1271366353</v>
      </c>
      <c r="Z59" s="480">
        <f>SUM(W59+Q59+K59)</f>
        <v>2400629591</v>
      </c>
      <c r="AA59" s="479">
        <f>SUM(AA58,AA36,AA27,AA45)</f>
        <v>-39693559</v>
      </c>
      <c r="AB59" s="479">
        <f>SUM(AB58,AB36,AB27,AB45)</f>
        <v>39693559</v>
      </c>
      <c r="AC59" s="718">
        <f>SUM(AC58,AC36,AC27,AC45)</f>
        <v>0</v>
      </c>
    </row>
    <row r="60" spans="1:29" ht="19.5" thickTop="1">
      <c r="A60" s="1167"/>
      <c r="B60" s="1168"/>
      <c r="C60" s="1168"/>
      <c r="D60" s="440"/>
      <c r="E60" s="440"/>
      <c r="F60" s="440"/>
      <c r="G60" s="386"/>
      <c r="H60" s="386"/>
      <c r="I60" s="386"/>
      <c r="J60" s="481"/>
      <c r="K60" s="415"/>
      <c r="L60" s="384"/>
      <c r="M60" s="372"/>
      <c r="N60" s="372"/>
      <c r="O60" s="372"/>
      <c r="P60" s="372"/>
      <c r="Q60" s="372"/>
      <c r="R60" s="384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384"/>
    </row>
    <row r="61" spans="1:29" ht="15.75">
      <c r="A61" s="440"/>
      <c r="B61" s="440"/>
      <c r="C61" s="440"/>
      <c r="D61" s="1126" t="s">
        <v>498</v>
      </c>
      <c r="E61" s="1127"/>
      <c r="F61" s="1127"/>
      <c r="G61" s="337"/>
      <c r="H61" s="337"/>
      <c r="I61" s="337"/>
      <c r="J61" s="331"/>
      <c r="K61" s="415"/>
      <c r="L61" s="372"/>
      <c r="M61" s="372"/>
      <c r="N61" s="372"/>
      <c r="O61" s="372"/>
      <c r="P61" s="372"/>
      <c r="Q61" s="372"/>
      <c r="R61" s="372"/>
      <c r="S61" s="440"/>
      <c r="T61" s="440"/>
      <c r="U61" s="440"/>
      <c r="V61" s="440"/>
      <c r="W61" s="1126" t="s">
        <v>103</v>
      </c>
      <c r="X61" s="1127"/>
      <c r="Y61" s="1127"/>
      <c r="Z61" s="482"/>
      <c r="AA61" s="1126" t="s">
        <v>88</v>
      </c>
      <c r="AB61" s="1127"/>
      <c r="AC61" s="1127"/>
    </row>
    <row r="62" spans="1:29" ht="15.75">
      <c r="A62" s="440"/>
      <c r="B62" s="440"/>
      <c r="C62" s="440"/>
      <c r="D62" s="483" t="s">
        <v>89</v>
      </c>
      <c r="E62" s="483" t="s">
        <v>104</v>
      </c>
      <c r="F62" s="483" t="s">
        <v>90</v>
      </c>
      <c r="G62" s="337"/>
      <c r="H62" s="337"/>
      <c r="I62" s="337"/>
      <c r="J62" s="331"/>
      <c r="K62" s="415"/>
      <c r="L62" s="372"/>
      <c r="M62" s="372"/>
      <c r="N62" s="372"/>
      <c r="O62" s="372"/>
      <c r="P62" s="372"/>
      <c r="Q62" s="372"/>
      <c r="R62" s="372"/>
      <c r="S62" s="1101"/>
      <c r="T62" s="1101"/>
      <c r="U62" s="1101"/>
      <c r="V62" s="1101"/>
      <c r="W62" s="483" t="s">
        <v>89</v>
      </c>
      <c r="X62" s="483" t="s">
        <v>104</v>
      </c>
      <c r="Y62" s="483" t="s">
        <v>90</v>
      </c>
      <c r="Z62" s="484"/>
      <c r="AA62" s="483" t="s">
        <v>89</v>
      </c>
      <c r="AB62" s="483" t="s">
        <v>104</v>
      </c>
      <c r="AC62" s="483" t="s">
        <v>90</v>
      </c>
    </row>
    <row r="63" spans="1:29" ht="15.75">
      <c r="A63" s="440"/>
      <c r="B63" s="440"/>
      <c r="C63" s="485" t="s">
        <v>105</v>
      </c>
      <c r="D63" s="440"/>
      <c r="E63" s="440"/>
      <c r="F63" s="440"/>
      <c r="G63" s="337"/>
      <c r="H63" s="337"/>
      <c r="I63" s="337"/>
      <c r="J63" s="331"/>
      <c r="K63" s="415"/>
      <c r="L63" s="372"/>
      <c r="M63" s="372"/>
      <c r="N63" s="372"/>
      <c r="O63" s="372"/>
      <c r="P63" s="372"/>
      <c r="Q63" s="372"/>
      <c r="R63" s="372"/>
      <c r="S63" s="440"/>
      <c r="T63" s="485" t="s">
        <v>105</v>
      </c>
      <c r="U63" s="440"/>
      <c r="V63" s="1126"/>
      <c r="W63" s="1127"/>
      <c r="X63" s="440"/>
      <c r="Y63" s="440"/>
      <c r="Z63" s="440"/>
      <c r="AA63" s="440"/>
      <c r="AB63" s="440"/>
      <c r="AC63" s="372"/>
    </row>
    <row r="64" spans="1:29" ht="15.75">
      <c r="A64" s="440"/>
      <c r="B64" s="440"/>
      <c r="C64" s="440" t="s">
        <v>106</v>
      </c>
      <c r="D64" s="486">
        <f>SUM(D10)</f>
        <v>443667701</v>
      </c>
      <c r="E64" s="486">
        <f>SUM(E10)</f>
        <v>323573970</v>
      </c>
      <c r="F64" s="486">
        <f>SUM(D64:E64)</f>
        <v>767241671</v>
      </c>
      <c r="G64" s="337"/>
      <c r="H64" s="337"/>
      <c r="I64" s="337"/>
      <c r="J64" s="331"/>
      <c r="K64" s="415"/>
      <c r="L64" s="372"/>
      <c r="M64" s="372"/>
      <c r="N64" s="372"/>
      <c r="O64" s="372"/>
      <c r="P64" s="372"/>
      <c r="Q64" s="372"/>
      <c r="R64" s="372"/>
      <c r="S64" s="440"/>
      <c r="T64" s="440" t="s">
        <v>106</v>
      </c>
      <c r="U64" s="440"/>
      <c r="V64" s="440"/>
      <c r="W64" s="486">
        <f>SUM(X14)</f>
        <v>519114106</v>
      </c>
      <c r="X64" s="486">
        <f>Y14</f>
        <v>377462502</v>
      </c>
      <c r="Y64" s="486">
        <f>SUM(W64:X64)</f>
        <v>896576608</v>
      </c>
      <c r="Z64" s="422"/>
      <c r="AA64" s="486">
        <f aca="true" t="shared" si="0" ref="AA64:AB67">W64-D64</f>
        <v>75446405</v>
      </c>
      <c r="AB64" s="486">
        <f t="shared" si="0"/>
        <v>53888532</v>
      </c>
      <c r="AC64" s="422">
        <f>SUM(AA64:AB64)</f>
        <v>129334937</v>
      </c>
    </row>
    <row r="65" spans="1:29" ht="15.75">
      <c r="A65" s="440"/>
      <c r="B65" s="440"/>
      <c r="C65" s="440" t="s">
        <v>380</v>
      </c>
      <c r="D65" s="486">
        <f>SUM(D32)</f>
        <v>153000594</v>
      </c>
      <c r="E65" s="486">
        <f>SUM(E32)</f>
        <v>1016000</v>
      </c>
      <c r="F65" s="486">
        <f>SUM(D65:E65)</f>
        <v>154016594</v>
      </c>
      <c r="G65" s="337"/>
      <c r="H65" s="337"/>
      <c r="I65" s="337"/>
      <c r="J65" s="487"/>
      <c r="K65" s="415"/>
      <c r="L65" s="372"/>
      <c r="M65" s="372"/>
      <c r="N65" s="372"/>
      <c r="O65" s="372"/>
      <c r="P65" s="372"/>
      <c r="Q65" s="372"/>
      <c r="R65" s="372"/>
      <c r="S65" s="440"/>
      <c r="T65" s="440" t="s">
        <v>380</v>
      </c>
      <c r="U65" s="440"/>
      <c r="V65" s="440"/>
      <c r="W65" s="486">
        <f>SUM(X32)</f>
        <v>144789828</v>
      </c>
      <c r="X65" s="486">
        <f>Y32</f>
        <v>0</v>
      </c>
      <c r="Y65" s="486">
        <f>SUM(W65:X65)</f>
        <v>144789828</v>
      </c>
      <c r="Z65" s="422"/>
      <c r="AA65" s="486">
        <f t="shared" si="0"/>
        <v>-8210766</v>
      </c>
      <c r="AB65" s="486">
        <f t="shared" si="0"/>
        <v>-1016000</v>
      </c>
      <c r="AC65" s="422">
        <f>SUM(AA65:AB65)</f>
        <v>-9226766</v>
      </c>
    </row>
    <row r="66" spans="1:29" ht="15.75">
      <c r="A66" s="440"/>
      <c r="B66" s="440"/>
      <c r="C66" s="440" t="s">
        <v>826</v>
      </c>
      <c r="D66" s="486">
        <f>SUM(D40)</f>
        <v>25643652</v>
      </c>
      <c r="E66" s="486">
        <f>SUM(E40)</f>
        <v>635000</v>
      </c>
      <c r="F66" s="486">
        <f>SUM(D66:E66)</f>
        <v>26278652</v>
      </c>
      <c r="G66" s="337"/>
      <c r="H66" s="337"/>
      <c r="I66" s="337"/>
      <c r="J66" s="487"/>
      <c r="K66" s="415"/>
      <c r="L66" s="372"/>
      <c r="M66" s="372"/>
      <c r="N66" s="372"/>
      <c r="O66" s="372"/>
      <c r="P66" s="372"/>
      <c r="Q66" s="372"/>
      <c r="R66" s="372"/>
      <c r="S66" s="440"/>
      <c r="T66" s="440" t="s">
        <v>858</v>
      </c>
      <c r="U66" s="440"/>
      <c r="V66" s="440"/>
      <c r="W66" s="486">
        <f>SUM(X40)</f>
        <v>16749952</v>
      </c>
      <c r="X66" s="486">
        <f>SUM(Y40)</f>
        <v>0</v>
      </c>
      <c r="Y66" s="486">
        <f>SUM(W66:X66)</f>
        <v>16749952</v>
      </c>
      <c r="Z66" s="422"/>
      <c r="AA66" s="486">
        <f>W66-D66</f>
        <v>-8893700</v>
      </c>
      <c r="AB66" s="486">
        <f>X66-E66</f>
        <v>-635000</v>
      </c>
      <c r="AC66" s="422">
        <f>SUM(AA66:AB66)</f>
        <v>-9528700</v>
      </c>
    </row>
    <row r="67" spans="1:29" ht="12.75">
      <c r="A67" s="440"/>
      <c r="B67" s="440"/>
      <c r="C67" s="488" t="s">
        <v>107</v>
      </c>
      <c r="D67" s="489">
        <f>SUM(D52)</f>
        <v>224457026</v>
      </c>
      <c r="E67" s="489">
        <f>SUM(E52)</f>
        <v>946150</v>
      </c>
      <c r="F67" s="489">
        <f>SUM(D67:E67)</f>
        <v>225403176</v>
      </c>
      <c r="G67" s="440"/>
      <c r="H67" s="440"/>
      <c r="I67" s="440"/>
      <c r="J67" s="440"/>
      <c r="K67" s="372"/>
      <c r="L67" s="372"/>
      <c r="M67" s="372"/>
      <c r="N67" s="372"/>
      <c r="O67" s="372"/>
      <c r="P67" s="372"/>
      <c r="Q67" s="372"/>
      <c r="R67" s="372"/>
      <c r="S67" s="440"/>
      <c r="T67" s="488" t="s">
        <v>107</v>
      </c>
      <c r="U67" s="490"/>
      <c r="V67" s="490"/>
      <c r="W67" s="489">
        <f>SUM(X52)</f>
        <v>188537779</v>
      </c>
      <c r="X67" s="489">
        <f>Y52</f>
        <v>0</v>
      </c>
      <c r="Y67" s="489">
        <f>SUM(W67:X67)</f>
        <v>188537779</v>
      </c>
      <c r="Z67" s="422"/>
      <c r="AA67" s="489">
        <f t="shared" si="0"/>
        <v>-35919247</v>
      </c>
      <c r="AB67" s="489">
        <f t="shared" si="0"/>
        <v>-946150</v>
      </c>
      <c r="AC67" s="489">
        <f>SUM(AA67:AB67)</f>
        <v>-36865397</v>
      </c>
    </row>
    <row r="68" spans="1:29" ht="12.75">
      <c r="A68" s="440"/>
      <c r="B68" s="440"/>
      <c r="C68" s="491" t="s">
        <v>372</v>
      </c>
      <c r="D68" s="486">
        <f>SUM(D64:D67)</f>
        <v>846768973</v>
      </c>
      <c r="E68" s="486">
        <f>SUM(E64:E67)</f>
        <v>326171120</v>
      </c>
      <c r="F68" s="486">
        <f>SUM(F64:F67)</f>
        <v>1172940093</v>
      </c>
      <c r="G68" s="440"/>
      <c r="H68" s="440"/>
      <c r="I68" s="440"/>
      <c r="J68" s="440"/>
      <c r="K68" s="372"/>
      <c r="L68" s="372"/>
      <c r="M68" s="372"/>
      <c r="N68" s="372"/>
      <c r="O68" s="372"/>
      <c r="P68" s="372"/>
      <c r="Q68" s="372"/>
      <c r="R68" s="372"/>
      <c r="S68" s="440"/>
      <c r="T68" s="491" t="s">
        <v>372</v>
      </c>
      <c r="U68" s="440"/>
      <c r="V68" s="491"/>
      <c r="W68" s="486">
        <f>SUM(W64:W67)</f>
        <v>869191665</v>
      </c>
      <c r="X68" s="486">
        <f>SUM(X64:X67)</f>
        <v>377462502</v>
      </c>
      <c r="Y68" s="486">
        <f>SUM(Y64:Y67)</f>
        <v>1246654167</v>
      </c>
      <c r="Z68" s="422"/>
      <c r="AA68" s="486">
        <f>SUM(AA64:AA67)</f>
        <v>22422692</v>
      </c>
      <c r="AB68" s="486">
        <f>SUM(AB64:AB67)</f>
        <v>51291382</v>
      </c>
      <c r="AC68" s="486">
        <f>SUM(AC64:AC67)</f>
        <v>73714074</v>
      </c>
    </row>
    <row r="69" spans="1:29" ht="12.75">
      <c r="A69" s="440"/>
      <c r="B69" s="440"/>
      <c r="C69" s="491"/>
      <c r="D69" s="486"/>
      <c r="E69" s="486"/>
      <c r="F69" s="486"/>
      <c r="G69" s="440"/>
      <c r="H69" s="440"/>
      <c r="I69" s="440"/>
      <c r="J69" s="440"/>
      <c r="K69" s="440"/>
      <c r="L69" s="372"/>
      <c r="M69" s="372"/>
      <c r="N69" s="372"/>
      <c r="O69" s="372"/>
      <c r="P69" s="372"/>
      <c r="Q69" s="372"/>
      <c r="R69" s="372"/>
      <c r="S69" s="440"/>
      <c r="T69" s="440"/>
      <c r="U69" s="440"/>
      <c r="V69" s="440"/>
      <c r="W69" s="440"/>
      <c r="X69" s="440"/>
      <c r="Y69" s="440"/>
      <c r="Z69" s="440"/>
      <c r="AA69" s="440"/>
      <c r="AB69" s="440"/>
      <c r="AC69" s="372"/>
    </row>
    <row r="70" spans="1:29" ht="12.75">
      <c r="A70" s="440"/>
      <c r="B70" s="440"/>
      <c r="C70" s="485" t="s">
        <v>108</v>
      </c>
      <c r="D70" s="486"/>
      <c r="E70" s="486"/>
      <c r="F70" s="486"/>
      <c r="G70" s="440"/>
      <c r="H70" s="440"/>
      <c r="I70" s="440"/>
      <c r="J70" s="440"/>
      <c r="K70" s="440"/>
      <c r="L70" s="372"/>
      <c r="M70" s="372"/>
      <c r="N70" s="372"/>
      <c r="O70" s="372"/>
      <c r="P70" s="372"/>
      <c r="Q70" s="372"/>
      <c r="R70" s="372"/>
      <c r="S70" s="440"/>
      <c r="T70" s="485" t="s">
        <v>108</v>
      </c>
      <c r="U70" s="492"/>
      <c r="V70" s="485"/>
      <c r="W70" s="493"/>
      <c r="X70" s="493"/>
      <c r="Y70" s="440"/>
      <c r="Z70" s="440"/>
      <c r="AA70" s="440"/>
      <c r="AB70" s="440"/>
      <c r="AC70" s="372"/>
    </row>
    <row r="71" spans="1:29" ht="12.75">
      <c r="A71" s="440"/>
      <c r="B71" s="440"/>
      <c r="C71" s="440" t="s">
        <v>106</v>
      </c>
      <c r="D71" s="486">
        <f>SUM(D24)</f>
        <v>229595043</v>
      </c>
      <c r="E71" s="486">
        <f>SUM(E24)</f>
        <v>903004574</v>
      </c>
      <c r="F71" s="486">
        <f>SUM(D71:E71)</f>
        <v>1132599617</v>
      </c>
      <c r="G71" s="440"/>
      <c r="H71" s="440"/>
      <c r="I71" s="440"/>
      <c r="J71" s="440"/>
      <c r="K71" s="440"/>
      <c r="L71" s="372"/>
      <c r="M71" s="372"/>
      <c r="N71" s="372"/>
      <c r="O71" s="372"/>
      <c r="P71" s="372"/>
      <c r="Q71" s="372"/>
      <c r="R71" s="372"/>
      <c r="S71" s="440"/>
      <c r="T71" s="440" t="s">
        <v>106</v>
      </c>
      <c r="U71" s="440"/>
      <c r="V71" s="440"/>
      <c r="W71" s="486">
        <f>SUM(X24)</f>
        <v>194418270</v>
      </c>
      <c r="X71" s="486">
        <f>Y24</f>
        <v>891406751</v>
      </c>
      <c r="Y71" s="486">
        <f>SUM(W71:X71)</f>
        <v>1085825021</v>
      </c>
      <c r="Z71" s="422"/>
      <c r="AA71" s="486">
        <f aca="true" t="shared" si="1" ref="AA71:AB74">W71-D71</f>
        <v>-35176773</v>
      </c>
      <c r="AB71" s="486">
        <f t="shared" si="1"/>
        <v>-11597823</v>
      </c>
      <c r="AC71" s="422">
        <f>SUM(AA71:AB71)</f>
        <v>-46774596</v>
      </c>
    </row>
    <row r="72" spans="1:29" ht="12.75">
      <c r="A72" s="440"/>
      <c r="B72" s="440"/>
      <c r="C72" s="440" t="s">
        <v>380</v>
      </c>
      <c r="D72" s="486">
        <f>D35</f>
        <v>4015200</v>
      </c>
      <c r="E72" s="486">
        <v>0</v>
      </c>
      <c r="F72" s="486">
        <f>SUM(D72:E72)</f>
        <v>4015200</v>
      </c>
      <c r="G72" s="440"/>
      <c r="H72" s="440"/>
      <c r="I72" s="440"/>
      <c r="J72" s="440"/>
      <c r="K72" s="440"/>
      <c r="L72" s="372"/>
      <c r="M72" s="372"/>
      <c r="N72" s="372"/>
      <c r="O72" s="372"/>
      <c r="P72" s="372"/>
      <c r="Q72" s="372"/>
      <c r="R72" s="372"/>
      <c r="S72" s="440"/>
      <c r="T72" s="440" t="s">
        <v>380</v>
      </c>
      <c r="U72" s="440"/>
      <c r="V72" s="440"/>
      <c r="W72" s="486">
        <f>SUM(X35)</f>
        <v>4015200</v>
      </c>
      <c r="X72" s="486">
        <v>0</v>
      </c>
      <c r="Y72" s="486">
        <f>SUM(W72:X72)</f>
        <v>4015200</v>
      </c>
      <c r="Z72" s="422"/>
      <c r="AA72" s="486">
        <f t="shared" si="1"/>
        <v>0</v>
      </c>
      <c r="AB72" s="486">
        <f t="shared" si="1"/>
        <v>0</v>
      </c>
      <c r="AC72" s="422">
        <f>SUM(AA72:AB72)</f>
        <v>0</v>
      </c>
    </row>
    <row r="73" spans="1:29" ht="12.75">
      <c r="A73" s="440"/>
      <c r="B73" s="440"/>
      <c r="C73" s="440" t="s">
        <v>826</v>
      </c>
      <c r="D73" s="486">
        <f>SUM(D43)</f>
        <v>22502900</v>
      </c>
      <c r="E73" s="486">
        <f>SUM(E43)</f>
        <v>2497100</v>
      </c>
      <c r="F73" s="486">
        <f>SUM(D73:E73)</f>
        <v>25000000</v>
      </c>
      <c r="G73" s="440"/>
      <c r="H73" s="440"/>
      <c r="I73" s="440"/>
      <c r="J73" s="440"/>
      <c r="K73" s="440"/>
      <c r="L73" s="372"/>
      <c r="M73" s="372"/>
      <c r="N73" s="372"/>
      <c r="O73" s="372"/>
      <c r="P73" s="372"/>
      <c r="Q73" s="372"/>
      <c r="R73" s="372"/>
      <c r="S73" s="440"/>
      <c r="T73" s="440" t="s">
        <v>858</v>
      </c>
      <c r="U73" s="440"/>
      <c r="V73" s="440"/>
      <c r="W73" s="486">
        <f>X43</f>
        <v>22502900</v>
      </c>
      <c r="X73" s="486">
        <f>Y43</f>
        <v>2497100</v>
      </c>
      <c r="Y73" s="486">
        <f>SUM(W73:X73)</f>
        <v>25000000</v>
      </c>
      <c r="Z73" s="422"/>
      <c r="AA73" s="486">
        <f>W73-D73</f>
        <v>0</v>
      </c>
      <c r="AB73" s="486">
        <f>X73-E73</f>
        <v>0</v>
      </c>
      <c r="AC73" s="422">
        <f>SUM(AA73:AB73)</f>
        <v>0</v>
      </c>
    </row>
    <row r="74" spans="1:29" ht="12.75">
      <c r="A74" s="440"/>
      <c r="B74" s="440"/>
      <c r="C74" s="488" t="s">
        <v>107</v>
      </c>
      <c r="D74" s="489">
        <f>SUM(D57)</f>
        <v>46018399</v>
      </c>
      <c r="E74" s="489">
        <f>E57</f>
        <v>0</v>
      </c>
      <c r="F74" s="489">
        <f>SUM(D74:E74)</f>
        <v>46018399</v>
      </c>
      <c r="G74" s="440"/>
      <c r="H74" s="440"/>
      <c r="I74" s="440"/>
      <c r="J74" s="440"/>
      <c r="K74" s="440"/>
      <c r="L74" s="372"/>
      <c r="M74" s="372"/>
      <c r="N74" s="372"/>
      <c r="O74" s="372"/>
      <c r="P74" s="372"/>
      <c r="Q74" s="372"/>
      <c r="R74" s="372"/>
      <c r="S74" s="440"/>
      <c r="T74" s="488" t="s">
        <v>107</v>
      </c>
      <c r="U74" s="490"/>
      <c r="V74" s="490"/>
      <c r="W74" s="489">
        <f>SUM(X57)</f>
        <v>39135203</v>
      </c>
      <c r="X74" s="489">
        <v>0</v>
      </c>
      <c r="Y74" s="489">
        <f>SUM(W74:X74)</f>
        <v>39135203</v>
      </c>
      <c r="Z74" s="422"/>
      <c r="AA74" s="489">
        <f t="shared" si="1"/>
        <v>-6883196</v>
      </c>
      <c r="AB74" s="489">
        <f t="shared" si="1"/>
        <v>0</v>
      </c>
      <c r="AC74" s="489">
        <f>SUM(AA74:AB74)</f>
        <v>-6883196</v>
      </c>
    </row>
    <row r="75" spans="1:29" ht="12.75">
      <c r="A75" s="440"/>
      <c r="B75" s="440"/>
      <c r="C75" s="491" t="s">
        <v>372</v>
      </c>
      <c r="D75" s="486">
        <f>SUM(D71:D74)</f>
        <v>302131542</v>
      </c>
      <c r="E75" s="486">
        <f>SUM(E71:E74)</f>
        <v>905501674</v>
      </c>
      <c r="F75" s="486">
        <f>SUM(F71:F74)</f>
        <v>1207633216</v>
      </c>
      <c r="G75" s="440"/>
      <c r="H75" s="440"/>
      <c r="I75" s="440"/>
      <c r="J75" s="440"/>
      <c r="K75" s="440"/>
      <c r="L75" s="372"/>
      <c r="M75" s="372"/>
      <c r="N75" s="372"/>
      <c r="O75" s="372"/>
      <c r="P75" s="372"/>
      <c r="Q75" s="372"/>
      <c r="R75" s="372"/>
      <c r="S75" s="440"/>
      <c r="T75" s="491" t="s">
        <v>372</v>
      </c>
      <c r="U75" s="440"/>
      <c r="V75" s="491"/>
      <c r="W75" s="486">
        <f>SUM(W71:W74)</f>
        <v>260071573</v>
      </c>
      <c r="X75" s="486">
        <f>SUM(X71:X74)</f>
        <v>893903851</v>
      </c>
      <c r="Y75" s="486">
        <f>SUM(Y71:Y74)</f>
        <v>1153975424</v>
      </c>
      <c r="Z75" s="422"/>
      <c r="AA75" s="486">
        <f>SUM(AA71:AA74)</f>
        <v>-42059969</v>
      </c>
      <c r="AB75" s="486">
        <f>SUM(AB71:AB74)</f>
        <v>-11597823</v>
      </c>
      <c r="AC75" s="486">
        <f>SUM(AC71:AC74)</f>
        <v>-53657792</v>
      </c>
    </row>
    <row r="76" spans="1:29" ht="12.75">
      <c r="A76" s="440"/>
      <c r="B76" s="440"/>
      <c r="C76" s="491"/>
      <c r="D76" s="486"/>
      <c r="E76" s="486"/>
      <c r="F76" s="486"/>
      <c r="G76" s="440"/>
      <c r="H76" s="440"/>
      <c r="I76" s="440"/>
      <c r="J76" s="440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372"/>
      <c r="AA76" s="486"/>
      <c r="AB76" s="486"/>
      <c r="AC76" s="372"/>
    </row>
    <row r="77" spans="1:29" ht="12.75">
      <c r="A77" s="440"/>
      <c r="B77" s="440"/>
      <c r="C77" s="485" t="s">
        <v>109</v>
      </c>
      <c r="D77" s="486"/>
      <c r="E77" s="486"/>
      <c r="F77" s="486"/>
      <c r="G77" s="440"/>
      <c r="H77" s="440"/>
      <c r="I77" s="440"/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85" t="s">
        <v>109</v>
      </c>
      <c r="U77" s="440"/>
      <c r="V77" s="485"/>
      <c r="W77" s="440"/>
      <c r="X77" s="440"/>
      <c r="Y77" s="440"/>
      <c r="Z77" s="372"/>
      <c r="AA77" s="486"/>
      <c r="AB77" s="486"/>
      <c r="AC77" s="372"/>
    </row>
    <row r="78" spans="1:29" ht="12.75">
      <c r="A78" s="440"/>
      <c r="B78" s="440"/>
      <c r="C78" s="440" t="s">
        <v>106</v>
      </c>
      <c r="D78" s="486">
        <f>SUM(D20)</f>
        <v>20056282</v>
      </c>
      <c r="E78" s="486">
        <f>SUM(E20)</f>
        <v>0</v>
      </c>
      <c r="F78" s="486">
        <f>SUM(D78:E78)</f>
        <v>20056282</v>
      </c>
      <c r="G78" s="440"/>
      <c r="H78" s="440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 t="s">
        <v>106</v>
      </c>
      <c r="U78" s="440"/>
      <c r="V78" s="440"/>
      <c r="W78" s="486">
        <f>SUM(X20)</f>
        <v>0</v>
      </c>
      <c r="X78" s="486">
        <v>0</v>
      </c>
      <c r="Y78" s="486">
        <f>SUM(W78:X78)</f>
        <v>0</v>
      </c>
      <c r="Z78" s="422"/>
      <c r="AA78" s="486">
        <f aca="true" t="shared" si="2" ref="AA78:AB81">W78-D78</f>
        <v>-20056282</v>
      </c>
      <c r="AB78" s="486">
        <f t="shared" si="2"/>
        <v>0</v>
      </c>
      <c r="AC78" s="422">
        <f>SUM(AA78:AB78)</f>
        <v>-20056282</v>
      </c>
    </row>
    <row r="79" spans="1:29" ht="12.75">
      <c r="A79" s="440"/>
      <c r="B79" s="440"/>
      <c r="C79" s="440" t="s">
        <v>380</v>
      </c>
      <c r="D79" s="486">
        <v>0</v>
      </c>
      <c r="E79" s="486">
        <v>0</v>
      </c>
      <c r="F79" s="486">
        <f>SUM(D79:E79)</f>
        <v>0</v>
      </c>
      <c r="G79" s="440"/>
      <c r="H79" s="440"/>
      <c r="I79" s="440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0" t="s">
        <v>380</v>
      </c>
      <c r="U79" s="440"/>
      <c r="V79" s="440"/>
      <c r="W79" s="486">
        <v>0</v>
      </c>
      <c r="X79" s="486">
        <v>0</v>
      </c>
      <c r="Y79" s="486">
        <f>SUM(W79:X79)</f>
        <v>0</v>
      </c>
      <c r="Z79" s="422"/>
      <c r="AA79" s="486">
        <f t="shared" si="2"/>
        <v>0</v>
      </c>
      <c r="AB79" s="486">
        <f t="shared" si="2"/>
        <v>0</v>
      </c>
      <c r="AC79" s="422">
        <f>SUM(AA79:AB79)</f>
        <v>0</v>
      </c>
    </row>
    <row r="80" spans="1:29" ht="12.75">
      <c r="A80" s="440"/>
      <c r="B80" s="440"/>
      <c r="C80" s="440" t="s">
        <v>826</v>
      </c>
      <c r="D80" s="486">
        <v>0</v>
      </c>
      <c r="E80" s="486">
        <v>0</v>
      </c>
      <c r="F80" s="486">
        <f>SUM(D80:E80)</f>
        <v>0</v>
      </c>
      <c r="G80" s="440"/>
      <c r="H80" s="440"/>
      <c r="I80" s="440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 t="s">
        <v>858</v>
      </c>
      <c r="U80" s="440"/>
      <c r="V80" s="440"/>
      <c r="W80" s="486">
        <v>0</v>
      </c>
      <c r="X80" s="486">
        <v>0</v>
      </c>
      <c r="Y80" s="486">
        <f>SUM(W80:X80)</f>
        <v>0</v>
      </c>
      <c r="Z80" s="422"/>
      <c r="AA80" s="486">
        <f>W80-D80</f>
        <v>0</v>
      </c>
      <c r="AB80" s="486">
        <f>X80-E80</f>
        <v>0</v>
      </c>
      <c r="AC80" s="422">
        <f>SUM(AA80:AB80)</f>
        <v>0</v>
      </c>
    </row>
    <row r="81" spans="1:29" ht="12.75">
      <c r="A81" s="440"/>
      <c r="B81" s="440"/>
      <c r="C81" s="488" t="s">
        <v>107</v>
      </c>
      <c r="D81" s="489">
        <v>0</v>
      </c>
      <c r="E81" s="489">
        <v>0</v>
      </c>
      <c r="F81" s="489">
        <f>SUM(D81:E81)</f>
        <v>0</v>
      </c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88" t="s">
        <v>107</v>
      </c>
      <c r="U81" s="490"/>
      <c r="V81" s="490"/>
      <c r="W81" s="489">
        <v>0</v>
      </c>
      <c r="X81" s="489">
        <v>0</v>
      </c>
      <c r="Y81" s="489">
        <f>SUM(W81:X81)</f>
        <v>0</v>
      </c>
      <c r="Z81" s="422"/>
      <c r="AA81" s="489">
        <f t="shared" si="2"/>
        <v>0</v>
      </c>
      <c r="AB81" s="489">
        <f t="shared" si="2"/>
        <v>0</v>
      </c>
      <c r="AC81" s="489">
        <f>SUM(AA81:AB81)</f>
        <v>0</v>
      </c>
    </row>
    <row r="82" spans="1:29" ht="12.75">
      <c r="A82" s="440"/>
      <c r="B82" s="440"/>
      <c r="C82" s="491" t="s">
        <v>372</v>
      </c>
      <c r="D82" s="486">
        <f>SUM(D78:D81)</f>
        <v>20056282</v>
      </c>
      <c r="E82" s="486">
        <f>SUM(E78:E81)</f>
        <v>0</v>
      </c>
      <c r="F82" s="486">
        <f>SUM(F78:F81)</f>
        <v>20056282</v>
      </c>
      <c r="G82" s="440"/>
      <c r="H82" s="440"/>
      <c r="I82" s="440"/>
      <c r="J82" s="440"/>
      <c r="K82" s="440"/>
      <c r="L82" s="440"/>
      <c r="M82" s="440"/>
      <c r="N82" s="440"/>
      <c r="O82" s="440"/>
      <c r="P82" s="440"/>
      <c r="Q82" s="440"/>
      <c r="R82" s="440"/>
      <c r="S82" s="440"/>
      <c r="T82" s="491" t="s">
        <v>372</v>
      </c>
      <c r="U82" s="440"/>
      <c r="V82" s="491"/>
      <c r="W82" s="486">
        <f>SUM(W78:W81)</f>
        <v>0</v>
      </c>
      <c r="X82" s="486">
        <f>SUM(X78:X81)</f>
        <v>0</v>
      </c>
      <c r="Y82" s="486">
        <f>SUM(Y78:Y81)</f>
        <v>0</v>
      </c>
      <c r="Z82" s="422"/>
      <c r="AA82" s="486">
        <f>SUM(AA78:AA81)</f>
        <v>-20056282</v>
      </c>
      <c r="AB82" s="486">
        <f>SUM(AB78:AB81)</f>
        <v>0</v>
      </c>
      <c r="AC82" s="486">
        <f>SUM(AC78:AC81)</f>
        <v>-20056282</v>
      </c>
    </row>
    <row r="83" spans="1:29" ht="12.75">
      <c r="A83" s="440"/>
      <c r="B83" s="440"/>
      <c r="C83" s="491"/>
      <c r="D83" s="440"/>
      <c r="E83" s="440"/>
      <c r="F83" s="440"/>
      <c r="G83" s="440"/>
      <c r="H83" s="440"/>
      <c r="I83" s="440"/>
      <c r="J83" s="440"/>
      <c r="K83" s="440"/>
      <c r="L83" s="440"/>
      <c r="M83" s="440"/>
      <c r="N83" s="440"/>
      <c r="O83" s="440"/>
      <c r="P83" s="440"/>
      <c r="Q83" s="440"/>
      <c r="R83" s="440"/>
      <c r="S83" s="440"/>
      <c r="T83" s="440"/>
      <c r="U83" s="440"/>
      <c r="V83" s="440"/>
      <c r="W83" s="440"/>
      <c r="X83" s="440"/>
      <c r="Y83" s="440"/>
      <c r="Z83" s="372"/>
      <c r="AA83" s="486"/>
      <c r="AB83" s="486"/>
      <c r="AC83" s="372"/>
    </row>
    <row r="84" spans="1:29" ht="12.75">
      <c r="A84" s="440"/>
      <c r="B84" s="440"/>
      <c r="C84" s="494" t="s">
        <v>110</v>
      </c>
      <c r="D84" s="495">
        <f>SUM(D82,D75,D68)</f>
        <v>1168956797</v>
      </c>
      <c r="E84" s="495">
        <f>SUM(E82,E75,E68)</f>
        <v>1231672794</v>
      </c>
      <c r="F84" s="495">
        <f>SUM(F82,F75,F68)</f>
        <v>2400629591</v>
      </c>
      <c r="G84" s="494"/>
      <c r="H84" s="494"/>
      <c r="I84" s="494"/>
      <c r="J84" s="494"/>
      <c r="K84" s="494"/>
      <c r="L84" s="494"/>
      <c r="M84" s="494"/>
      <c r="N84" s="494"/>
      <c r="O84" s="494"/>
      <c r="P84" s="494"/>
      <c r="Q84" s="494"/>
      <c r="R84" s="494"/>
      <c r="S84" s="494"/>
      <c r="T84" s="494" t="s">
        <v>110</v>
      </c>
      <c r="U84" s="494"/>
      <c r="V84" s="494"/>
      <c r="W84" s="495">
        <f>SUM(W82,W75,W68)</f>
        <v>1129263238</v>
      </c>
      <c r="X84" s="495">
        <f>SUM(X82,X75,X68)</f>
        <v>1271366353</v>
      </c>
      <c r="Y84" s="495">
        <f>SUM(Y82,Y75,Y68)</f>
        <v>2400629591</v>
      </c>
      <c r="Z84" s="353"/>
      <c r="AA84" s="495">
        <f>SUM(AA82,AA75,AA68)</f>
        <v>-39693559</v>
      </c>
      <c r="AB84" s="495">
        <f>SUM(AB82,AB75,AB68)</f>
        <v>39693559</v>
      </c>
      <c r="AC84" s="495">
        <f>SUM(AC82,AC75,AC68)</f>
        <v>0</v>
      </c>
    </row>
    <row r="85" spans="1:29" ht="12.75">
      <c r="A85" s="494"/>
      <c r="B85" s="494"/>
      <c r="D85" s="440"/>
      <c r="E85" s="440"/>
      <c r="F85" s="440"/>
      <c r="G85" s="440"/>
      <c r="H85" s="440"/>
      <c r="I85" s="440"/>
      <c r="J85" s="440"/>
      <c r="K85" s="440"/>
      <c r="L85" s="440"/>
      <c r="M85" s="440"/>
      <c r="N85" s="440"/>
      <c r="O85" s="440"/>
      <c r="P85" s="440"/>
      <c r="Q85" s="440"/>
      <c r="R85" s="440"/>
      <c r="S85" s="440"/>
      <c r="T85" s="440"/>
      <c r="U85" s="440"/>
      <c r="V85" s="440"/>
      <c r="W85" s="440"/>
      <c r="X85" s="440"/>
      <c r="Y85" s="440"/>
      <c r="Z85" s="440"/>
      <c r="AA85" s="440"/>
      <c r="AB85" s="440"/>
      <c r="AC85" s="372"/>
    </row>
    <row r="86" spans="1:29" ht="12.75">
      <c r="A86" s="440"/>
      <c r="B86" s="440"/>
      <c r="C86" s="440"/>
      <c r="D86" s="440"/>
      <c r="E86" s="440"/>
      <c r="F86" s="440"/>
      <c r="G86" s="440"/>
      <c r="H86" s="440"/>
      <c r="I86" s="440"/>
      <c r="J86" s="440"/>
      <c r="K86" s="440"/>
      <c r="L86" s="440"/>
      <c r="M86" s="440"/>
      <c r="N86" s="440"/>
      <c r="O86" s="440"/>
      <c r="P86" s="440"/>
      <c r="Q86" s="440"/>
      <c r="R86" s="440"/>
      <c r="S86" s="440"/>
      <c r="T86" s="440"/>
      <c r="U86" s="440"/>
      <c r="V86" s="440"/>
      <c r="W86" s="440"/>
      <c r="X86" s="440"/>
      <c r="Y86" s="440"/>
      <c r="Z86" s="440"/>
      <c r="AA86" s="440"/>
      <c r="AB86" s="440"/>
      <c r="AC86" s="372"/>
    </row>
    <row r="87" spans="1:3" ht="12.75">
      <c r="A87" s="440"/>
      <c r="B87" s="440"/>
      <c r="C87" s="440"/>
    </row>
  </sheetData>
  <sheetProtection/>
  <mergeCells count="171">
    <mergeCell ref="L14:O14"/>
    <mergeCell ref="S27:V27"/>
    <mergeCell ref="L24:O24"/>
    <mergeCell ref="L22:O22"/>
    <mergeCell ref="R23:U23"/>
    <mergeCell ref="Q21:Q24"/>
    <mergeCell ref="L21:O21"/>
    <mergeCell ref="R14:U14"/>
    <mergeCell ref="L13:O13"/>
    <mergeCell ref="R34:U34"/>
    <mergeCell ref="R32:U32"/>
    <mergeCell ref="P30:P31"/>
    <mergeCell ref="L30:O31"/>
    <mergeCell ref="L17:O17"/>
    <mergeCell ref="L18:O18"/>
    <mergeCell ref="L25:O25"/>
    <mergeCell ref="Q25:Q26"/>
    <mergeCell ref="R21:U21"/>
    <mergeCell ref="X37:Z37"/>
    <mergeCell ref="L26:O26"/>
    <mergeCell ref="R30:U31"/>
    <mergeCell ref="V30:V31"/>
    <mergeCell ref="Q30:Q34"/>
    <mergeCell ref="W30:W34"/>
    <mergeCell ref="R35:U35"/>
    <mergeCell ref="L32:O32"/>
    <mergeCell ref="R33:U33"/>
    <mergeCell ref="M36:P36"/>
    <mergeCell ref="G13:I13"/>
    <mergeCell ref="R16:U16"/>
    <mergeCell ref="R17:U17"/>
    <mergeCell ref="R20:U20"/>
    <mergeCell ref="G20:I20"/>
    <mergeCell ref="K21:K24"/>
    <mergeCell ref="L16:O16"/>
    <mergeCell ref="Q8:Q16"/>
    <mergeCell ref="R15:U15"/>
    <mergeCell ref="L12:O12"/>
    <mergeCell ref="G16:I16"/>
    <mergeCell ref="G15:I15"/>
    <mergeCell ref="G14:I14"/>
    <mergeCell ref="Q19:Q20"/>
    <mergeCell ref="L20:O20"/>
    <mergeCell ref="K17:K18"/>
    <mergeCell ref="Q17:Q18"/>
    <mergeCell ref="K19:K20"/>
    <mergeCell ref="L15:O15"/>
    <mergeCell ref="G19:I19"/>
    <mergeCell ref="L10:O10"/>
    <mergeCell ref="G8:I8"/>
    <mergeCell ref="G12:I12"/>
    <mergeCell ref="R8:U8"/>
    <mergeCell ref="L8:O8"/>
    <mergeCell ref="G9:I9"/>
    <mergeCell ref="G10:I10"/>
    <mergeCell ref="L9:O9"/>
    <mergeCell ref="G11:I11"/>
    <mergeCell ref="R9:U9"/>
    <mergeCell ref="A6:C7"/>
    <mergeCell ref="L6:Q7"/>
    <mergeCell ref="R6:W7"/>
    <mergeCell ref="D6:F6"/>
    <mergeCell ref="G6:K7"/>
    <mergeCell ref="A3:AC3"/>
    <mergeCell ref="T1:AB1"/>
    <mergeCell ref="X6:Z6"/>
    <mergeCell ref="AA6:AC6"/>
    <mergeCell ref="R18:U18"/>
    <mergeCell ref="R25:U25"/>
    <mergeCell ref="W25:W26"/>
    <mergeCell ref="W17:W18"/>
    <mergeCell ref="W21:W24"/>
    <mergeCell ref="R24:U24"/>
    <mergeCell ref="R22:U22"/>
    <mergeCell ref="A24:C24"/>
    <mergeCell ref="L19:O19"/>
    <mergeCell ref="K8:K16"/>
    <mergeCell ref="AA28:AC28"/>
    <mergeCell ref="R28:W29"/>
    <mergeCell ref="X28:Z28"/>
    <mergeCell ref="W8:W16"/>
    <mergeCell ref="B20:C20"/>
    <mergeCell ref="A27:C27"/>
    <mergeCell ref="H27:J27"/>
    <mergeCell ref="A28:C29"/>
    <mergeCell ref="D28:F28"/>
    <mergeCell ref="G28:K29"/>
    <mergeCell ref="K25:K26"/>
    <mergeCell ref="A36:C36"/>
    <mergeCell ref="H36:J36"/>
    <mergeCell ref="K30:K34"/>
    <mergeCell ref="B32:C32"/>
    <mergeCell ref="G30:I31"/>
    <mergeCell ref="J30:J31"/>
    <mergeCell ref="D37:F37"/>
    <mergeCell ref="G37:K38"/>
    <mergeCell ref="W61:Y61"/>
    <mergeCell ref="A59:C59"/>
    <mergeCell ref="A60:C60"/>
    <mergeCell ref="L49:O49"/>
    <mergeCell ref="L50:O50"/>
    <mergeCell ref="R52:U52"/>
    <mergeCell ref="X47:Z47"/>
    <mergeCell ref="R57:U57"/>
    <mergeCell ref="G53:I53"/>
    <mergeCell ref="G52:I52"/>
    <mergeCell ref="H59:J59"/>
    <mergeCell ref="G57:I57"/>
    <mergeCell ref="G49:I49"/>
    <mergeCell ref="G40:I40"/>
    <mergeCell ref="G56:I56"/>
    <mergeCell ref="L47:Q48"/>
    <mergeCell ref="G50:I50"/>
    <mergeCell ref="G54:I54"/>
    <mergeCell ref="G55:I55"/>
    <mergeCell ref="S58:V58"/>
    <mergeCell ref="A52:C52"/>
    <mergeCell ref="A58:C58"/>
    <mergeCell ref="R47:W48"/>
    <mergeCell ref="A47:C48"/>
    <mergeCell ref="L57:O57"/>
    <mergeCell ref="AA61:AC61"/>
    <mergeCell ref="K49:K56"/>
    <mergeCell ref="W49:W56"/>
    <mergeCell ref="M59:P59"/>
    <mergeCell ref="H58:J58"/>
    <mergeCell ref="D61:F61"/>
    <mergeCell ref="S59:V59"/>
    <mergeCell ref="R53:U53"/>
    <mergeCell ref="M58:P58"/>
    <mergeCell ref="G51:I51"/>
    <mergeCell ref="D47:F47"/>
    <mergeCell ref="G47:K48"/>
    <mergeCell ref="R40:U40"/>
    <mergeCell ref="R37:W38"/>
    <mergeCell ref="L37:Q38"/>
    <mergeCell ref="V63:W63"/>
    <mergeCell ref="Q49:Q56"/>
    <mergeCell ref="R49:U49"/>
    <mergeCell ref="R50:U50"/>
    <mergeCell ref="L42:O43"/>
    <mergeCell ref="S62:V62"/>
    <mergeCell ref="L28:Q29"/>
    <mergeCell ref="M27:P27"/>
    <mergeCell ref="A43:C43"/>
    <mergeCell ref="L44:O44"/>
    <mergeCell ref="R43:U43"/>
    <mergeCell ref="K42:K44"/>
    <mergeCell ref="B40:C40"/>
    <mergeCell ref="A35:C35"/>
    <mergeCell ref="G42:I42"/>
    <mergeCell ref="A37:C38"/>
    <mergeCell ref="AA47:AC47"/>
    <mergeCell ref="L34:O34"/>
    <mergeCell ref="W39:W41"/>
    <mergeCell ref="S36:V36"/>
    <mergeCell ref="W42:W44"/>
    <mergeCell ref="AA37:AC37"/>
    <mergeCell ref="G39:I39"/>
    <mergeCell ref="L39:O40"/>
    <mergeCell ref="P39:P40"/>
    <mergeCell ref="R51:U51"/>
    <mergeCell ref="A57:C57"/>
    <mergeCell ref="R41:U41"/>
    <mergeCell ref="K39:K41"/>
    <mergeCell ref="A45:C45"/>
    <mergeCell ref="H45:J45"/>
    <mergeCell ref="M45:P45"/>
    <mergeCell ref="S45:V45"/>
    <mergeCell ref="R39:U39"/>
    <mergeCell ref="Q39:Q4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N102"/>
  <sheetViews>
    <sheetView zoomScalePageLayoutView="0" workbookViewId="0" topLeftCell="A1">
      <pane xSplit="1" ySplit="9" topLeftCell="B8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2" sqref="M2"/>
    </sheetView>
  </sheetViews>
  <sheetFormatPr defaultColWidth="9.00390625" defaultRowHeight="12.75"/>
  <cols>
    <col min="1" max="1" width="37.25390625" style="0" customWidth="1"/>
    <col min="14" max="14" width="9.125" style="170" customWidth="1"/>
  </cols>
  <sheetData>
    <row r="1" spans="8:13" ht="15">
      <c r="H1" s="1"/>
      <c r="I1" s="1"/>
      <c r="J1" s="1"/>
      <c r="K1" s="1"/>
      <c r="L1" s="1"/>
      <c r="M1" s="6" t="s">
        <v>1070</v>
      </c>
    </row>
    <row r="2" spans="8:13" ht="12.75">
      <c r="H2" s="1"/>
      <c r="I2" s="1"/>
      <c r="J2" s="1"/>
      <c r="K2" s="1"/>
      <c r="L2" s="1"/>
      <c r="M2" s="2"/>
    </row>
    <row r="3" spans="8:13" ht="12.75">
      <c r="H3" s="1"/>
      <c r="I3" s="1"/>
      <c r="J3" s="1"/>
      <c r="K3" s="1"/>
      <c r="L3" s="1"/>
      <c r="M3" s="2"/>
    </row>
    <row r="4" spans="1:14" s="86" customFormat="1" ht="14.25" customHeight="1">
      <c r="A4" s="1225" t="s">
        <v>534</v>
      </c>
      <c r="B4" s="1225"/>
      <c r="C4" s="1225"/>
      <c r="D4" s="1225"/>
      <c r="E4" s="1225"/>
      <c r="F4" s="1225"/>
      <c r="G4" s="1225"/>
      <c r="H4" s="1225"/>
      <c r="I4" s="1225"/>
      <c r="J4" s="1225"/>
      <c r="K4" s="1225"/>
      <c r="L4" s="1225"/>
      <c r="M4" s="1225"/>
      <c r="N4" s="171"/>
    </row>
    <row r="5" spans="1:14" s="86" customFormat="1" ht="14.25" customHeight="1">
      <c r="A5" s="1225" t="s">
        <v>460</v>
      </c>
      <c r="B5" s="1225"/>
      <c r="C5" s="1225"/>
      <c r="D5" s="1225"/>
      <c r="E5" s="1225"/>
      <c r="F5" s="1225"/>
      <c r="G5" s="1225"/>
      <c r="H5" s="1225"/>
      <c r="I5" s="1225"/>
      <c r="J5" s="1225"/>
      <c r="K5" s="1225"/>
      <c r="L5" s="1225"/>
      <c r="M5" s="1225"/>
      <c r="N5" s="171"/>
    </row>
    <row r="6" spans="1:14" s="86" customFormat="1" ht="18" customHeight="1">
      <c r="A6" s="1225"/>
      <c r="B6" s="1225"/>
      <c r="C6" s="1225"/>
      <c r="D6" s="1225"/>
      <c r="E6" s="1225"/>
      <c r="F6" s="1225"/>
      <c r="G6" s="1225"/>
      <c r="H6" s="1225"/>
      <c r="I6" s="1225"/>
      <c r="J6" s="1225"/>
      <c r="K6" s="1225"/>
      <c r="L6" s="1225"/>
      <c r="M6" s="1225"/>
      <c r="N6" s="171"/>
    </row>
    <row r="7" spans="1:14" s="85" customFormat="1" ht="12.75">
      <c r="A7" s="155" t="s">
        <v>369</v>
      </c>
      <c r="B7" s="124" t="s">
        <v>352</v>
      </c>
      <c r="C7" s="124" t="s">
        <v>353</v>
      </c>
      <c r="D7" s="124" t="s">
        <v>354</v>
      </c>
      <c r="E7" s="124" t="s">
        <v>355</v>
      </c>
      <c r="F7" s="124" t="s">
        <v>356</v>
      </c>
      <c r="G7" s="124" t="s">
        <v>357</v>
      </c>
      <c r="H7" s="124" t="s">
        <v>358</v>
      </c>
      <c r="I7" s="124" t="s">
        <v>359</v>
      </c>
      <c r="J7" s="124" t="s">
        <v>360</v>
      </c>
      <c r="K7" s="124" t="s">
        <v>361</v>
      </c>
      <c r="L7" s="124" t="s">
        <v>362</v>
      </c>
      <c r="M7" s="124" t="s">
        <v>363</v>
      </c>
      <c r="N7" s="172"/>
    </row>
    <row r="8" spans="1:14" s="88" customFormat="1" ht="22.5" customHeight="1">
      <c r="A8" s="173" t="s">
        <v>785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8"/>
    </row>
    <row r="9" spans="1:14" s="650" customFormat="1" ht="20.25" customHeight="1">
      <c r="A9" s="647" t="s">
        <v>784</v>
      </c>
      <c r="B9" s="648"/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9"/>
    </row>
    <row r="10" spans="1:14" s="87" customFormat="1" ht="12.75">
      <c r="A10" s="159" t="s">
        <v>640</v>
      </c>
      <c r="B10" s="126">
        <v>15</v>
      </c>
      <c r="C10" s="126">
        <v>15</v>
      </c>
      <c r="D10" s="126">
        <v>15</v>
      </c>
      <c r="E10" s="126">
        <v>15</v>
      </c>
      <c r="F10" s="126">
        <v>15</v>
      </c>
      <c r="G10" s="126">
        <v>15</v>
      </c>
      <c r="H10" s="126">
        <v>15</v>
      </c>
      <c r="I10" s="126">
        <v>15</v>
      </c>
      <c r="J10" s="126">
        <v>16</v>
      </c>
      <c r="K10" s="126">
        <v>16</v>
      </c>
      <c r="L10" s="126">
        <v>16</v>
      </c>
      <c r="M10" s="126">
        <v>16</v>
      </c>
      <c r="N10" s="178"/>
    </row>
    <row r="11" spans="1:14" s="87" customFormat="1" ht="12.75" customHeight="1">
      <c r="A11" s="159" t="s">
        <v>641</v>
      </c>
      <c r="B11" s="126">
        <v>2</v>
      </c>
      <c r="C11" s="126">
        <v>2</v>
      </c>
      <c r="D11" s="126">
        <v>2</v>
      </c>
      <c r="E11" s="126">
        <v>2</v>
      </c>
      <c r="F11" s="126">
        <v>2</v>
      </c>
      <c r="G11" s="126">
        <v>2</v>
      </c>
      <c r="H11" s="126">
        <v>2</v>
      </c>
      <c r="I11" s="126">
        <v>2</v>
      </c>
      <c r="J11" s="126">
        <v>2</v>
      </c>
      <c r="K11" s="126">
        <v>2</v>
      </c>
      <c r="L11" s="126">
        <v>2</v>
      </c>
      <c r="M11" s="126">
        <v>2</v>
      </c>
      <c r="N11" s="178"/>
    </row>
    <row r="12" spans="1:14" s="87" customFormat="1" ht="12.75">
      <c r="A12" s="179" t="s">
        <v>642</v>
      </c>
      <c r="B12" s="126">
        <v>8</v>
      </c>
      <c r="C12" s="126">
        <v>8</v>
      </c>
      <c r="D12" s="126">
        <v>8</v>
      </c>
      <c r="E12" s="126">
        <v>8</v>
      </c>
      <c r="F12" s="126">
        <v>8</v>
      </c>
      <c r="G12" s="126">
        <v>8</v>
      </c>
      <c r="H12" s="126">
        <v>8</v>
      </c>
      <c r="I12" s="126">
        <v>8</v>
      </c>
      <c r="J12" s="126">
        <v>9</v>
      </c>
      <c r="K12" s="126">
        <v>9</v>
      </c>
      <c r="L12" s="126">
        <v>9</v>
      </c>
      <c r="M12" s="126">
        <v>8</v>
      </c>
      <c r="N12" s="178"/>
    </row>
    <row r="13" spans="1:14" s="87" customFormat="1" ht="12.75">
      <c r="A13" s="159" t="s">
        <v>643</v>
      </c>
      <c r="B13" s="126">
        <v>1</v>
      </c>
      <c r="C13" s="126">
        <v>1</v>
      </c>
      <c r="D13" s="126">
        <v>1</v>
      </c>
      <c r="E13" s="126">
        <v>1</v>
      </c>
      <c r="F13" s="126">
        <v>1</v>
      </c>
      <c r="G13" s="126">
        <v>1</v>
      </c>
      <c r="H13" s="126">
        <v>1</v>
      </c>
      <c r="I13" s="126">
        <v>1</v>
      </c>
      <c r="J13" s="126">
        <v>1</v>
      </c>
      <c r="K13" s="126">
        <v>1</v>
      </c>
      <c r="L13" s="126">
        <v>1</v>
      </c>
      <c r="M13" s="126">
        <v>1</v>
      </c>
      <c r="N13" s="178"/>
    </row>
    <row r="14" spans="1:14" s="87" customFormat="1" ht="25.5">
      <c r="A14" s="159" t="s">
        <v>863</v>
      </c>
      <c r="B14" s="126">
        <v>1</v>
      </c>
      <c r="C14" s="126">
        <v>1</v>
      </c>
      <c r="D14" s="126">
        <v>1</v>
      </c>
      <c r="E14" s="126">
        <v>1</v>
      </c>
      <c r="F14" s="126">
        <v>1</v>
      </c>
      <c r="G14" s="126">
        <v>1</v>
      </c>
      <c r="H14" s="126">
        <v>1</v>
      </c>
      <c r="I14" s="126">
        <v>1</v>
      </c>
      <c r="J14" s="126">
        <v>1</v>
      </c>
      <c r="K14" s="126">
        <v>1</v>
      </c>
      <c r="L14" s="126">
        <v>1</v>
      </c>
      <c r="M14" s="126">
        <v>1</v>
      </c>
      <c r="N14" s="178"/>
    </row>
    <row r="15" spans="1:14" s="650" customFormat="1" ht="20.25" customHeight="1">
      <c r="A15" s="647" t="s">
        <v>786</v>
      </c>
      <c r="B15" s="648"/>
      <c r="C15" s="648"/>
      <c r="D15" s="648"/>
      <c r="E15" s="648"/>
      <c r="F15" s="648"/>
      <c r="G15" s="648"/>
      <c r="H15" s="648"/>
      <c r="I15" s="648"/>
      <c r="J15" s="648"/>
      <c r="K15" s="648"/>
      <c r="L15" s="648"/>
      <c r="M15" s="648"/>
      <c r="N15" s="649"/>
    </row>
    <row r="16" spans="1:14" s="87" customFormat="1" ht="12.75">
      <c r="A16" s="159" t="s">
        <v>787</v>
      </c>
      <c r="B16" s="126">
        <v>1</v>
      </c>
      <c r="C16" s="126">
        <v>1</v>
      </c>
      <c r="D16" s="126">
        <v>1</v>
      </c>
      <c r="E16" s="126">
        <v>1</v>
      </c>
      <c r="F16" s="126">
        <v>1</v>
      </c>
      <c r="G16" s="126">
        <v>1</v>
      </c>
      <c r="H16" s="126">
        <v>1</v>
      </c>
      <c r="I16" s="126">
        <v>1</v>
      </c>
      <c r="J16" s="126">
        <v>1</v>
      </c>
      <c r="K16" s="126">
        <v>1</v>
      </c>
      <c r="L16" s="126">
        <v>1</v>
      </c>
      <c r="M16" s="126">
        <v>1</v>
      </c>
      <c r="N16" s="178"/>
    </row>
    <row r="17" spans="1:14" s="87" customFormat="1" ht="12.75">
      <c r="A17" s="159" t="s">
        <v>788</v>
      </c>
      <c r="B17" s="126">
        <v>1</v>
      </c>
      <c r="C17" s="126">
        <v>1</v>
      </c>
      <c r="D17" s="126">
        <v>1</v>
      </c>
      <c r="E17" s="126">
        <v>1</v>
      </c>
      <c r="F17" s="126">
        <v>1</v>
      </c>
      <c r="G17" s="126">
        <v>1</v>
      </c>
      <c r="H17" s="126">
        <v>1</v>
      </c>
      <c r="I17" s="126">
        <v>1</v>
      </c>
      <c r="J17" s="126">
        <v>1</v>
      </c>
      <c r="K17" s="126">
        <v>1</v>
      </c>
      <c r="L17" s="126">
        <v>1</v>
      </c>
      <c r="M17" s="126">
        <v>1</v>
      </c>
      <c r="N17" s="178"/>
    </row>
    <row r="18" spans="1:14" s="87" customFormat="1" ht="12.75">
      <c r="A18" s="159" t="s">
        <v>789</v>
      </c>
      <c r="B18" s="126">
        <v>1</v>
      </c>
      <c r="C18" s="126">
        <v>1</v>
      </c>
      <c r="D18" s="126">
        <v>1</v>
      </c>
      <c r="E18" s="126">
        <v>1</v>
      </c>
      <c r="F18" s="126">
        <v>1</v>
      </c>
      <c r="G18" s="126">
        <v>1</v>
      </c>
      <c r="H18" s="126">
        <v>1</v>
      </c>
      <c r="I18" s="126">
        <v>1</v>
      </c>
      <c r="J18" s="126">
        <v>1</v>
      </c>
      <c r="K18" s="126">
        <v>1</v>
      </c>
      <c r="L18" s="126">
        <v>1</v>
      </c>
      <c r="M18" s="126">
        <v>1</v>
      </c>
      <c r="N18" s="178"/>
    </row>
    <row r="19" spans="1:14" s="650" customFormat="1" ht="20.25" customHeight="1">
      <c r="A19" s="647" t="s">
        <v>646</v>
      </c>
      <c r="B19" s="648"/>
      <c r="C19" s="648"/>
      <c r="D19" s="648"/>
      <c r="E19" s="648"/>
      <c r="F19" s="648"/>
      <c r="G19" s="648"/>
      <c r="H19" s="648"/>
      <c r="I19" s="648"/>
      <c r="J19" s="648"/>
      <c r="K19" s="648"/>
      <c r="L19" s="648"/>
      <c r="M19" s="648"/>
      <c r="N19" s="649"/>
    </row>
    <row r="20" spans="1:14" s="87" customFormat="1" ht="12.75">
      <c r="A20" s="159" t="s">
        <v>790</v>
      </c>
      <c r="B20" s="126">
        <v>1</v>
      </c>
      <c r="C20" s="126">
        <v>1</v>
      </c>
      <c r="D20" s="126">
        <v>1</v>
      </c>
      <c r="E20" s="126">
        <v>1</v>
      </c>
      <c r="F20" s="126">
        <v>1</v>
      </c>
      <c r="G20" s="126">
        <v>1</v>
      </c>
      <c r="H20" s="126">
        <v>1</v>
      </c>
      <c r="I20" s="126">
        <v>1</v>
      </c>
      <c r="J20" s="126">
        <v>1</v>
      </c>
      <c r="K20" s="126">
        <v>1</v>
      </c>
      <c r="L20" s="126">
        <v>1</v>
      </c>
      <c r="M20" s="126">
        <v>1</v>
      </c>
      <c r="N20" s="178"/>
    </row>
    <row r="21" spans="1:14" s="87" customFormat="1" ht="12.75">
      <c r="A21" s="159" t="s">
        <v>791</v>
      </c>
      <c r="B21" s="126">
        <v>1</v>
      </c>
      <c r="C21" s="126">
        <v>1</v>
      </c>
      <c r="D21" s="126">
        <v>1</v>
      </c>
      <c r="E21" s="126">
        <v>1</v>
      </c>
      <c r="F21" s="126">
        <v>1</v>
      </c>
      <c r="G21" s="126">
        <v>1</v>
      </c>
      <c r="H21" s="126">
        <v>1</v>
      </c>
      <c r="I21" s="126">
        <v>1</v>
      </c>
      <c r="J21" s="126">
        <v>1</v>
      </c>
      <c r="K21" s="126">
        <v>1</v>
      </c>
      <c r="L21" s="126">
        <v>1</v>
      </c>
      <c r="M21" s="126">
        <v>1</v>
      </c>
      <c r="N21" s="178"/>
    </row>
    <row r="22" spans="1:14" s="650" customFormat="1" ht="27" customHeight="1">
      <c r="A22" s="647" t="s">
        <v>601</v>
      </c>
      <c r="B22" s="648"/>
      <c r="C22" s="648"/>
      <c r="D22" s="648"/>
      <c r="E22" s="648"/>
      <c r="F22" s="648"/>
      <c r="G22" s="648"/>
      <c r="H22" s="648"/>
      <c r="I22" s="648"/>
      <c r="J22" s="648"/>
      <c r="K22" s="648"/>
      <c r="L22" s="648"/>
      <c r="M22" s="648"/>
      <c r="N22" s="649"/>
    </row>
    <row r="23" spans="1:14" s="87" customFormat="1" ht="12.75">
      <c r="A23" s="159" t="s">
        <v>644</v>
      </c>
      <c r="B23" s="126">
        <v>1</v>
      </c>
      <c r="C23" s="126">
        <v>1</v>
      </c>
      <c r="D23" s="126">
        <v>1</v>
      </c>
      <c r="E23" s="126">
        <v>1</v>
      </c>
      <c r="F23" s="126">
        <v>1</v>
      </c>
      <c r="G23" s="126">
        <v>1</v>
      </c>
      <c r="H23" s="126">
        <v>1</v>
      </c>
      <c r="I23" s="126">
        <v>1</v>
      </c>
      <c r="J23" s="126">
        <v>1</v>
      </c>
      <c r="K23" s="126">
        <v>1</v>
      </c>
      <c r="L23" s="126">
        <v>1</v>
      </c>
      <c r="M23" s="126">
        <v>1</v>
      </c>
      <c r="N23" s="178"/>
    </row>
    <row r="24" spans="1:14" s="87" customFormat="1" ht="12.75">
      <c r="A24" s="159" t="s">
        <v>792</v>
      </c>
      <c r="B24" s="126">
        <v>3</v>
      </c>
      <c r="C24" s="126">
        <v>3</v>
      </c>
      <c r="D24" s="126">
        <v>3</v>
      </c>
      <c r="E24" s="126">
        <v>3</v>
      </c>
      <c r="F24" s="126">
        <v>3</v>
      </c>
      <c r="G24" s="126">
        <v>3</v>
      </c>
      <c r="H24" s="126">
        <v>3</v>
      </c>
      <c r="I24" s="126">
        <v>3</v>
      </c>
      <c r="J24" s="126">
        <v>3</v>
      </c>
      <c r="K24" s="126">
        <v>3</v>
      </c>
      <c r="L24" s="126">
        <v>3</v>
      </c>
      <c r="M24" s="126">
        <v>3</v>
      </c>
      <c r="N24" s="178"/>
    </row>
    <row r="25" spans="1:14" s="87" customFormat="1" ht="25.5">
      <c r="A25" s="159" t="s">
        <v>793</v>
      </c>
      <c r="B25" s="126">
        <v>0.5</v>
      </c>
      <c r="C25" s="126">
        <v>0.5</v>
      </c>
      <c r="D25" s="126">
        <v>0.5</v>
      </c>
      <c r="E25" s="126">
        <v>0.5</v>
      </c>
      <c r="F25" s="126">
        <v>0.5</v>
      </c>
      <c r="G25" s="126">
        <v>0.5</v>
      </c>
      <c r="H25" s="126">
        <v>0.5</v>
      </c>
      <c r="I25" s="126">
        <v>0.5</v>
      </c>
      <c r="J25" s="126">
        <v>0.5</v>
      </c>
      <c r="K25" s="126">
        <v>0.5</v>
      </c>
      <c r="L25" s="126">
        <v>0.5</v>
      </c>
      <c r="M25" s="126">
        <v>0.5</v>
      </c>
      <c r="N25" s="178"/>
    </row>
    <row r="26" spans="1:14" s="650" customFormat="1" ht="29.25" customHeight="1">
      <c r="A26" s="647" t="s">
        <v>733</v>
      </c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9"/>
    </row>
    <row r="27" spans="1:14" s="87" customFormat="1" ht="25.5">
      <c r="A27" s="159" t="s">
        <v>794</v>
      </c>
      <c r="B27" s="126">
        <v>0.5</v>
      </c>
      <c r="C27" s="126">
        <v>0.5</v>
      </c>
      <c r="D27" s="126">
        <v>0.5</v>
      </c>
      <c r="E27" s="126">
        <v>0.5</v>
      </c>
      <c r="F27" s="126">
        <v>0.5</v>
      </c>
      <c r="G27" s="126">
        <v>0.5</v>
      </c>
      <c r="H27" s="126">
        <v>0.5</v>
      </c>
      <c r="I27" s="126">
        <v>0.5</v>
      </c>
      <c r="J27" s="126">
        <v>0.5</v>
      </c>
      <c r="K27" s="126">
        <v>0.5</v>
      </c>
      <c r="L27" s="126">
        <v>0.5</v>
      </c>
      <c r="M27" s="126">
        <v>0.5</v>
      </c>
      <c r="N27" s="178"/>
    </row>
    <row r="28" spans="1:14" s="87" customFormat="1" ht="12.75">
      <c r="A28" s="159" t="s">
        <v>645</v>
      </c>
      <c r="B28" s="126">
        <v>3</v>
      </c>
      <c r="C28" s="126">
        <v>3</v>
      </c>
      <c r="D28" s="126">
        <v>3</v>
      </c>
      <c r="E28" s="126">
        <v>4</v>
      </c>
      <c r="F28" s="126">
        <v>4</v>
      </c>
      <c r="G28" s="126">
        <v>4</v>
      </c>
      <c r="H28" s="126">
        <v>4</v>
      </c>
      <c r="I28" s="126">
        <v>4</v>
      </c>
      <c r="J28" s="126">
        <v>4</v>
      </c>
      <c r="K28" s="126">
        <v>4</v>
      </c>
      <c r="L28" s="126">
        <v>4</v>
      </c>
      <c r="M28" s="126">
        <v>4</v>
      </c>
      <c r="N28" s="178"/>
    </row>
    <row r="29" spans="1:14" s="87" customFormat="1" ht="12.75">
      <c r="A29" s="159" t="s">
        <v>1034</v>
      </c>
      <c r="B29" s="126">
        <v>1</v>
      </c>
      <c r="C29" s="126">
        <v>1</v>
      </c>
      <c r="D29" s="126">
        <v>1</v>
      </c>
      <c r="E29" s="126">
        <v>2</v>
      </c>
      <c r="F29" s="126">
        <v>2</v>
      </c>
      <c r="G29" s="126">
        <v>2</v>
      </c>
      <c r="H29" s="126">
        <v>2</v>
      </c>
      <c r="I29" s="126">
        <v>2</v>
      </c>
      <c r="J29" s="126">
        <v>2</v>
      </c>
      <c r="K29" s="126">
        <v>2</v>
      </c>
      <c r="L29" s="126">
        <v>2</v>
      </c>
      <c r="M29" s="126">
        <v>2</v>
      </c>
      <c r="N29" s="178"/>
    </row>
    <row r="30" spans="1:14" s="87" customFormat="1" ht="25.5">
      <c r="A30" s="159" t="s">
        <v>1046</v>
      </c>
      <c r="B30" s="126">
        <v>2</v>
      </c>
      <c r="C30" s="126">
        <v>2</v>
      </c>
      <c r="D30" s="126">
        <v>2</v>
      </c>
      <c r="E30" s="126">
        <v>2</v>
      </c>
      <c r="F30" s="126">
        <v>2</v>
      </c>
      <c r="G30" s="126">
        <v>2</v>
      </c>
      <c r="H30" s="126">
        <v>2</v>
      </c>
      <c r="I30" s="126">
        <v>2</v>
      </c>
      <c r="J30" s="126">
        <v>2</v>
      </c>
      <c r="K30" s="126">
        <v>2</v>
      </c>
      <c r="L30" s="126">
        <v>2</v>
      </c>
      <c r="M30" s="126">
        <v>2</v>
      </c>
      <c r="N30" s="178"/>
    </row>
    <row r="31" spans="1:14" ht="25.5">
      <c r="A31" s="174" t="s">
        <v>1035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/>
    </row>
    <row r="32" spans="1:14" ht="12.75">
      <c r="A32" s="158" t="s">
        <v>1036</v>
      </c>
      <c r="B32" s="168">
        <v>1</v>
      </c>
      <c r="C32" s="168">
        <v>1</v>
      </c>
      <c r="D32" s="168">
        <v>1</v>
      </c>
      <c r="E32" s="168">
        <v>0</v>
      </c>
      <c r="F32" s="168">
        <v>0</v>
      </c>
      <c r="G32" s="168">
        <v>0</v>
      </c>
      <c r="H32" s="168">
        <v>0</v>
      </c>
      <c r="I32" s="168">
        <v>0</v>
      </c>
      <c r="J32" s="168">
        <v>0</v>
      </c>
      <c r="K32" s="168">
        <v>0</v>
      </c>
      <c r="L32" s="168">
        <v>0</v>
      </c>
      <c r="M32" s="168">
        <v>0</v>
      </c>
      <c r="N32"/>
    </row>
    <row r="33" spans="1:14" ht="12.75">
      <c r="A33" s="158" t="s">
        <v>1037</v>
      </c>
      <c r="B33" s="168">
        <v>0.5</v>
      </c>
      <c r="C33" s="168">
        <v>0.5</v>
      </c>
      <c r="D33" s="168">
        <v>0.5</v>
      </c>
      <c r="E33" s="168">
        <v>0</v>
      </c>
      <c r="F33" s="168">
        <v>0</v>
      </c>
      <c r="G33" s="168">
        <v>0</v>
      </c>
      <c r="H33" s="168">
        <v>0</v>
      </c>
      <c r="I33" s="168">
        <v>0</v>
      </c>
      <c r="J33" s="168">
        <v>0</v>
      </c>
      <c r="K33" s="168">
        <v>0</v>
      </c>
      <c r="L33" s="168">
        <v>0</v>
      </c>
      <c r="M33" s="168">
        <v>0</v>
      </c>
      <c r="N33"/>
    </row>
    <row r="34" spans="1:14" ht="38.25">
      <c r="A34" s="174" t="s">
        <v>1024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/>
    </row>
    <row r="35" spans="1:14" ht="12.75">
      <c r="A35" s="158" t="s">
        <v>1038</v>
      </c>
      <c r="B35" s="168">
        <v>1</v>
      </c>
      <c r="C35" s="168">
        <v>1</v>
      </c>
      <c r="D35" s="168">
        <v>1</v>
      </c>
      <c r="E35" s="168">
        <v>1</v>
      </c>
      <c r="F35" s="168">
        <v>1</v>
      </c>
      <c r="G35" s="168">
        <v>1</v>
      </c>
      <c r="H35" s="168">
        <v>1</v>
      </c>
      <c r="I35" s="168">
        <v>1</v>
      </c>
      <c r="J35" s="168">
        <v>1</v>
      </c>
      <c r="K35" s="168">
        <v>1</v>
      </c>
      <c r="L35" s="168">
        <v>1</v>
      </c>
      <c r="M35" s="168">
        <v>1</v>
      </c>
      <c r="N35"/>
    </row>
    <row r="36" spans="1:14" ht="12.75">
      <c r="A36" s="158" t="s">
        <v>1039</v>
      </c>
      <c r="B36" s="168">
        <v>1</v>
      </c>
      <c r="C36" s="168">
        <v>1</v>
      </c>
      <c r="D36" s="168">
        <v>1</v>
      </c>
      <c r="E36" s="168">
        <v>1</v>
      </c>
      <c r="F36" s="168">
        <v>1</v>
      </c>
      <c r="G36" s="168">
        <v>1</v>
      </c>
      <c r="H36" s="168">
        <v>1</v>
      </c>
      <c r="I36" s="168">
        <v>1</v>
      </c>
      <c r="J36" s="168">
        <v>1</v>
      </c>
      <c r="K36" s="168">
        <v>1</v>
      </c>
      <c r="L36" s="168">
        <v>1</v>
      </c>
      <c r="M36" s="168">
        <v>1</v>
      </c>
      <c r="N36"/>
    </row>
    <row r="37" spans="1:14" ht="25.5" customHeight="1">
      <c r="A37" s="159" t="s">
        <v>1040</v>
      </c>
      <c r="B37" s="168">
        <v>0.075</v>
      </c>
      <c r="C37" s="168">
        <v>0.075</v>
      </c>
      <c r="D37" s="168">
        <v>0.075</v>
      </c>
      <c r="E37" s="168">
        <v>0.075</v>
      </c>
      <c r="F37" s="168">
        <v>0.075</v>
      </c>
      <c r="G37" s="168">
        <v>0.075</v>
      </c>
      <c r="H37" s="168">
        <v>0.075</v>
      </c>
      <c r="I37" s="168">
        <v>0.075</v>
      </c>
      <c r="J37" s="168">
        <v>0.075</v>
      </c>
      <c r="K37" s="168">
        <v>0.075</v>
      </c>
      <c r="L37" s="168">
        <v>0.075</v>
      </c>
      <c r="M37" s="168">
        <v>0.075</v>
      </c>
      <c r="N37"/>
    </row>
    <row r="38" spans="1:14" s="87" customFormat="1" ht="12.75">
      <c r="A38" s="159" t="s">
        <v>1041</v>
      </c>
      <c r="B38" s="126">
        <v>0.25</v>
      </c>
      <c r="C38" s="126">
        <v>0.25</v>
      </c>
      <c r="D38" s="126">
        <v>0.25</v>
      </c>
      <c r="E38" s="126">
        <v>0.25</v>
      </c>
      <c r="F38" s="126">
        <v>0.25</v>
      </c>
      <c r="G38" s="126">
        <v>0.25</v>
      </c>
      <c r="H38" s="126">
        <v>0.25</v>
      </c>
      <c r="I38" s="126">
        <v>0.25</v>
      </c>
      <c r="J38" s="126">
        <v>0.25</v>
      </c>
      <c r="K38" s="126">
        <v>0.25</v>
      </c>
      <c r="L38" s="126">
        <v>0.25</v>
      </c>
      <c r="M38" s="126">
        <v>0.25</v>
      </c>
      <c r="N38" s="178"/>
    </row>
    <row r="39" spans="1:14" s="87" customFormat="1" ht="12.75">
      <c r="A39" s="159" t="s">
        <v>1042</v>
      </c>
      <c r="B39" s="126">
        <v>0.5</v>
      </c>
      <c r="C39" s="126">
        <v>0.5</v>
      </c>
      <c r="D39" s="126">
        <v>0.5</v>
      </c>
      <c r="E39" s="126">
        <v>0.5</v>
      </c>
      <c r="F39" s="126">
        <v>0.5</v>
      </c>
      <c r="G39" s="126">
        <v>0.5</v>
      </c>
      <c r="H39" s="126">
        <v>0.5</v>
      </c>
      <c r="I39" s="126">
        <v>0.5</v>
      </c>
      <c r="J39" s="126">
        <v>0.5</v>
      </c>
      <c r="K39" s="126">
        <v>0.5</v>
      </c>
      <c r="L39" s="126">
        <v>0.5</v>
      </c>
      <c r="M39" s="126">
        <v>0.5</v>
      </c>
      <c r="N39" s="178"/>
    </row>
    <row r="40" spans="1:14" s="87" customFormat="1" ht="12.75">
      <c r="A40" s="159" t="s">
        <v>1043</v>
      </c>
      <c r="B40" s="126">
        <v>0.5</v>
      </c>
      <c r="C40" s="126">
        <v>0.5</v>
      </c>
      <c r="D40" s="126">
        <v>0.5</v>
      </c>
      <c r="E40" s="126">
        <v>0.5</v>
      </c>
      <c r="F40" s="126">
        <v>0.5</v>
      </c>
      <c r="G40" s="126">
        <v>0.5</v>
      </c>
      <c r="H40" s="126">
        <v>0.5</v>
      </c>
      <c r="I40" s="126">
        <v>0.5</v>
      </c>
      <c r="J40" s="126">
        <v>0.5</v>
      </c>
      <c r="K40" s="126">
        <v>0.5</v>
      </c>
      <c r="L40" s="126">
        <v>0.5</v>
      </c>
      <c r="M40" s="126">
        <v>0.5</v>
      </c>
      <c r="N40" s="178"/>
    </row>
    <row r="41" spans="1:14" s="152" customFormat="1" ht="38.25">
      <c r="A41" s="157" t="s">
        <v>825</v>
      </c>
      <c r="B41" s="151">
        <f>SUM(B10:B40)</f>
        <v>47.825</v>
      </c>
      <c r="C41" s="151">
        <f aca="true" t="shared" si="0" ref="C41:M41">SUM(C10:C40)</f>
        <v>47.825</v>
      </c>
      <c r="D41" s="151">
        <f t="shared" si="0"/>
        <v>47.825</v>
      </c>
      <c r="E41" s="151">
        <f t="shared" si="0"/>
        <v>48.325</v>
      </c>
      <c r="F41" s="151">
        <f t="shared" si="0"/>
        <v>48.325</v>
      </c>
      <c r="G41" s="151">
        <f t="shared" si="0"/>
        <v>48.325</v>
      </c>
      <c r="H41" s="151">
        <f t="shared" si="0"/>
        <v>48.325</v>
      </c>
      <c r="I41" s="151">
        <f t="shared" si="0"/>
        <v>48.325</v>
      </c>
      <c r="J41" s="151">
        <f t="shared" si="0"/>
        <v>50.325</v>
      </c>
      <c r="K41" s="151">
        <f t="shared" si="0"/>
        <v>50.325</v>
      </c>
      <c r="L41" s="151">
        <f t="shared" si="0"/>
        <v>50.325</v>
      </c>
      <c r="M41" s="151">
        <f t="shared" si="0"/>
        <v>49.325</v>
      </c>
      <c r="N41" s="180"/>
    </row>
    <row r="42" spans="1:14" s="87" customFormat="1" ht="14.25" customHeight="1">
      <c r="A42" s="15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78"/>
    </row>
    <row r="43" spans="1:14" s="88" customFormat="1" ht="22.5" customHeight="1">
      <c r="A43" s="173" t="s">
        <v>380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8"/>
    </row>
    <row r="44" spans="1:14" s="87" customFormat="1" ht="12.75">
      <c r="A44" s="159" t="s">
        <v>434</v>
      </c>
      <c r="B44" s="126">
        <v>21</v>
      </c>
      <c r="C44" s="126">
        <v>21</v>
      </c>
      <c r="D44" s="126">
        <v>23</v>
      </c>
      <c r="E44" s="126">
        <v>23</v>
      </c>
      <c r="F44" s="126">
        <v>23</v>
      </c>
      <c r="G44" s="126">
        <v>23</v>
      </c>
      <c r="H44" s="126">
        <v>23</v>
      </c>
      <c r="I44" s="126">
        <v>23</v>
      </c>
      <c r="J44" s="126">
        <v>23</v>
      </c>
      <c r="K44" s="126">
        <v>23</v>
      </c>
      <c r="L44" s="126">
        <v>23</v>
      </c>
      <c r="M44" s="126">
        <v>23</v>
      </c>
      <c r="N44" s="178"/>
    </row>
    <row r="45" spans="1:14" s="87" customFormat="1" ht="12.75">
      <c r="A45" s="159" t="s">
        <v>795</v>
      </c>
      <c r="B45" s="126">
        <v>2</v>
      </c>
      <c r="C45" s="126">
        <v>2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78"/>
    </row>
    <row r="46" spans="1:14" s="88" customFormat="1" ht="22.5" customHeight="1">
      <c r="A46" s="173" t="s">
        <v>435</v>
      </c>
      <c r="B46" s="151">
        <f>SUM(B44:B45)</f>
        <v>23</v>
      </c>
      <c r="C46" s="151">
        <f aca="true" t="shared" si="1" ref="C46:M46">SUM(C44:C45)</f>
        <v>23</v>
      </c>
      <c r="D46" s="151">
        <f t="shared" si="1"/>
        <v>23</v>
      </c>
      <c r="E46" s="151">
        <f t="shared" si="1"/>
        <v>23</v>
      </c>
      <c r="F46" s="151">
        <f t="shared" si="1"/>
        <v>23</v>
      </c>
      <c r="G46" s="151">
        <f t="shared" si="1"/>
        <v>23</v>
      </c>
      <c r="H46" s="151">
        <f t="shared" si="1"/>
        <v>23</v>
      </c>
      <c r="I46" s="151">
        <f t="shared" si="1"/>
        <v>23</v>
      </c>
      <c r="J46" s="151">
        <f t="shared" si="1"/>
        <v>23</v>
      </c>
      <c r="K46" s="151">
        <f t="shared" si="1"/>
        <v>23</v>
      </c>
      <c r="L46" s="151">
        <f t="shared" si="1"/>
        <v>23</v>
      </c>
      <c r="M46" s="151">
        <f t="shared" si="1"/>
        <v>23</v>
      </c>
      <c r="N46" s="128"/>
    </row>
    <row r="47" spans="1:13" s="128" customFormat="1" ht="14.25" customHeight="1">
      <c r="A47" s="160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</row>
    <row r="48" spans="1:14" s="88" customFormat="1" ht="22.5" customHeight="1">
      <c r="A48" s="173" t="s">
        <v>457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8"/>
    </row>
    <row r="49" spans="1:14" s="177" customFormat="1" ht="15.75" customHeight="1">
      <c r="A49" s="174" t="s">
        <v>796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6"/>
    </row>
    <row r="50" spans="1:14" s="87" customFormat="1" ht="12.75">
      <c r="A50" s="159" t="s">
        <v>647</v>
      </c>
      <c r="B50" s="126">
        <v>1</v>
      </c>
      <c r="C50" s="126">
        <v>1</v>
      </c>
      <c r="D50" s="126">
        <v>1</v>
      </c>
      <c r="E50" s="126">
        <v>1</v>
      </c>
      <c r="F50" s="126">
        <v>1</v>
      </c>
      <c r="G50" s="126">
        <v>1</v>
      </c>
      <c r="H50" s="126">
        <v>1</v>
      </c>
      <c r="I50" s="126">
        <v>1</v>
      </c>
      <c r="J50" s="126">
        <v>1</v>
      </c>
      <c r="K50" s="126">
        <v>1</v>
      </c>
      <c r="L50" s="126">
        <v>1</v>
      </c>
      <c r="M50" s="126">
        <v>1</v>
      </c>
      <c r="N50" s="178"/>
    </row>
    <row r="51" spans="1:14" s="87" customFormat="1" ht="12.75">
      <c r="A51" s="161" t="s">
        <v>648</v>
      </c>
      <c r="B51" s="126">
        <v>1</v>
      </c>
      <c r="C51" s="126">
        <v>1</v>
      </c>
      <c r="D51" s="126">
        <v>1</v>
      </c>
      <c r="E51" s="126">
        <v>1</v>
      </c>
      <c r="F51" s="126">
        <v>1</v>
      </c>
      <c r="G51" s="126">
        <v>1</v>
      </c>
      <c r="H51" s="126">
        <v>1</v>
      </c>
      <c r="I51" s="126">
        <v>1</v>
      </c>
      <c r="J51" s="126">
        <v>1</v>
      </c>
      <c r="K51" s="126">
        <v>1</v>
      </c>
      <c r="L51" s="126">
        <v>1</v>
      </c>
      <c r="M51" s="126">
        <v>1</v>
      </c>
      <c r="N51" s="178"/>
    </row>
    <row r="52" spans="1:14" s="177" customFormat="1" ht="15" customHeight="1">
      <c r="A52" s="174" t="s">
        <v>800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6"/>
    </row>
    <row r="53" spans="1:14" s="87" customFormat="1" ht="25.5">
      <c r="A53" s="159" t="s">
        <v>862</v>
      </c>
      <c r="B53" s="126">
        <v>1</v>
      </c>
      <c r="C53" s="126">
        <v>1</v>
      </c>
      <c r="D53" s="126">
        <v>1</v>
      </c>
      <c r="E53" s="126">
        <v>1</v>
      </c>
      <c r="F53" s="126">
        <v>1</v>
      </c>
      <c r="G53" s="126">
        <v>1</v>
      </c>
      <c r="H53" s="126">
        <v>1</v>
      </c>
      <c r="I53" s="126">
        <v>1</v>
      </c>
      <c r="J53" s="126">
        <v>1</v>
      </c>
      <c r="K53" s="126">
        <v>1</v>
      </c>
      <c r="L53" s="126">
        <v>1</v>
      </c>
      <c r="M53" s="126">
        <v>1</v>
      </c>
      <c r="N53" s="178"/>
    </row>
    <row r="54" spans="1:14" s="177" customFormat="1" ht="15" customHeight="1">
      <c r="A54" s="174" t="s">
        <v>797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6"/>
    </row>
    <row r="55" spans="1:14" s="87" customFormat="1" ht="12.75">
      <c r="A55" s="159" t="s">
        <v>798</v>
      </c>
      <c r="B55" s="126">
        <v>1</v>
      </c>
      <c r="C55" s="126">
        <v>1</v>
      </c>
      <c r="D55" s="126">
        <v>1</v>
      </c>
      <c r="E55" s="126">
        <v>1</v>
      </c>
      <c r="F55" s="126">
        <v>1</v>
      </c>
      <c r="G55" s="126">
        <v>1</v>
      </c>
      <c r="H55" s="126">
        <v>1</v>
      </c>
      <c r="I55" s="126">
        <v>1</v>
      </c>
      <c r="J55" s="126">
        <v>1</v>
      </c>
      <c r="K55" s="126">
        <v>1</v>
      </c>
      <c r="L55" s="126">
        <v>1</v>
      </c>
      <c r="M55" s="126">
        <v>1</v>
      </c>
      <c r="N55" s="178"/>
    </row>
    <row r="56" spans="1:14" s="87" customFormat="1" ht="12.75">
      <c r="A56" s="159" t="s">
        <v>799</v>
      </c>
      <c r="B56" s="126">
        <v>1</v>
      </c>
      <c r="C56" s="126">
        <v>1</v>
      </c>
      <c r="D56" s="126">
        <v>1</v>
      </c>
      <c r="E56" s="126">
        <v>1</v>
      </c>
      <c r="F56" s="126">
        <v>1</v>
      </c>
      <c r="G56" s="126">
        <v>1</v>
      </c>
      <c r="H56" s="126">
        <v>1</v>
      </c>
      <c r="I56" s="126">
        <v>1</v>
      </c>
      <c r="J56" s="126">
        <v>1</v>
      </c>
      <c r="K56" s="126">
        <v>1</v>
      </c>
      <c r="L56" s="126">
        <v>1</v>
      </c>
      <c r="M56" s="126">
        <v>1</v>
      </c>
      <c r="N56" s="178"/>
    </row>
    <row r="57" spans="1:14" s="177" customFormat="1" ht="22.5" customHeight="1">
      <c r="A57" s="174" t="s">
        <v>365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6"/>
    </row>
    <row r="58" spans="1:14" s="87" customFormat="1" ht="12.75">
      <c r="A58" s="158" t="s">
        <v>366</v>
      </c>
      <c r="B58" s="126">
        <v>1</v>
      </c>
      <c r="C58" s="126">
        <v>0</v>
      </c>
      <c r="D58" s="126">
        <v>0</v>
      </c>
      <c r="E58" s="126">
        <v>0</v>
      </c>
      <c r="F58" s="126">
        <v>0</v>
      </c>
      <c r="G58" s="126">
        <v>0</v>
      </c>
      <c r="H58" s="126">
        <v>0</v>
      </c>
      <c r="I58" s="126">
        <v>0</v>
      </c>
      <c r="J58" s="126">
        <v>0</v>
      </c>
      <c r="K58" s="126">
        <v>0</v>
      </c>
      <c r="L58" s="126">
        <v>0</v>
      </c>
      <c r="M58" s="126">
        <v>0</v>
      </c>
      <c r="N58" s="178"/>
    </row>
    <row r="59" spans="1:14" s="177" customFormat="1" ht="22.5" customHeight="1">
      <c r="A59" s="174" t="s">
        <v>367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6"/>
    </row>
    <row r="60" spans="1:14" s="87" customFormat="1" ht="12.75">
      <c r="A60" s="158" t="s">
        <v>368</v>
      </c>
      <c r="B60" s="168">
        <v>5</v>
      </c>
      <c r="C60" s="168">
        <v>5</v>
      </c>
      <c r="D60" s="168">
        <v>5</v>
      </c>
      <c r="E60" s="168">
        <v>5</v>
      </c>
      <c r="F60" s="168">
        <v>5</v>
      </c>
      <c r="G60" s="168">
        <v>5</v>
      </c>
      <c r="H60" s="126">
        <v>5</v>
      </c>
      <c r="I60" s="126">
        <v>5</v>
      </c>
      <c r="J60" s="126">
        <v>5</v>
      </c>
      <c r="K60" s="126">
        <v>5</v>
      </c>
      <c r="L60" s="126">
        <v>5</v>
      </c>
      <c r="M60" s="126">
        <v>5</v>
      </c>
      <c r="N60" s="178"/>
    </row>
    <row r="61" spans="1:14" ht="51">
      <c r="A61" s="174" t="s">
        <v>1015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/>
    </row>
    <row r="62" spans="1:14" ht="19.5" customHeight="1">
      <c r="A62" s="159" t="s">
        <v>1047</v>
      </c>
      <c r="B62" s="168">
        <v>0.5</v>
      </c>
      <c r="C62" s="168">
        <v>0.5</v>
      </c>
      <c r="D62" s="168">
        <v>0.5</v>
      </c>
      <c r="E62" s="168">
        <v>0.5</v>
      </c>
      <c r="F62" s="168">
        <v>0.5</v>
      </c>
      <c r="G62" s="168">
        <v>0.5</v>
      </c>
      <c r="H62" s="126">
        <v>0.5</v>
      </c>
      <c r="I62" s="126">
        <v>0.5</v>
      </c>
      <c r="J62" s="126">
        <v>0.5</v>
      </c>
      <c r="K62" s="126">
        <v>0.5</v>
      </c>
      <c r="L62" s="126">
        <v>0.5</v>
      </c>
      <c r="M62" s="126">
        <v>0.5</v>
      </c>
      <c r="N62"/>
    </row>
    <row r="63" spans="1:14" ht="18.75" customHeight="1">
      <c r="A63" s="159" t="s">
        <v>1048</v>
      </c>
      <c r="B63" s="168">
        <v>0.5</v>
      </c>
      <c r="C63" s="168">
        <v>0.5</v>
      </c>
      <c r="D63" s="168">
        <v>0.5</v>
      </c>
      <c r="E63" s="168">
        <v>0.5</v>
      </c>
      <c r="F63" s="168">
        <v>0.5</v>
      </c>
      <c r="G63" s="168">
        <v>0.5</v>
      </c>
      <c r="H63" s="126">
        <v>0.5</v>
      </c>
      <c r="I63" s="126">
        <v>0.5</v>
      </c>
      <c r="J63" s="126">
        <v>0.5</v>
      </c>
      <c r="K63" s="126">
        <v>0.5</v>
      </c>
      <c r="L63" s="126">
        <v>0.5</v>
      </c>
      <c r="M63" s="126">
        <v>0.5</v>
      </c>
      <c r="N63"/>
    </row>
    <row r="64" spans="1:14" ht="12.75">
      <c r="A64" s="159" t="s">
        <v>644</v>
      </c>
      <c r="B64" s="168">
        <v>1</v>
      </c>
      <c r="C64" s="168">
        <v>1</v>
      </c>
      <c r="D64" s="168">
        <v>1</v>
      </c>
      <c r="E64" s="168">
        <v>1</v>
      </c>
      <c r="F64" s="168">
        <v>1</v>
      </c>
      <c r="G64" s="168">
        <v>1</v>
      </c>
      <c r="H64" s="168">
        <v>1</v>
      </c>
      <c r="I64" s="168">
        <v>1</v>
      </c>
      <c r="J64" s="168">
        <v>1</v>
      </c>
      <c r="K64" s="168">
        <v>1</v>
      </c>
      <c r="L64" s="168">
        <v>1</v>
      </c>
      <c r="M64" s="168">
        <v>1</v>
      </c>
      <c r="N64"/>
    </row>
    <row r="65" spans="1:14" ht="12.75">
      <c r="A65" s="159" t="s">
        <v>761</v>
      </c>
      <c r="B65" s="168">
        <v>2</v>
      </c>
      <c r="C65" s="168">
        <v>2</v>
      </c>
      <c r="D65" s="168">
        <v>2</v>
      </c>
      <c r="E65" s="168">
        <v>2</v>
      </c>
      <c r="F65" s="168">
        <v>2</v>
      </c>
      <c r="G65" s="168">
        <v>2</v>
      </c>
      <c r="H65" s="168">
        <v>2</v>
      </c>
      <c r="I65" s="168">
        <v>2</v>
      </c>
      <c r="J65" s="168">
        <v>2</v>
      </c>
      <c r="K65" s="168">
        <v>2</v>
      </c>
      <c r="L65" s="168">
        <v>2</v>
      </c>
      <c r="M65" s="168">
        <v>2</v>
      </c>
      <c r="N65"/>
    </row>
    <row r="66" spans="1:14" ht="12.75">
      <c r="A66" s="159" t="s">
        <v>1049</v>
      </c>
      <c r="B66" s="168">
        <v>1</v>
      </c>
      <c r="C66" s="168">
        <v>1</v>
      </c>
      <c r="D66" s="168">
        <v>1</v>
      </c>
      <c r="E66" s="168">
        <v>1</v>
      </c>
      <c r="F66" s="168">
        <v>1</v>
      </c>
      <c r="G66" s="168">
        <v>1</v>
      </c>
      <c r="H66" s="168">
        <v>1</v>
      </c>
      <c r="I66" s="168">
        <v>1</v>
      </c>
      <c r="J66" s="168">
        <v>1</v>
      </c>
      <c r="K66" s="168">
        <v>1</v>
      </c>
      <c r="L66" s="168">
        <v>1</v>
      </c>
      <c r="M66" s="168">
        <v>1</v>
      </c>
      <c r="N66"/>
    </row>
    <row r="67" spans="1:14" ht="25.5">
      <c r="A67" s="159" t="s">
        <v>1016</v>
      </c>
      <c r="B67" s="168">
        <v>0.5</v>
      </c>
      <c r="C67" s="168">
        <v>0.5</v>
      </c>
      <c r="D67" s="168">
        <v>0.5</v>
      </c>
      <c r="E67" s="168">
        <v>0.5</v>
      </c>
      <c r="F67" s="168">
        <v>0.5</v>
      </c>
      <c r="G67" s="168">
        <v>0.5</v>
      </c>
      <c r="H67" s="168">
        <v>0.5</v>
      </c>
      <c r="I67" s="168">
        <v>0.5</v>
      </c>
      <c r="J67" s="168">
        <v>0.5</v>
      </c>
      <c r="K67" s="168">
        <v>0.5</v>
      </c>
      <c r="L67" s="168">
        <v>0.5</v>
      </c>
      <c r="M67" s="168">
        <v>0.5</v>
      </c>
      <c r="N67"/>
    </row>
    <row r="68" spans="1:14" ht="27" customHeight="1">
      <c r="A68" s="159" t="s">
        <v>1050</v>
      </c>
      <c r="B68" s="168">
        <v>1.5</v>
      </c>
      <c r="C68" s="168">
        <v>1.5</v>
      </c>
      <c r="D68" s="168">
        <v>1.5</v>
      </c>
      <c r="E68" s="168">
        <v>1.5</v>
      </c>
      <c r="F68" s="168">
        <v>1.5</v>
      </c>
      <c r="G68" s="168">
        <v>1.5</v>
      </c>
      <c r="H68" s="168">
        <v>1.5</v>
      </c>
      <c r="I68" s="168">
        <v>1.5</v>
      </c>
      <c r="J68" s="168">
        <v>1.5</v>
      </c>
      <c r="K68" s="168">
        <v>1.5</v>
      </c>
      <c r="L68" s="168">
        <v>1.5</v>
      </c>
      <c r="M68" s="168">
        <v>1.5</v>
      </c>
      <c r="N68"/>
    </row>
    <row r="69" spans="1:14" ht="38.25">
      <c r="A69" s="174" t="s">
        <v>1017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/>
    </row>
    <row r="70" spans="1:14" ht="12.75">
      <c r="A70" s="158" t="s">
        <v>1018</v>
      </c>
      <c r="B70" s="168">
        <v>1</v>
      </c>
      <c r="C70" s="168">
        <v>1</v>
      </c>
      <c r="D70" s="168">
        <v>1</v>
      </c>
      <c r="E70" s="168">
        <v>1</v>
      </c>
      <c r="F70" s="168">
        <v>1</v>
      </c>
      <c r="G70" s="168">
        <v>1</v>
      </c>
      <c r="H70" s="168">
        <v>1</v>
      </c>
      <c r="I70" s="168">
        <v>1</v>
      </c>
      <c r="J70" s="168">
        <v>1</v>
      </c>
      <c r="K70" s="168">
        <v>1</v>
      </c>
      <c r="L70" s="168">
        <v>1</v>
      </c>
      <c r="M70" s="168">
        <v>1</v>
      </c>
      <c r="N70"/>
    </row>
    <row r="71" spans="1:14" ht="12.75">
      <c r="A71" s="158" t="s">
        <v>1019</v>
      </c>
      <c r="B71" s="168">
        <v>1</v>
      </c>
      <c r="C71" s="168">
        <v>1</v>
      </c>
      <c r="D71" s="168">
        <v>1</v>
      </c>
      <c r="E71" s="168">
        <v>1</v>
      </c>
      <c r="F71" s="168">
        <v>1</v>
      </c>
      <c r="G71" s="168">
        <v>1</v>
      </c>
      <c r="H71" s="168">
        <v>1</v>
      </c>
      <c r="I71" s="168">
        <v>1</v>
      </c>
      <c r="J71" s="168">
        <v>1</v>
      </c>
      <c r="K71" s="168">
        <v>1</v>
      </c>
      <c r="L71" s="168">
        <v>1</v>
      </c>
      <c r="M71" s="168">
        <v>1</v>
      </c>
      <c r="N71"/>
    </row>
    <row r="72" spans="1:14" ht="12.75">
      <c r="A72" s="158" t="s">
        <v>1020</v>
      </c>
      <c r="B72" s="168">
        <v>1</v>
      </c>
      <c r="C72" s="168">
        <v>1</v>
      </c>
      <c r="D72" s="168">
        <v>1</v>
      </c>
      <c r="E72" s="168">
        <v>1</v>
      </c>
      <c r="F72" s="168">
        <v>1</v>
      </c>
      <c r="G72" s="168">
        <v>1</v>
      </c>
      <c r="H72" s="168">
        <v>1</v>
      </c>
      <c r="I72" s="168">
        <v>1</v>
      </c>
      <c r="J72" s="168">
        <v>1</v>
      </c>
      <c r="K72" s="168">
        <v>1</v>
      </c>
      <c r="L72" s="168">
        <v>1</v>
      </c>
      <c r="M72" s="168">
        <v>1</v>
      </c>
      <c r="N72"/>
    </row>
    <row r="73" spans="1:14" ht="12.75">
      <c r="A73" s="158" t="s">
        <v>1021</v>
      </c>
      <c r="B73" s="168">
        <v>1</v>
      </c>
      <c r="C73" s="168">
        <v>1</v>
      </c>
      <c r="D73" s="168">
        <v>1</v>
      </c>
      <c r="E73" s="168">
        <v>1</v>
      </c>
      <c r="F73" s="168">
        <v>1</v>
      </c>
      <c r="G73" s="168">
        <v>1</v>
      </c>
      <c r="H73" s="168">
        <v>1</v>
      </c>
      <c r="I73" s="168">
        <v>1</v>
      </c>
      <c r="J73" s="168">
        <v>1</v>
      </c>
      <c r="K73" s="168">
        <v>1</v>
      </c>
      <c r="L73" s="168">
        <v>1</v>
      </c>
      <c r="M73" s="168">
        <v>1</v>
      </c>
      <c r="N73"/>
    </row>
    <row r="74" spans="1:14" ht="12.75">
      <c r="A74" s="158" t="s">
        <v>1051</v>
      </c>
      <c r="B74" s="168">
        <v>0.5</v>
      </c>
      <c r="C74" s="168">
        <v>0.5</v>
      </c>
      <c r="D74" s="168">
        <v>0.5</v>
      </c>
      <c r="E74" s="168">
        <v>0.5</v>
      </c>
      <c r="F74" s="168">
        <v>0.5</v>
      </c>
      <c r="G74" s="168">
        <v>0.5</v>
      </c>
      <c r="H74" s="168">
        <v>0.5</v>
      </c>
      <c r="I74" s="168">
        <v>0.5</v>
      </c>
      <c r="J74" s="168">
        <v>0.5</v>
      </c>
      <c r="K74" s="168">
        <v>0.5</v>
      </c>
      <c r="L74" s="168">
        <v>0.5</v>
      </c>
      <c r="M74" s="168">
        <v>0.5</v>
      </c>
      <c r="N74"/>
    </row>
    <row r="75" spans="1:14" ht="12.75">
      <c r="A75" s="158" t="s">
        <v>1052</v>
      </c>
      <c r="B75" s="168">
        <v>2.5</v>
      </c>
      <c r="C75" s="168">
        <v>2.5</v>
      </c>
      <c r="D75" s="168">
        <v>2.5</v>
      </c>
      <c r="E75" s="168">
        <v>2.5</v>
      </c>
      <c r="F75" s="168">
        <v>2.5</v>
      </c>
      <c r="G75" s="168">
        <v>2.5</v>
      </c>
      <c r="H75" s="168">
        <v>2.5</v>
      </c>
      <c r="I75" s="168">
        <v>2.5</v>
      </c>
      <c r="J75" s="168">
        <v>2.5</v>
      </c>
      <c r="K75" s="168">
        <v>2.5</v>
      </c>
      <c r="L75" s="168">
        <v>2.5</v>
      </c>
      <c r="M75" s="168">
        <v>2.5</v>
      </c>
      <c r="N75"/>
    </row>
    <row r="76" spans="1:14" ht="25.5">
      <c r="A76" s="174" t="s">
        <v>1022</v>
      </c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/>
    </row>
    <row r="77" spans="1:13" s="921" customFormat="1" ht="12.75">
      <c r="A77" s="158" t="s">
        <v>1023</v>
      </c>
      <c r="B77" s="168">
        <v>1</v>
      </c>
      <c r="C77" s="168">
        <v>1</v>
      </c>
      <c r="D77" s="168">
        <v>1</v>
      </c>
      <c r="E77" s="168">
        <v>1</v>
      </c>
      <c r="F77" s="168">
        <v>1</v>
      </c>
      <c r="G77" s="168">
        <v>1</v>
      </c>
      <c r="H77" s="168">
        <v>1</v>
      </c>
      <c r="I77" s="168">
        <v>1</v>
      </c>
      <c r="J77" s="168">
        <v>1</v>
      </c>
      <c r="K77" s="168">
        <v>1</v>
      </c>
      <c r="L77" s="168">
        <v>1</v>
      </c>
      <c r="M77" s="168">
        <v>1</v>
      </c>
    </row>
    <row r="78" spans="1:14" ht="38.25">
      <c r="A78" s="174" t="s">
        <v>1024</v>
      </c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/>
    </row>
    <row r="79" spans="1:13" s="921" customFormat="1" ht="12.75">
      <c r="A79" s="158" t="s">
        <v>1053</v>
      </c>
      <c r="B79" s="168">
        <v>0.25</v>
      </c>
      <c r="C79" s="168">
        <v>0.25</v>
      </c>
      <c r="D79" s="168">
        <v>0.25</v>
      </c>
      <c r="E79" s="168">
        <v>0.25</v>
      </c>
      <c r="F79" s="168">
        <v>0.25</v>
      </c>
      <c r="G79" s="168">
        <v>0.25</v>
      </c>
      <c r="H79" s="168">
        <v>0.25</v>
      </c>
      <c r="I79" s="168">
        <v>0.25</v>
      </c>
      <c r="J79" s="168">
        <v>0.25</v>
      </c>
      <c r="K79" s="168">
        <v>0.25</v>
      </c>
      <c r="L79" s="168">
        <v>0.25</v>
      </c>
      <c r="M79" s="168">
        <v>0.25</v>
      </c>
    </row>
    <row r="80" spans="1:13" s="921" customFormat="1" ht="12.75">
      <c r="A80" s="158" t="s">
        <v>1054</v>
      </c>
      <c r="B80" s="168">
        <v>0.5</v>
      </c>
      <c r="C80" s="168">
        <v>0.5</v>
      </c>
      <c r="D80" s="168">
        <v>0.5</v>
      </c>
      <c r="E80" s="168">
        <v>0.5</v>
      </c>
      <c r="F80" s="168">
        <v>0.5</v>
      </c>
      <c r="G80" s="168">
        <v>0.5</v>
      </c>
      <c r="H80" s="168">
        <v>0.5</v>
      </c>
      <c r="I80" s="168">
        <v>0.5</v>
      </c>
      <c r="J80" s="168">
        <v>0.5</v>
      </c>
      <c r="K80" s="168">
        <v>0.5</v>
      </c>
      <c r="L80" s="168">
        <v>0.5</v>
      </c>
      <c r="M80" s="168">
        <v>0.5</v>
      </c>
    </row>
    <row r="81" spans="1:14" ht="12.75">
      <c r="A81" s="173" t="s">
        <v>399</v>
      </c>
      <c r="B81" s="151">
        <f>SUM(B50:B80)</f>
        <v>26.75</v>
      </c>
      <c r="C81" s="151">
        <f aca="true" t="shared" si="2" ref="C81:M81">SUM(C50:C80)</f>
        <v>25.75</v>
      </c>
      <c r="D81" s="151">
        <f t="shared" si="2"/>
        <v>25.75</v>
      </c>
      <c r="E81" s="151">
        <f t="shared" si="2"/>
        <v>25.75</v>
      </c>
      <c r="F81" s="151">
        <f t="shared" si="2"/>
        <v>25.75</v>
      </c>
      <c r="G81" s="151">
        <f t="shared" si="2"/>
        <v>25.75</v>
      </c>
      <c r="H81" s="151">
        <f t="shared" si="2"/>
        <v>25.75</v>
      </c>
      <c r="I81" s="151">
        <f t="shared" si="2"/>
        <v>25.75</v>
      </c>
      <c r="J81" s="151">
        <f t="shared" si="2"/>
        <v>25.75</v>
      </c>
      <c r="K81" s="151">
        <f t="shared" si="2"/>
        <v>25.75</v>
      </c>
      <c r="L81" s="151">
        <f t="shared" si="2"/>
        <v>25.75</v>
      </c>
      <c r="M81" s="151">
        <f t="shared" si="2"/>
        <v>25.75</v>
      </c>
      <c r="N81"/>
    </row>
    <row r="82" spans="1:14" s="87" customFormat="1" ht="14.25" customHeight="1">
      <c r="A82" s="15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78"/>
    </row>
    <row r="83" spans="1:14" s="88" customFormat="1" ht="22.5" customHeight="1">
      <c r="A83" s="173" t="s">
        <v>856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8"/>
    </row>
    <row r="84" spans="1:14" s="87" customFormat="1" ht="12.75">
      <c r="A84" s="159" t="s">
        <v>801</v>
      </c>
      <c r="B84" s="126">
        <v>1</v>
      </c>
      <c r="C84" s="126">
        <v>1</v>
      </c>
      <c r="D84" s="126">
        <v>1</v>
      </c>
      <c r="E84" s="126">
        <v>1</v>
      </c>
      <c r="F84" s="126">
        <v>1</v>
      </c>
      <c r="G84" s="126">
        <v>1</v>
      </c>
      <c r="H84" s="126">
        <v>1</v>
      </c>
      <c r="I84" s="126">
        <v>1</v>
      </c>
      <c r="J84" s="126">
        <v>1</v>
      </c>
      <c r="K84" s="126">
        <v>1</v>
      </c>
      <c r="L84" s="126">
        <v>1</v>
      </c>
      <c r="M84" s="126">
        <v>1</v>
      </c>
      <c r="N84" s="178"/>
    </row>
    <row r="85" spans="1:14" s="87" customFormat="1" ht="12.75">
      <c r="A85" s="159" t="s">
        <v>802</v>
      </c>
      <c r="B85" s="126">
        <v>1</v>
      </c>
      <c r="C85" s="126">
        <v>1</v>
      </c>
      <c r="D85" s="126">
        <v>1</v>
      </c>
      <c r="E85" s="126">
        <v>1</v>
      </c>
      <c r="F85" s="126">
        <v>1</v>
      </c>
      <c r="G85" s="126">
        <v>1</v>
      </c>
      <c r="H85" s="126">
        <v>1</v>
      </c>
      <c r="I85" s="126">
        <v>1</v>
      </c>
      <c r="J85" s="126">
        <v>1</v>
      </c>
      <c r="K85" s="126">
        <v>1</v>
      </c>
      <c r="L85" s="126">
        <v>1</v>
      </c>
      <c r="M85" s="126">
        <v>1</v>
      </c>
      <c r="N85" s="178"/>
    </row>
    <row r="86" spans="1:14" s="87" customFormat="1" ht="12.75">
      <c r="A86" s="159" t="s">
        <v>803</v>
      </c>
      <c r="B86" s="126">
        <v>1</v>
      </c>
      <c r="C86" s="126">
        <v>1</v>
      </c>
      <c r="D86" s="126">
        <v>1</v>
      </c>
      <c r="E86" s="126">
        <v>1</v>
      </c>
      <c r="F86" s="126">
        <v>1</v>
      </c>
      <c r="G86" s="126">
        <v>1</v>
      </c>
      <c r="H86" s="126">
        <v>1</v>
      </c>
      <c r="I86" s="126">
        <v>1</v>
      </c>
      <c r="J86" s="126">
        <v>1</v>
      </c>
      <c r="K86" s="126">
        <v>1</v>
      </c>
      <c r="L86" s="126">
        <v>1</v>
      </c>
      <c r="M86" s="126">
        <v>1</v>
      </c>
      <c r="N86" s="178"/>
    </row>
    <row r="87" spans="1:14" s="87" customFormat="1" ht="12.75">
      <c r="A87" s="159" t="s">
        <v>804</v>
      </c>
      <c r="B87" s="126">
        <v>1</v>
      </c>
      <c r="C87" s="126">
        <v>1</v>
      </c>
      <c r="D87" s="126">
        <v>1</v>
      </c>
      <c r="E87" s="126">
        <v>1</v>
      </c>
      <c r="F87" s="126">
        <v>1</v>
      </c>
      <c r="G87" s="126">
        <v>1</v>
      </c>
      <c r="H87" s="126">
        <v>1</v>
      </c>
      <c r="I87" s="126">
        <v>1</v>
      </c>
      <c r="J87" s="126">
        <v>1</v>
      </c>
      <c r="K87" s="126">
        <v>1</v>
      </c>
      <c r="L87" s="126">
        <v>1</v>
      </c>
      <c r="M87" s="126">
        <v>1</v>
      </c>
      <c r="N87" s="178"/>
    </row>
    <row r="88" spans="1:14" ht="25.5">
      <c r="A88" s="174" t="s">
        <v>1025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/>
    </row>
    <row r="89" spans="1:14" ht="12.75">
      <c r="A89" s="158" t="s">
        <v>1018</v>
      </c>
      <c r="B89" s="168">
        <v>0.5</v>
      </c>
      <c r="C89" s="168">
        <v>0.5</v>
      </c>
      <c r="D89" s="168">
        <v>0.5</v>
      </c>
      <c r="E89" s="168">
        <v>0.5</v>
      </c>
      <c r="F89" s="168">
        <v>0.5</v>
      </c>
      <c r="G89" s="168">
        <v>0.5</v>
      </c>
      <c r="H89" s="168">
        <v>0.5</v>
      </c>
      <c r="I89" s="168">
        <v>0.5</v>
      </c>
      <c r="J89" s="168">
        <v>0.5</v>
      </c>
      <c r="K89" s="168">
        <v>0.5</v>
      </c>
      <c r="L89" s="168">
        <v>0.5</v>
      </c>
      <c r="M89" s="168">
        <v>0.5</v>
      </c>
      <c r="N89"/>
    </row>
    <row r="90" spans="1:14" s="88" customFormat="1" ht="30" customHeight="1">
      <c r="A90" s="157" t="s">
        <v>857</v>
      </c>
      <c r="B90" s="151">
        <f>SUM(B84:B89)</f>
        <v>4.5</v>
      </c>
      <c r="C90" s="151">
        <f aca="true" t="shared" si="3" ref="C90:M90">SUM(C84:C89)</f>
        <v>4.5</v>
      </c>
      <c r="D90" s="151">
        <f t="shared" si="3"/>
        <v>4.5</v>
      </c>
      <c r="E90" s="151">
        <f t="shared" si="3"/>
        <v>4.5</v>
      </c>
      <c r="F90" s="151">
        <f t="shared" si="3"/>
        <v>4.5</v>
      </c>
      <c r="G90" s="151">
        <f t="shared" si="3"/>
        <v>4.5</v>
      </c>
      <c r="H90" s="151">
        <f t="shared" si="3"/>
        <v>4.5</v>
      </c>
      <c r="I90" s="151">
        <f t="shared" si="3"/>
        <v>4.5</v>
      </c>
      <c r="J90" s="151">
        <f t="shared" si="3"/>
        <v>4.5</v>
      </c>
      <c r="K90" s="151">
        <f t="shared" si="3"/>
        <v>4.5</v>
      </c>
      <c r="L90" s="151">
        <f t="shared" si="3"/>
        <v>4.5</v>
      </c>
      <c r="M90" s="151">
        <f t="shared" si="3"/>
        <v>4.5</v>
      </c>
      <c r="N90" s="128"/>
    </row>
    <row r="91" spans="1:14" s="88" customFormat="1" ht="30.75" customHeight="1">
      <c r="A91" s="162" t="s">
        <v>436</v>
      </c>
      <c r="B91" s="501">
        <f aca="true" t="shared" si="4" ref="B91:M91">SUM(B90,B81,B46,B41)</f>
        <v>102.075</v>
      </c>
      <c r="C91" s="501">
        <f t="shared" si="4"/>
        <v>101.075</v>
      </c>
      <c r="D91" s="501">
        <f t="shared" si="4"/>
        <v>101.075</v>
      </c>
      <c r="E91" s="501">
        <f t="shared" si="4"/>
        <v>101.575</v>
      </c>
      <c r="F91" s="501">
        <f t="shared" si="4"/>
        <v>101.575</v>
      </c>
      <c r="G91" s="501">
        <f t="shared" si="4"/>
        <v>101.575</v>
      </c>
      <c r="H91" s="501">
        <f t="shared" si="4"/>
        <v>101.575</v>
      </c>
      <c r="I91" s="501">
        <f t="shared" si="4"/>
        <v>101.575</v>
      </c>
      <c r="J91" s="501">
        <f t="shared" si="4"/>
        <v>103.575</v>
      </c>
      <c r="K91" s="501">
        <f t="shared" si="4"/>
        <v>103.575</v>
      </c>
      <c r="L91" s="501">
        <f t="shared" si="4"/>
        <v>103.575</v>
      </c>
      <c r="M91" s="501">
        <f t="shared" si="4"/>
        <v>102.575</v>
      </c>
      <c r="N91" s="128"/>
    </row>
    <row r="92" spans="1:14" s="87" customFormat="1" ht="6" customHeight="1">
      <c r="A92" s="15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78"/>
    </row>
    <row r="93" spans="1:14" s="88" customFormat="1" ht="25.5" customHeight="1">
      <c r="A93" s="173" t="s">
        <v>364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8"/>
    </row>
    <row r="94" spans="1:14" s="650" customFormat="1" ht="42" customHeight="1">
      <c r="A94" s="647" t="s">
        <v>1026</v>
      </c>
      <c r="B94" s="648"/>
      <c r="C94" s="648"/>
      <c r="D94" s="648"/>
      <c r="E94" s="648"/>
      <c r="F94" s="648"/>
      <c r="G94" s="648"/>
      <c r="H94" s="648"/>
      <c r="I94" s="648"/>
      <c r="J94" s="648"/>
      <c r="K94" s="648"/>
      <c r="L94" s="648"/>
      <c r="M94" s="648"/>
      <c r="N94" s="649"/>
    </row>
    <row r="95" spans="1:14" s="87" customFormat="1" ht="27" customHeight="1">
      <c r="A95" s="499" t="s">
        <v>805</v>
      </c>
      <c r="B95" s="500">
        <v>11</v>
      </c>
      <c r="C95" s="500">
        <v>11</v>
      </c>
      <c r="D95" s="500">
        <v>0</v>
      </c>
      <c r="E95" s="500">
        <v>0</v>
      </c>
      <c r="F95" s="500">
        <v>0</v>
      </c>
      <c r="G95" s="500">
        <v>0</v>
      </c>
      <c r="H95" s="500">
        <v>0</v>
      </c>
      <c r="I95" s="500">
        <v>0</v>
      </c>
      <c r="J95" s="500">
        <v>0</v>
      </c>
      <c r="K95" s="500">
        <v>0</v>
      </c>
      <c r="L95" s="500">
        <v>0</v>
      </c>
      <c r="M95" s="500">
        <v>0</v>
      </c>
      <c r="N95" s="178"/>
    </row>
    <row r="96" spans="1:14" s="87" customFormat="1" ht="26.25" customHeight="1">
      <c r="A96" s="499" t="s">
        <v>806</v>
      </c>
      <c r="B96" s="500">
        <v>11</v>
      </c>
      <c r="C96" s="500">
        <v>11</v>
      </c>
      <c r="D96" s="500">
        <v>0</v>
      </c>
      <c r="E96" s="500">
        <v>0</v>
      </c>
      <c r="F96" s="500">
        <v>0</v>
      </c>
      <c r="G96" s="500">
        <v>0</v>
      </c>
      <c r="H96" s="500">
        <v>0</v>
      </c>
      <c r="I96" s="500">
        <v>0</v>
      </c>
      <c r="J96" s="500">
        <v>0</v>
      </c>
      <c r="K96" s="500">
        <v>0</v>
      </c>
      <c r="L96" s="500">
        <v>0</v>
      </c>
      <c r="M96" s="500">
        <v>0</v>
      </c>
      <c r="N96" s="178"/>
    </row>
    <row r="97" spans="1:14" s="87" customFormat="1" ht="26.25" customHeight="1">
      <c r="A97" s="499" t="s">
        <v>807</v>
      </c>
      <c r="B97" s="500">
        <v>11</v>
      </c>
      <c r="C97" s="500">
        <v>11</v>
      </c>
      <c r="D97" s="500">
        <v>0</v>
      </c>
      <c r="E97" s="500">
        <v>0</v>
      </c>
      <c r="F97" s="500">
        <v>0</v>
      </c>
      <c r="G97" s="500">
        <v>0</v>
      </c>
      <c r="H97" s="500">
        <v>0</v>
      </c>
      <c r="I97" s="500">
        <v>0</v>
      </c>
      <c r="J97" s="500">
        <v>0</v>
      </c>
      <c r="K97" s="500">
        <v>0</v>
      </c>
      <c r="L97" s="500">
        <v>0</v>
      </c>
      <c r="M97" s="500">
        <v>0</v>
      </c>
      <c r="N97" s="178"/>
    </row>
    <row r="98" spans="1:14" s="87" customFormat="1" ht="30" customHeight="1">
      <c r="A98" s="499" t="s">
        <v>1027</v>
      </c>
      <c r="B98" s="500">
        <v>5</v>
      </c>
      <c r="C98" s="500">
        <v>5</v>
      </c>
      <c r="D98" s="500">
        <v>0</v>
      </c>
      <c r="E98" s="500">
        <v>0</v>
      </c>
      <c r="F98" s="500">
        <v>0</v>
      </c>
      <c r="G98" s="500">
        <v>0</v>
      </c>
      <c r="H98" s="500">
        <v>0</v>
      </c>
      <c r="I98" s="500">
        <v>0</v>
      </c>
      <c r="J98" s="500">
        <v>0</v>
      </c>
      <c r="K98" s="500">
        <v>0</v>
      </c>
      <c r="L98" s="500">
        <v>0</v>
      </c>
      <c r="M98" s="500">
        <v>0</v>
      </c>
      <c r="N98" s="178"/>
    </row>
    <row r="99" spans="1:14" s="650" customFormat="1" ht="42" customHeight="1">
      <c r="A99" s="647" t="s">
        <v>1028</v>
      </c>
      <c r="B99" s="648"/>
      <c r="C99" s="648"/>
      <c r="D99" s="648"/>
      <c r="E99" s="648"/>
      <c r="F99" s="648"/>
      <c r="G99" s="648"/>
      <c r="H99" s="648"/>
      <c r="I99" s="648"/>
      <c r="J99" s="648"/>
      <c r="K99" s="648"/>
      <c r="L99" s="648"/>
      <c r="M99" s="648"/>
      <c r="N99" s="649"/>
    </row>
    <row r="100" spans="1:14" s="87" customFormat="1" ht="38.25" customHeight="1">
      <c r="A100" s="499" t="s">
        <v>1055</v>
      </c>
      <c r="B100" s="500">
        <v>20</v>
      </c>
      <c r="C100" s="500">
        <v>20</v>
      </c>
      <c r="D100" s="500">
        <v>0</v>
      </c>
      <c r="E100" s="500">
        <v>0</v>
      </c>
      <c r="F100" s="500">
        <v>0</v>
      </c>
      <c r="G100" s="500">
        <v>0</v>
      </c>
      <c r="H100" s="500">
        <v>0</v>
      </c>
      <c r="I100" s="500">
        <v>0</v>
      </c>
      <c r="J100" s="500">
        <v>0</v>
      </c>
      <c r="K100" s="500">
        <v>0</v>
      </c>
      <c r="L100" s="500">
        <v>0</v>
      </c>
      <c r="M100" s="500">
        <v>0</v>
      </c>
      <c r="N100" s="178"/>
    </row>
    <row r="101" spans="1:14" s="87" customFormat="1" ht="33.75" customHeight="1">
      <c r="A101" s="499" t="s">
        <v>1029</v>
      </c>
      <c r="B101" s="500">
        <v>23</v>
      </c>
      <c r="C101" s="500">
        <v>23</v>
      </c>
      <c r="D101" s="500">
        <v>0</v>
      </c>
      <c r="E101" s="500">
        <v>0</v>
      </c>
      <c r="F101" s="500">
        <v>0</v>
      </c>
      <c r="G101" s="500">
        <v>0</v>
      </c>
      <c r="H101" s="500">
        <v>0</v>
      </c>
      <c r="I101" s="500">
        <v>0</v>
      </c>
      <c r="J101" s="500">
        <v>0</v>
      </c>
      <c r="K101" s="500">
        <v>0</v>
      </c>
      <c r="L101" s="500">
        <v>0</v>
      </c>
      <c r="M101" s="500">
        <v>0</v>
      </c>
      <c r="N101" s="178"/>
    </row>
    <row r="102" spans="1:14" s="88" customFormat="1" ht="32.25" customHeight="1">
      <c r="A102" s="162" t="s">
        <v>533</v>
      </c>
      <c r="B102" s="501">
        <f>SUM(B94:B101)</f>
        <v>81</v>
      </c>
      <c r="C102" s="501">
        <f aca="true" t="shared" si="5" ref="C102:M102">SUM(C94:C101)</f>
        <v>81</v>
      </c>
      <c r="D102" s="501">
        <f t="shared" si="5"/>
        <v>0</v>
      </c>
      <c r="E102" s="501">
        <f t="shared" si="5"/>
        <v>0</v>
      </c>
      <c r="F102" s="501">
        <f t="shared" si="5"/>
        <v>0</v>
      </c>
      <c r="G102" s="501">
        <f t="shared" si="5"/>
        <v>0</v>
      </c>
      <c r="H102" s="501">
        <f t="shared" si="5"/>
        <v>0</v>
      </c>
      <c r="I102" s="501">
        <f t="shared" si="5"/>
        <v>0</v>
      </c>
      <c r="J102" s="501">
        <f t="shared" si="5"/>
        <v>0</v>
      </c>
      <c r="K102" s="501">
        <f t="shared" si="5"/>
        <v>0</v>
      </c>
      <c r="L102" s="501">
        <f t="shared" si="5"/>
        <v>0</v>
      </c>
      <c r="M102" s="501">
        <f t="shared" si="5"/>
        <v>0</v>
      </c>
      <c r="N102" s="128"/>
    </row>
  </sheetData>
  <sheetProtection/>
  <mergeCells count="3">
    <mergeCell ref="A4:M4"/>
    <mergeCell ref="A5:M5"/>
    <mergeCell ref="A6:M6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84" r:id="rId1"/>
  <rowBreaks count="3" manualBreakCount="3">
    <brk id="33" max="12" man="1"/>
    <brk id="60" max="12" man="1"/>
    <brk id="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69"/>
  <sheetViews>
    <sheetView zoomScaleSheetLayoutView="100" zoomScalePageLayoutView="0" workbookViewId="0" topLeftCell="A1">
      <selection activeCell="C2" sqref="C2"/>
    </sheetView>
  </sheetViews>
  <sheetFormatPr defaultColWidth="8.875" defaultRowHeight="12.75"/>
  <cols>
    <col min="1" max="1" width="4.125" style="90" bestFit="1" customWidth="1"/>
    <col min="2" max="2" width="2.375" style="3" customWidth="1"/>
    <col min="3" max="3" width="88.625" style="3" customWidth="1"/>
    <col min="4" max="4" width="17.25390625" style="3" bestFit="1" customWidth="1"/>
    <col min="5" max="16384" width="8.875" style="3" customWidth="1"/>
  </cols>
  <sheetData>
    <row r="1" spans="3:5" ht="15">
      <c r="C1" s="986" t="s">
        <v>1071</v>
      </c>
      <c r="D1" s="1234"/>
      <c r="E1" s="89"/>
    </row>
    <row r="2" spans="3:5" ht="15">
      <c r="C2" s="6"/>
      <c r="D2" s="167"/>
      <c r="E2" s="89"/>
    </row>
    <row r="3" spans="2:4" ht="15.75">
      <c r="B3" s="1235" t="s">
        <v>937</v>
      </c>
      <c r="C3" s="1235"/>
      <c r="D3" s="1235"/>
    </row>
    <row r="4" spans="2:4" ht="15">
      <c r="B4" s="185"/>
      <c r="C4" s="185"/>
      <c r="D4" s="185"/>
    </row>
    <row r="5" ht="15.75" thickBot="1">
      <c r="D5" s="6"/>
    </row>
    <row r="6" spans="1:4" s="4" customFormat="1" ht="14.25">
      <c r="A6" s="1226" t="s">
        <v>448</v>
      </c>
      <c r="B6" s="1236" t="s">
        <v>369</v>
      </c>
      <c r="C6" s="1237"/>
      <c r="D6" s="7" t="s">
        <v>382</v>
      </c>
    </row>
    <row r="7" spans="1:4" s="110" customFormat="1" ht="12">
      <c r="A7" s="1227"/>
      <c r="B7" s="1238" t="s">
        <v>442</v>
      </c>
      <c r="C7" s="1238"/>
      <c r="D7" s="109" t="s">
        <v>443</v>
      </c>
    </row>
    <row r="8" spans="1:4" s="4" customFormat="1" ht="14.25">
      <c r="A8" s="116">
        <v>1</v>
      </c>
      <c r="B8" s="111" t="s">
        <v>375</v>
      </c>
      <c r="C8" s="11"/>
      <c r="D8" s="318"/>
    </row>
    <row r="9" spans="1:4" s="13" customFormat="1" ht="15">
      <c r="A9" s="116">
        <v>2</v>
      </c>
      <c r="B9" s="112" t="s">
        <v>457</v>
      </c>
      <c r="C9" s="12"/>
      <c r="D9" s="319"/>
    </row>
    <row r="10" spans="1:4" ht="27.75" customHeight="1">
      <c r="A10" s="116">
        <v>3</v>
      </c>
      <c r="B10" s="92" t="s">
        <v>383</v>
      </c>
      <c r="C10" s="154" t="s">
        <v>945</v>
      </c>
      <c r="D10" s="719">
        <v>252435231</v>
      </c>
    </row>
    <row r="11" spans="1:4" ht="33" customHeight="1">
      <c r="A11" s="116">
        <v>4</v>
      </c>
      <c r="B11" s="92" t="s">
        <v>383</v>
      </c>
      <c r="C11" s="154" t="s">
        <v>946</v>
      </c>
      <c r="D11" s="719">
        <v>196302400</v>
      </c>
    </row>
    <row r="12" spans="1:4" ht="27.75" customHeight="1">
      <c r="A12" s="116">
        <v>5</v>
      </c>
      <c r="B12" s="92" t="s">
        <v>383</v>
      </c>
      <c r="C12" s="154" t="s">
        <v>947</v>
      </c>
      <c r="D12" s="719">
        <v>429750000</v>
      </c>
    </row>
    <row r="13" spans="1:4" ht="27.75" customHeight="1">
      <c r="A13" s="116">
        <v>6</v>
      </c>
      <c r="B13" s="92" t="s">
        <v>383</v>
      </c>
      <c r="C13" s="154" t="s">
        <v>760</v>
      </c>
      <c r="D13" s="719">
        <v>12223750</v>
      </c>
    </row>
    <row r="14" spans="1:4" ht="27.75" customHeight="1">
      <c r="A14" s="116">
        <v>7</v>
      </c>
      <c r="B14" s="92" t="s">
        <v>383</v>
      </c>
      <c r="C14" s="154" t="s">
        <v>939</v>
      </c>
      <c r="D14" s="719">
        <v>4500000</v>
      </c>
    </row>
    <row r="15" spans="1:4" ht="18.75" customHeight="1">
      <c r="A15" s="116">
        <v>8</v>
      </c>
      <c r="B15" s="92" t="s">
        <v>383</v>
      </c>
      <c r="C15" s="154" t="s">
        <v>948</v>
      </c>
      <c r="D15" s="719">
        <v>106361800</v>
      </c>
    </row>
    <row r="16" spans="1:4" ht="18.75" customHeight="1">
      <c r="A16" s="116">
        <v>9</v>
      </c>
      <c r="B16" s="92" t="s">
        <v>383</v>
      </c>
      <c r="C16" s="154" t="s">
        <v>942</v>
      </c>
      <c r="D16" s="719">
        <v>600000</v>
      </c>
    </row>
    <row r="17" spans="1:4" ht="22.5" customHeight="1">
      <c r="A17" s="116">
        <v>10</v>
      </c>
      <c r="B17" s="92" t="s">
        <v>383</v>
      </c>
      <c r="C17" s="154" t="s">
        <v>941</v>
      </c>
      <c r="D17" s="719">
        <v>289870</v>
      </c>
    </row>
    <row r="18" spans="1:4" ht="36" customHeight="1">
      <c r="A18" s="116">
        <v>11</v>
      </c>
      <c r="B18" s="92" t="s">
        <v>383</v>
      </c>
      <c r="C18" s="154" t="s">
        <v>950</v>
      </c>
      <c r="D18" s="719">
        <v>510500</v>
      </c>
    </row>
    <row r="19" spans="1:4" ht="27.75" customHeight="1">
      <c r="A19" s="116">
        <v>12</v>
      </c>
      <c r="B19" s="92" t="s">
        <v>383</v>
      </c>
      <c r="C19" s="154" t="s">
        <v>954</v>
      </c>
      <c r="D19" s="719">
        <v>6223000</v>
      </c>
    </row>
    <row r="20" spans="1:4" ht="20.25" customHeight="1">
      <c r="A20" s="116">
        <v>13</v>
      </c>
      <c r="B20" s="92" t="s">
        <v>383</v>
      </c>
      <c r="C20" s="154" t="s">
        <v>955</v>
      </c>
      <c r="D20" s="719">
        <v>600000</v>
      </c>
    </row>
    <row r="21" spans="1:4" ht="27.75" customHeight="1">
      <c r="A21" s="116">
        <v>14</v>
      </c>
      <c r="B21" s="92" t="s">
        <v>383</v>
      </c>
      <c r="C21" s="154" t="s">
        <v>956</v>
      </c>
      <c r="D21" s="719">
        <v>700000</v>
      </c>
    </row>
    <row r="22" spans="1:4" ht="21" customHeight="1">
      <c r="A22" s="116">
        <v>15</v>
      </c>
      <c r="B22" s="92" t="s">
        <v>383</v>
      </c>
      <c r="C22" s="154" t="s">
        <v>958</v>
      </c>
      <c r="D22" s="719">
        <v>11411381</v>
      </c>
    </row>
    <row r="23" spans="1:4" ht="21" customHeight="1">
      <c r="A23" s="116">
        <v>16</v>
      </c>
      <c r="B23" s="92" t="s">
        <v>383</v>
      </c>
      <c r="C23" s="154" t="s">
        <v>959</v>
      </c>
      <c r="D23" s="719">
        <v>4797591</v>
      </c>
    </row>
    <row r="24" spans="1:4" ht="28.5" customHeight="1">
      <c r="A24" s="116">
        <v>17</v>
      </c>
      <c r="B24" s="92" t="s">
        <v>383</v>
      </c>
      <c r="C24" s="154" t="s">
        <v>949</v>
      </c>
      <c r="D24" s="719">
        <v>6400548</v>
      </c>
    </row>
    <row r="25" spans="1:4" ht="28.5" customHeight="1">
      <c r="A25" s="116">
        <v>18</v>
      </c>
      <c r="B25" s="92" t="s">
        <v>383</v>
      </c>
      <c r="C25" s="154" t="s">
        <v>1059</v>
      </c>
      <c r="D25" s="719">
        <v>1000000</v>
      </c>
    </row>
    <row r="26" spans="1:4" s="37" customFormat="1" ht="15">
      <c r="A26" s="116">
        <v>19</v>
      </c>
      <c r="B26" s="92"/>
      <c r="C26" s="15" t="s">
        <v>399</v>
      </c>
      <c r="D26" s="320">
        <f>SUM(D10:D25)</f>
        <v>1034106071</v>
      </c>
    </row>
    <row r="27" spans="1:4" s="37" customFormat="1" ht="15">
      <c r="A27" s="116">
        <v>20</v>
      </c>
      <c r="B27" s="1231" t="s">
        <v>380</v>
      </c>
      <c r="C27" s="1232"/>
      <c r="D27" s="1233"/>
    </row>
    <row r="28" spans="1:4" ht="18.75" customHeight="1">
      <c r="A28" s="116">
        <v>21</v>
      </c>
      <c r="B28" s="92" t="s">
        <v>383</v>
      </c>
      <c r="C28" s="154" t="s">
        <v>961</v>
      </c>
      <c r="D28" s="719">
        <v>1016000</v>
      </c>
    </row>
    <row r="29" spans="1:4" s="37" customFormat="1" ht="15">
      <c r="A29" s="116">
        <v>22</v>
      </c>
      <c r="B29" s="153"/>
      <c r="C29" s="15" t="s">
        <v>510</v>
      </c>
      <c r="D29" s="320">
        <f>SUM(D28:D28)</f>
        <v>1016000</v>
      </c>
    </row>
    <row r="30" spans="1:4" s="37" customFormat="1" ht="15">
      <c r="A30" s="116">
        <v>23</v>
      </c>
      <c r="B30" s="1231" t="s">
        <v>856</v>
      </c>
      <c r="C30" s="1232"/>
      <c r="D30" s="1233"/>
    </row>
    <row r="31" spans="1:4" ht="18.75" customHeight="1">
      <c r="A31" s="116">
        <v>24</v>
      </c>
      <c r="B31" s="92" t="s">
        <v>383</v>
      </c>
      <c r="C31" s="154" t="s">
        <v>962</v>
      </c>
      <c r="D31" s="719">
        <v>635000</v>
      </c>
    </row>
    <row r="32" spans="1:4" ht="18.75" customHeight="1">
      <c r="A32" s="116">
        <v>25</v>
      </c>
      <c r="B32" s="92" t="s">
        <v>383</v>
      </c>
      <c r="C32" s="154" t="s">
        <v>966</v>
      </c>
      <c r="D32" s="719">
        <v>2497100</v>
      </c>
    </row>
    <row r="33" spans="1:4" s="37" customFormat="1" ht="15">
      <c r="A33" s="116">
        <v>26</v>
      </c>
      <c r="B33" s="153"/>
      <c r="C33" s="15" t="s">
        <v>857</v>
      </c>
      <c r="D33" s="320">
        <f>SUM(D31:D32)</f>
        <v>3132100</v>
      </c>
    </row>
    <row r="34" spans="1:4" s="37" customFormat="1" ht="15">
      <c r="A34" s="116">
        <v>27</v>
      </c>
      <c r="B34" s="1231" t="s">
        <v>785</v>
      </c>
      <c r="C34" s="1232"/>
      <c r="D34" s="1233"/>
    </row>
    <row r="35" spans="1:4" ht="32.25" customHeight="1">
      <c r="A35" s="116">
        <v>28</v>
      </c>
      <c r="B35" s="92" t="s">
        <v>383</v>
      </c>
      <c r="C35" s="154" t="s">
        <v>963</v>
      </c>
      <c r="D35" s="719">
        <v>552450</v>
      </c>
    </row>
    <row r="36" spans="1:4" ht="18.75" customHeight="1">
      <c r="A36" s="116">
        <v>29</v>
      </c>
      <c r="B36" s="92" t="s">
        <v>383</v>
      </c>
      <c r="C36" s="845" t="s">
        <v>964</v>
      </c>
      <c r="D36" s="719">
        <v>152400</v>
      </c>
    </row>
    <row r="37" spans="1:4" ht="30">
      <c r="A37" s="116">
        <v>30</v>
      </c>
      <c r="B37" s="92" t="s">
        <v>383</v>
      </c>
      <c r="C37" s="845" t="s">
        <v>965</v>
      </c>
      <c r="D37" s="719">
        <v>241300</v>
      </c>
    </row>
    <row r="38" spans="1:4" s="37" customFormat="1" ht="15">
      <c r="A38" s="116">
        <v>31</v>
      </c>
      <c r="B38" s="153"/>
      <c r="C38" s="15" t="s">
        <v>1056</v>
      </c>
      <c r="D38" s="320">
        <f>SUM(D35:D37)</f>
        <v>946150</v>
      </c>
    </row>
    <row r="39" spans="1:4" s="4" customFormat="1" ht="15" thickBot="1">
      <c r="A39" s="117">
        <v>32</v>
      </c>
      <c r="B39" s="16" t="s">
        <v>372</v>
      </c>
      <c r="C39" s="16"/>
      <c r="D39" s="321">
        <f>SUM(D38+D33+D29+D26)</f>
        <v>1039200321</v>
      </c>
    </row>
    <row r="40" spans="1:4" ht="15">
      <c r="A40" s="603">
        <v>33</v>
      </c>
      <c r="B40" s="1228" t="s">
        <v>381</v>
      </c>
      <c r="C40" s="1228"/>
      <c r="D40" s="1229"/>
    </row>
    <row r="41" spans="1:4" s="13" customFormat="1" ht="15">
      <c r="A41" s="116">
        <v>34</v>
      </c>
      <c r="B41" s="129" t="s">
        <v>457</v>
      </c>
      <c r="C41" s="14"/>
      <c r="D41" s="8"/>
    </row>
    <row r="42" spans="1:4" ht="18.75" customHeight="1">
      <c r="A42" s="116">
        <v>35</v>
      </c>
      <c r="B42" s="92" t="s">
        <v>383</v>
      </c>
      <c r="C42" s="154" t="s">
        <v>625</v>
      </c>
      <c r="D42" s="719">
        <v>500000</v>
      </c>
    </row>
    <row r="43" spans="1:4" ht="18.75" customHeight="1">
      <c r="A43" s="116">
        <v>36</v>
      </c>
      <c r="B43" s="92" t="s">
        <v>383</v>
      </c>
      <c r="C43" s="154" t="s">
        <v>940</v>
      </c>
      <c r="D43" s="719">
        <v>7850000</v>
      </c>
    </row>
    <row r="44" spans="1:4" s="37" customFormat="1" ht="29.25" customHeight="1">
      <c r="A44" s="116">
        <v>37</v>
      </c>
      <c r="B44" s="92" t="s">
        <v>383</v>
      </c>
      <c r="C44" s="154" t="s">
        <v>944</v>
      </c>
      <c r="D44" s="719">
        <v>47550000</v>
      </c>
    </row>
    <row r="45" spans="1:4" s="37" customFormat="1" ht="29.25" customHeight="1">
      <c r="A45" s="116">
        <v>38</v>
      </c>
      <c r="B45" s="92" t="s">
        <v>383</v>
      </c>
      <c r="C45" s="154" t="s">
        <v>952</v>
      </c>
      <c r="D45" s="719">
        <v>6575332</v>
      </c>
    </row>
    <row r="46" spans="1:4" s="37" customFormat="1" ht="29.25" customHeight="1">
      <c r="A46" s="116">
        <v>39</v>
      </c>
      <c r="B46" s="92" t="s">
        <v>383</v>
      </c>
      <c r="C46" s="154" t="s">
        <v>951</v>
      </c>
      <c r="D46" s="719">
        <v>97606050</v>
      </c>
    </row>
    <row r="47" spans="1:4" s="37" customFormat="1" ht="29.25" customHeight="1">
      <c r="A47" s="116">
        <v>40</v>
      </c>
      <c r="B47" s="92" t="s">
        <v>383</v>
      </c>
      <c r="C47" s="154" t="s">
        <v>960</v>
      </c>
      <c r="D47" s="719">
        <v>522139</v>
      </c>
    </row>
    <row r="48" spans="1:4" ht="25.5" customHeight="1">
      <c r="A48" s="116">
        <v>41</v>
      </c>
      <c r="B48" s="92" t="s">
        <v>383</v>
      </c>
      <c r="C48" s="154" t="s">
        <v>953</v>
      </c>
      <c r="D48" s="719">
        <v>6462419</v>
      </c>
    </row>
    <row r="49" spans="1:4" ht="18.75" customHeight="1">
      <c r="A49" s="116">
        <v>42</v>
      </c>
      <c r="B49" s="92" t="s">
        <v>383</v>
      </c>
      <c r="C49" s="154" t="s">
        <v>957</v>
      </c>
      <c r="D49" s="719">
        <v>19957013</v>
      </c>
    </row>
    <row r="50" spans="1:4" s="13" customFormat="1" ht="15">
      <c r="A50" s="116">
        <v>43</v>
      </c>
      <c r="B50" s="114"/>
      <c r="C50" s="5" t="s">
        <v>399</v>
      </c>
      <c r="D50" s="322">
        <f>SUM(D40:D49)</f>
        <v>187022953</v>
      </c>
    </row>
    <row r="51" spans="1:4" ht="15.75" thickBot="1">
      <c r="A51" s="117">
        <v>44</v>
      </c>
      <c r="B51" s="113" t="s">
        <v>372</v>
      </c>
      <c r="C51" s="16"/>
      <c r="D51" s="323">
        <f>SUM(D50)</f>
        <v>187022953</v>
      </c>
    </row>
    <row r="52" spans="1:4" ht="15">
      <c r="A52" s="116">
        <v>45</v>
      </c>
      <c r="B52" s="1228" t="s">
        <v>113</v>
      </c>
      <c r="C52" s="1228"/>
      <c r="D52" s="1229"/>
    </row>
    <row r="53" spans="1:4" s="13" customFormat="1" ht="15">
      <c r="A53" s="116">
        <v>46</v>
      </c>
      <c r="B53" s="17" t="s">
        <v>457</v>
      </c>
      <c r="C53" s="14"/>
      <c r="D53" s="9"/>
    </row>
    <row r="54" spans="1:4" s="37" customFormat="1" ht="20.25" customHeight="1">
      <c r="A54" s="116">
        <v>47</v>
      </c>
      <c r="B54" s="92" t="s">
        <v>383</v>
      </c>
      <c r="C54" s="154" t="s">
        <v>438</v>
      </c>
      <c r="D54" s="720">
        <v>449520</v>
      </c>
    </row>
    <row r="55" spans="1:4" ht="18.75" customHeight="1">
      <c r="A55" s="116">
        <v>48</v>
      </c>
      <c r="B55" s="92" t="s">
        <v>383</v>
      </c>
      <c r="C55" s="154" t="s">
        <v>943</v>
      </c>
      <c r="D55" s="719">
        <v>5000000</v>
      </c>
    </row>
    <row r="56" spans="1:4" s="4" customFormat="1" ht="15" thickBot="1">
      <c r="A56" s="117">
        <v>49</v>
      </c>
      <c r="B56" s="18" t="s">
        <v>372</v>
      </c>
      <c r="C56" s="16"/>
      <c r="D56" s="324">
        <f>SUM(D54:D55)</f>
        <v>5449520</v>
      </c>
    </row>
    <row r="57" spans="1:4" ht="15" hidden="1">
      <c r="A57" s="603">
        <v>45</v>
      </c>
      <c r="B57" s="1228" t="s">
        <v>439</v>
      </c>
      <c r="C57" s="1228"/>
      <c r="D57" s="1229"/>
    </row>
    <row r="58" spans="1:4" s="13" customFormat="1" ht="15" hidden="1">
      <c r="A58" s="116">
        <v>46</v>
      </c>
      <c r="B58" s="92"/>
      <c r="C58" s="20"/>
      <c r="D58" s="19"/>
    </row>
    <row r="59" spans="1:4" s="4" customFormat="1" ht="15" hidden="1" thickBot="1">
      <c r="A59" s="116">
        <v>47</v>
      </c>
      <c r="B59" s="18" t="s">
        <v>372</v>
      </c>
      <c r="C59" s="16"/>
      <c r="D59" s="10">
        <f>SUM(D58:D58)</f>
        <v>0</v>
      </c>
    </row>
    <row r="60" spans="1:4" ht="15">
      <c r="A60" s="116">
        <v>50</v>
      </c>
      <c r="B60" s="1228" t="s">
        <v>440</v>
      </c>
      <c r="C60" s="1228"/>
      <c r="D60" s="1229"/>
    </row>
    <row r="61" spans="1:4" ht="15">
      <c r="A61" s="116">
        <v>51</v>
      </c>
      <c r="B61" s="17" t="s">
        <v>457</v>
      </c>
      <c r="C61" s="108"/>
      <c r="D61" s="107"/>
    </row>
    <row r="62" spans="1:4" s="4" customFormat="1" ht="15" thickBot="1">
      <c r="A62" s="117">
        <v>52</v>
      </c>
      <c r="B62" s="18" t="s">
        <v>372</v>
      </c>
      <c r="C62" s="16"/>
      <c r="D62" s="324">
        <v>0</v>
      </c>
    </row>
    <row r="63" spans="1:4" ht="21" customHeight="1" thickBot="1">
      <c r="A63" s="117">
        <v>53</v>
      </c>
      <c r="B63" s="115" t="s">
        <v>373</v>
      </c>
      <c r="C63" s="18"/>
      <c r="D63" s="324">
        <f>SUM(D62+D56+D51+D39)</f>
        <v>1231672794</v>
      </c>
    </row>
    <row r="65" ht="21" customHeight="1"/>
    <row r="67" spans="2:4" ht="15">
      <c r="B67" s="1230"/>
      <c r="C67" s="1230"/>
      <c r="D67" s="1230"/>
    </row>
    <row r="69" ht="15">
      <c r="H69" s="91"/>
    </row>
  </sheetData>
  <sheetProtection/>
  <mergeCells count="13">
    <mergeCell ref="B7:C7"/>
    <mergeCell ref="B27:D27"/>
    <mergeCell ref="B30:D30"/>
    <mergeCell ref="A6:A7"/>
    <mergeCell ref="B57:D57"/>
    <mergeCell ref="B60:D60"/>
    <mergeCell ref="B67:D67"/>
    <mergeCell ref="B34:D34"/>
    <mergeCell ref="C1:D1"/>
    <mergeCell ref="B52:D52"/>
    <mergeCell ref="B3:D3"/>
    <mergeCell ref="B6:C6"/>
    <mergeCell ref="B40:D4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Tóth Erika</cp:lastModifiedBy>
  <cp:lastPrinted>2019-02-15T10:55:28Z</cp:lastPrinted>
  <dcterms:created xsi:type="dcterms:W3CDTF">2001-11-30T10:27:10Z</dcterms:created>
  <dcterms:modified xsi:type="dcterms:W3CDTF">2019-02-15T11:09:20Z</dcterms:modified>
  <cp:category/>
  <cp:version/>
  <cp:contentType/>
  <cp:contentStatus/>
</cp:coreProperties>
</file>