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hatályos-egységesek\"/>
    </mc:Choice>
  </mc:AlternateContent>
  <bookViews>
    <workbookView xWindow="0" yWindow="0" windowWidth="19200" windowHeight="11595" tabRatio="734" firstSheet="11" activeTab="23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78" r:id="rId13"/>
    <sheet name="6.sz.mell." sheetId="63" r:id="rId14"/>
    <sheet name="7.sz.mell." sheetId="64" r:id="rId15"/>
    <sheet name="8. sz. mell." sheetId="108" r:id="rId16"/>
    <sheet name="9. sz. mell" sheetId="3" r:id="rId17"/>
    <sheet name="9.1. sz. mell" sheetId="79" state="hidden" r:id="rId18"/>
    <sheet name="9.2. sz. mell" sheetId="80" state="hidden" r:id="rId19"/>
    <sheet name="9.3. sz. mell" sheetId="90" state="hidden" r:id="rId20"/>
    <sheet name="9.4. sz. mell" sheetId="81" state="hidden" r:id="rId21"/>
    <sheet name="9.5. sz. mell" sheetId="82" state="hidden" r:id="rId22"/>
    <sheet name="10. sz. mell." sheetId="103" r:id="rId23"/>
    <sheet name="11. sz. mell." sheetId="84" r:id="rId24"/>
    <sheet name="13.sz.mell" sheetId="89" state="hidden" r:id="rId25"/>
    <sheet name="2. sz tájékoztató t" sheetId="66" state="hidden" r:id="rId26"/>
    <sheet name="1a sz tájékoztató t." sheetId="106" state="hidden" r:id="rId27"/>
    <sheet name="1b. sz tájékoztató t." sheetId="105" state="hidden" r:id="rId28"/>
    <sheet name="1.sz tájékoztató t." sheetId="24" state="hidden" r:id="rId29"/>
    <sheet name="2.sz tájékoztató t." sheetId="104" state="hidden" r:id="rId30"/>
    <sheet name="3. sz tájékoztató t." sheetId="88" state="hidden" r:id="rId31"/>
    <sheet name="3.sz tájékoztató t." sheetId="70" state="hidden" r:id="rId32"/>
    <sheet name="4.sz tájékoztató t." sheetId="109" state="hidden" r:id="rId33"/>
    <sheet name="5.sz tájékoztató t." sheetId="2" state="hidden" r:id="rId34"/>
  </sheets>
  <definedNames>
    <definedName name="_xlnm.Print_Titles" localSheetId="23">'11. sz. mell.'!$1:$6</definedName>
    <definedName name="_xlnm.Print_Titles" localSheetId="26">'1a sz tájékoztató t.'!$1:$5</definedName>
    <definedName name="_xlnm.Print_Titles" localSheetId="27">'1b. sz tájékoztató t.'!$1:$5</definedName>
    <definedName name="_xlnm.Print_Titles" localSheetId="17">'9.1. sz. mell'!$1:$6</definedName>
    <definedName name="_xlnm.Print_Titles" localSheetId="18">'9.2. sz. mell'!$1:$6</definedName>
    <definedName name="_xlnm.Print_Titles" localSheetId="19">'9.3. sz. mell'!$1:$6</definedName>
    <definedName name="_xlnm.Print_Titles" localSheetId="20">'9.4. sz. mell'!$1:$6</definedName>
    <definedName name="_xlnm.Print_Titles" localSheetId="21">'9.5. sz. mell'!$1:$6</definedName>
    <definedName name="_xlnm.Print_Area" localSheetId="3">'1.1.sz.mell.'!$A$1:$F$124</definedName>
    <definedName name="_xlnm.Print_Area" localSheetId="4">'1.2.sz.mell. _köt'!$A$1:$F$128</definedName>
    <definedName name="_xlnm.Print_Area" localSheetId="5">'1.3.sz.mell._önk'!$A$1:$F$127</definedName>
    <definedName name="_xlnm.Print_Area" localSheetId="6">'1.4.sz.mell._állig'!$A$1:$F$127</definedName>
    <definedName name="_xlnm.Print_Area" localSheetId="28">'1.sz tájékoztató t.'!$A$1:$O$28</definedName>
    <definedName name="_xlnm.Print_Area" localSheetId="22">'10. sz. mell.'!$A$1:$G$49</definedName>
    <definedName name="_xlnm.Print_Area" localSheetId="26">'1a sz tájékoztató t.'!$A$1:$Q$109</definedName>
    <definedName name="_xlnm.Print_Area" localSheetId="27">'1b. sz tájékoztató t.'!$A$1:$Q$150</definedName>
    <definedName name="_xlnm.Print_Area" localSheetId="8">'2.2.sz.mell  '!$A$1:$L$36</definedName>
    <definedName name="_xlnm.Print_Area" localSheetId="29">'2.sz tájékoztató t.'!$A$1:$F$68</definedName>
    <definedName name="_xlnm.Print_Area" localSheetId="30">'3. sz tájékoztató t.'!$A$1:$D$37</definedName>
    <definedName name="_xlnm.Print_Area" localSheetId="12">'5.sz.mell.'!$A$1:$I$32</definedName>
    <definedName name="_xlnm.Print_Area" localSheetId="14">'7.sz.mell.'!$A$1:$H$39</definedName>
    <definedName name="_xlnm.Print_Area" localSheetId="15">'8. sz. mell.'!$A$1:$E$27</definedName>
    <definedName name="_xlnm.Print_Area" localSheetId="16">'9. sz. mell'!$A$1:$G$99</definedName>
  </definedNames>
  <calcPr calcId="152511"/>
</workbook>
</file>

<file path=xl/calcChain.xml><?xml version="1.0" encoding="utf-8"?>
<calcChain xmlns="http://schemas.openxmlformats.org/spreadsheetml/2006/main">
  <c r="H31" i="64" l="1"/>
  <c r="H30" i="64"/>
  <c r="H29" i="64"/>
  <c r="F15" i="73"/>
  <c r="F17" i="61"/>
  <c r="K10" i="61"/>
  <c r="K8" i="61" s="1"/>
  <c r="F85" i="91"/>
  <c r="F85" i="1" s="1"/>
  <c r="G81" i="3"/>
  <c r="G39" i="103"/>
  <c r="G22" i="3"/>
  <c r="G67" i="3"/>
  <c r="G90" i="3"/>
  <c r="K11" i="73" s="1"/>
  <c r="H32" i="64" l="1"/>
  <c r="H37" i="64"/>
  <c r="H39" i="64" s="1"/>
  <c r="F20" i="73"/>
  <c r="F19" i="73" s="1"/>
  <c r="F27" i="73" s="1"/>
  <c r="F20" i="61"/>
  <c r="F19" i="61" s="1"/>
  <c r="F31" i="61" s="1"/>
  <c r="F111" i="91"/>
  <c r="F111" i="1"/>
  <c r="G78" i="3"/>
  <c r="F24" i="73"/>
  <c r="H25" i="63"/>
  <c r="H24" i="63"/>
  <c r="F54" i="91"/>
  <c r="G16" i="70"/>
  <c r="G7" i="70"/>
  <c r="G17" i="70" s="1"/>
  <c r="F16" i="70"/>
  <c r="H26" i="63" l="1"/>
  <c r="G73" i="3"/>
  <c r="G91" i="3"/>
  <c r="K16" i="61" s="1"/>
  <c r="G66" i="3"/>
  <c r="G65" i="3"/>
  <c r="G25" i="3"/>
  <c r="G38" i="84" l="1"/>
  <c r="G36" i="84"/>
  <c r="G37" i="84"/>
  <c r="G35" i="84" s="1"/>
  <c r="G48" i="84" s="1"/>
  <c r="G25" i="84"/>
  <c r="G41" i="84"/>
  <c r="G27" i="84"/>
  <c r="G22" i="84"/>
  <c r="G17" i="84"/>
  <c r="G8" i="84"/>
  <c r="G38" i="103"/>
  <c r="G36" i="103" s="1"/>
  <c r="G49" i="103" s="1"/>
  <c r="G37" i="103"/>
  <c r="G40" i="103"/>
  <c r="G25" i="103"/>
  <c r="G42" i="103"/>
  <c r="G27" i="103"/>
  <c r="G22" i="103"/>
  <c r="G17" i="103"/>
  <c r="G8" i="103"/>
  <c r="G10" i="3"/>
  <c r="G9" i="3" s="1"/>
  <c r="G95" i="3"/>
  <c r="G93" i="3"/>
  <c r="G89" i="3"/>
  <c r="G69" i="3"/>
  <c r="G64" i="3" s="1"/>
  <c r="G55" i="3"/>
  <c r="G49" i="3"/>
  <c r="G46" i="3"/>
  <c r="G40" i="3"/>
  <c r="G34" i="3"/>
  <c r="G33" i="3"/>
  <c r="G24" i="3"/>
  <c r="G14" i="3"/>
  <c r="G94" i="3" l="1"/>
  <c r="G99" i="3" s="1"/>
  <c r="G54" i="3"/>
  <c r="G59" i="3" s="1"/>
  <c r="G26" i="84"/>
  <c r="G31" i="84" s="1"/>
  <c r="G26" i="103"/>
  <c r="G32" i="103" s="1"/>
  <c r="G8" i="3"/>
  <c r="E10" i="108" l="1"/>
  <c r="H33" i="64"/>
  <c r="H34" i="64" l="1"/>
  <c r="F7" i="70" l="1"/>
  <c r="F17" i="70" s="1"/>
  <c r="E25" i="108"/>
  <c r="I28" i="78"/>
  <c r="I30" i="78" s="1"/>
  <c r="I13" i="78"/>
  <c r="K31" i="61"/>
  <c r="K27" i="73"/>
  <c r="F111" i="93"/>
  <c r="F103" i="93"/>
  <c r="F97" i="93"/>
  <c r="F86" i="93"/>
  <c r="F73" i="93"/>
  <c r="F59" i="93"/>
  <c r="F53" i="93"/>
  <c r="F46" i="93"/>
  <c r="F43" i="93"/>
  <c r="F37" i="93"/>
  <c r="F31" i="93"/>
  <c r="F30" i="93" s="1"/>
  <c r="F21" i="93"/>
  <c r="F11" i="93"/>
  <c r="F6" i="93"/>
  <c r="F5" i="93" s="1"/>
  <c r="F111" i="92"/>
  <c r="F103" i="92"/>
  <c r="F97" i="92"/>
  <c r="F86" i="92"/>
  <c r="F73" i="92"/>
  <c r="F101" i="92" s="1"/>
  <c r="F59" i="92"/>
  <c r="F53" i="92"/>
  <c r="F52" i="92" s="1"/>
  <c r="F46" i="92"/>
  <c r="F43" i="92"/>
  <c r="F37" i="92"/>
  <c r="F31" i="92"/>
  <c r="F30" i="92" s="1"/>
  <c r="F21" i="92"/>
  <c r="F11" i="92"/>
  <c r="F6" i="92"/>
  <c r="F112" i="91"/>
  <c r="F104" i="91"/>
  <c r="F100" i="91"/>
  <c r="F99" i="91"/>
  <c r="F96" i="91"/>
  <c r="F96" i="1" s="1"/>
  <c r="F95" i="91"/>
  <c r="F94" i="91"/>
  <c r="F94" i="1" s="1"/>
  <c r="F93" i="91"/>
  <c r="F93" i="1" s="1"/>
  <c r="F92" i="91"/>
  <c r="F92" i="1" s="1"/>
  <c r="F91" i="91"/>
  <c r="F91" i="1" s="1"/>
  <c r="F90" i="91"/>
  <c r="F90" i="1" s="1"/>
  <c r="F89" i="91"/>
  <c r="F89" i="1" s="1"/>
  <c r="K7" i="61" s="1"/>
  <c r="F88" i="91"/>
  <c r="F86" i="91"/>
  <c r="F86" i="1" s="1"/>
  <c r="F84" i="91"/>
  <c r="F84" i="1" s="1"/>
  <c r="F83" i="91"/>
  <c r="F83" i="1" s="1"/>
  <c r="F82" i="91"/>
  <c r="F82" i="1" s="1"/>
  <c r="F81" i="91"/>
  <c r="F81" i="1" s="1"/>
  <c r="F80" i="91"/>
  <c r="F80" i="1" s="1"/>
  <c r="F79" i="91"/>
  <c r="F77" i="91"/>
  <c r="F77" i="1" s="1"/>
  <c r="K9" i="73" s="1"/>
  <c r="F76" i="91"/>
  <c r="F76" i="1" s="1"/>
  <c r="K8" i="73" s="1"/>
  <c r="F75" i="91"/>
  <c r="F75" i="1" s="1"/>
  <c r="K7" i="73" s="1"/>
  <c r="F74" i="91"/>
  <c r="F74" i="1" s="1"/>
  <c r="K6" i="73" s="1"/>
  <c r="F59" i="91"/>
  <c r="F53" i="91"/>
  <c r="F46" i="91"/>
  <c r="F44" i="91"/>
  <c r="F41" i="91"/>
  <c r="F37" i="91" s="1"/>
  <c r="F36" i="91"/>
  <c r="F36" i="1" s="1"/>
  <c r="F35" i="91"/>
  <c r="F35" i="1" s="1"/>
  <c r="F34" i="91"/>
  <c r="F34" i="1" s="1"/>
  <c r="F33" i="91"/>
  <c r="F33" i="1" s="1"/>
  <c r="F32" i="91"/>
  <c r="F22" i="91"/>
  <c r="F20" i="91"/>
  <c r="F20" i="1" s="1"/>
  <c r="F8" i="73" s="1"/>
  <c r="F19" i="91"/>
  <c r="F19" i="1" s="1"/>
  <c r="F18" i="91"/>
  <c r="F17" i="91"/>
  <c r="F17" i="1" s="1"/>
  <c r="F16" i="91"/>
  <c r="F16" i="1" s="1"/>
  <c r="F15" i="91"/>
  <c r="F15" i="1" s="1"/>
  <c r="F14" i="91"/>
  <c r="F13" i="91"/>
  <c r="F13" i="1" s="1"/>
  <c r="F12" i="91"/>
  <c r="F12" i="1" s="1"/>
  <c r="F10" i="91"/>
  <c r="F10" i="1" s="1"/>
  <c r="F9" i="91"/>
  <c r="F9" i="1" s="1"/>
  <c r="F8" i="91"/>
  <c r="F8" i="1" s="1"/>
  <c r="F7" i="91"/>
  <c r="F120" i="1"/>
  <c r="F119" i="1"/>
  <c r="F118" i="1"/>
  <c r="F117" i="1"/>
  <c r="F116" i="1"/>
  <c r="F115" i="1"/>
  <c r="F114" i="1"/>
  <c r="F113" i="1"/>
  <c r="F110" i="1"/>
  <c r="F109" i="1"/>
  <c r="F108" i="1"/>
  <c r="F107" i="1"/>
  <c r="F106" i="1"/>
  <c r="F105" i="1"/>
  <c r="F100" i="1"/>
  <c r="F97" i="1"/>
  <c r="F95" i="1"/>
  <c r="F66" i="1"/>
  <c r="F64" i="1"/>
  <c r="F63" i="1"/>
  <c r="F62" i="1"/>
  <c r="F61" i="1"/>
  <c r="F60" i="1"/>
  <c r="F58" i="1"/>
  <c r="F57" i="1"/>
  <c r="F56" i="1"/>
  <c r="F55" i="1"/>
  <c r="F54" i="1"/>
  <c r="F50" i="1"/>
  <c r="F49" i="1"/>
  <c r="F48" i="1"/>
  <c r="F7" i="61" s="1"/>
  <c r="F47" i="1"/>
  <c r="F45" i="1"/>
  <c r="F42" i="1"/>
  <c r="F40" i="1"/>
  <c r="F39" i="1"/>
  <c r="F38" i="1"/>
  <c r="F29" i="1"/>
  <c r="F28" i="1"/>
  <c r="F27" i="1"/>
  <c r="F26" i="1"/>
  <c r="F25" i="1"/>
  <c r="F24" i="1"/>
  <c r="F23" i="1"/>
  <c r="F18" i="1"/>
  <c r="F14" i="1"/>
  <c r="F102" i="92" l="1"/>
  <c r="F102" i="93"/>
  <c r="F6" i="91"/>
  <c r="F41" i="1"/>
  <c r="F37" i="1" s="1"/>
  <c r="F13" i="61" s="1"/>
  <c r="F18" i="61" s="1"/>
  <c r="F44" i="1"/>
  <c r="F43" i="1" s="1"/>
  <c r="F12" i="73"/>
  <c r="I32" i="78"/>
  <c r="F87" i="91"/>
  <c r="F21" i="91"/>
  <c r="F22" i="1"/>
  <c r="F120" i="92"/>
  <c r="F122" i="92" s="1"/>
  <c r="F31" i="91"/>
  <c r="F30" i="91" s="1"/>
  <c r="F52" i="91"/>
  <c r="F78" i="91"/>
  <c r="F78" i="1" s="1"/>
  <c r="F98" i="91"/>
  <c r="F103" i="91"/>
  <c r="F51" i="92"/>
  <c r="F51" i="93"/>
  <c r="F126" i="93" s="1"/>
  <c r="F52" i="93"/>
  <c r="F101" i="93"/>
  <c r="F133" i="1"/>
  <c r="F65" i="93"/>
  <c r="F67" i="93" s="1"/>
  <c r="F120" i="93"/>
  <c r="F122" i="93" s="1"/>
  <c r="F53" i="1"/>
  <c r="F65" i="92"/>
  <c r="F67" i="92" s="1"/>
  <c r="F126" i="92"/>
  <c r="F11" i="1"/>
  <c r="F7" i="73" s="1"/>
  <c r="F112" i="1"/>
  <c r="F21" i="1"/>
  <c r="F9" i="73" s="1"/>
  <c r="F5" i="92"/>
  <c r="F104" i="1"/>
  <c r="F103" i="1" s="1"/>
  <c r="F32" i="1"/>
  <c r="F31" i="1" s="1"/>
  <c r="F99" i="1"/>
  <c r="F98" i="1" s="1"/>
  <c r="F43" i="91"/>
  <c r="F59" i="1"/>
  <c r="F52" i="1" s="1"/>
  <c r="F138" i="1" s="1"/>
  <c r="F11" i="91"/>
  <c r="F5" i="91" s="1"/>
  <c r="F7" i="1"/>
  <c r="F6" i="1" s="1"/>
  <c r="F6" i="73" s="1"/>
  <c r="F46" i="1"/>
  <c r="F79" i="1"/>
  <c r="F88" i="1"/>
  <c r="H36" i="2"/>
  <c r="H21" i="2"/>
  <c r="H18" i="2"/>
  <c r="H25" i="2"/>
  <c r="F73" i="91" l="1"/>
  <c r="F102" i="91" s="1"/>
  <c r="F121" i="91" s="1"/>
  <c r="F123" i="91" s="1"/>
  <c r="F30" i="1"/>
  <c r="F51" i="1" s="1"/>
  <c r="F65" i="1" s="1"/>
  <c r="F67" i="1" s="1"/>
  <c r="F10" i="73"/>
  <c r="F18" i="73" s="1"/>
  <c r="F35" i="61"/>
  <c r="F32" i="61"/>
  <c r="F34" i="61" s="1"/>
  <c r="F51" i="91"/>
  <c r="F65" i="91" s="1"/>
  <c r="F67" i="91" s="1"/>
  <c r="F87" i="1"/>
  <c r="K6" i="61"/>
  <c r="K18" i="61" s="1"/>
  <c r="F73" i="1"/>
  <c r="K10" i="73"/>
  <c r="K18" i="73" s="1"/>
  <c r="F137" i="1"/>
  <c r="F5" i="1"/>
  <c r="D12" i="70"/>
  <c r="D16" i="70" s="1"/>
  <c r="E35" i="84"/>
  <c r="E48" i="84" s="1"/>
  <c r="E26" i="84"/>
  <c r="E27" i="84"/>
  <c r="E31" i="84" s="1"/>
  <c r="E36" i="103"/>
  <c r="E49" i="103" s="1"/>
  <c r="E26" i="103"/>
  <c r="E32" i="103" s="1"/>
  <c r="E95" i="3"/>
  <c r="E89" i="3"/>
  <c r="E78" i="3"/>
  <c r="E64" i="3"/>
  <c r="E94" i="3" s="1"/>
  <c r="E24" i="3"/>
  <c r="E34" i="3"/>
  <c r="E33" i="3" s="1"/>
  <c r="E9" i="3"/>
  <c r="E8" i="3"/>
  <c r="C30" i="78"/>
  <c r="C7" i="1"/>
  <c r="C9" i="1"/>
  <c r="C10" i="1"/>
  <c r="C13" i="1"/>
  <c r="C14" i="1"/>
  <c r="C15" i="1"/>
  <c r="C17" i="1"/>
  <c r="C18" i="1"/>
  <c r="C19" i="1"/>
  <c r="E54" i="3" l="1"/>
  <c r="E59" i="3" s="1"/>
  <c r="F102" i="1"/>
  <c r="F121" i="1" s="1"/>
  <c r="F123" i="1" s="1"/>
  <c r="F31" i="73"/>
  <c r="F28" i="73"/>
  <c r="F30" i="73" s="1"/>
  <c r="F39" i="61" s="1"/>
  <c r="F32" i="73"/>
  <c r="F127" i="91"/>
  <c r="K31" i="73"/>
  <c r="K28" i="73"/>
  <c r="K32" i="61"/>
  <c r="K35" i="61"/>
  <c r="E99" i="3"/>
  <c r="L18" i="24"/>
  <c r="I18" i="24"/>
  <c r="D18" i="24"/>
  <c r="I9" i="24"/>
  <c r="G18" i="24"/>
  <c r="M18" i="24"/>
  <c r="N18" i="24"/>
  <c r="N6" i="24"/>
  <c r="N5" i="24"/>
  <c r="M5" i="24"/>
  <c r="L5" i="24"/>
  <c r="K5" i="24"/>
  <c r="J5" i="24"/>
  <c r="I5" i="24"/>
  <c r="H5" i="24"/>
  <c r="G5" i="24"/>
  <c r="F5" i="24"/>
  <c r="E5" i="24"/>
  <c r="D5" i="24"/>
  <c r="C5" i="24"/>
  <c r="K6" i="24"/>
  <c r="H6" i="24"/>
  <c r="E6" i="24"/>
  <c r="F6" i="24"/>
  <c r="L6" i="24"/>
  <c r="M7" i="24"/>
  <c r="L7" i="24"/>
  <c r="F9" i="24"/>
  <c r="C9" i="24"/>
  <c r="D8" i="24"/>
  <c r="E8" i="24"/>
  <c r="F8" i="24"/>
  <c r="G8" i="24"/>
  <c r="H8" i="24"/>
  <c r="I8" i="24"/>
  <c r="J8" i="24"/>
  <c r="K8" i="24"/>
  <c r="L8" i="24"/>
  <c r="M8" i="24"/>
  <c r="N8" i="24"/>
  <c r="C8" i="24"/>
  <c r="C20" i="24"/>
  <c r="N19" i="24"/>
  <c r="I19" i="24"/>
  <c r="M19" i="24"/>
  <c r="E19" i="24"/>
  <c r="D17" i="24"/>
  <c r="E17" i="24"/>
  <c r="F17" i="24"/>
  <c r="G17" i="24"/>
  <c r="H17" i="24"/>
  <c r="I17" i="24"/>
  <c r="J17" i="24"/>
  <c r="K17" i="24"/>
  <c r="L17" i="24"/>
  <c r="M17" i="24"/>
  <c r="N17" i="24"/>
  <c r="C17" i="24"/>
  <c r="D16" i="24"/>
  <c r="E16" i="24"/>
  <c r="F16" i="24"/>
  <c r="G16" i="24"/>
  <c r="H16" i="24"/>
  <c r="I16" i="24"/>
  <c r="J16" i="24"/>
  <c r="K16" i="24"/>
  <c r="L16" i="24"/>
  <c r="M16" i="24"/>
  <c r="N16" i="24"/>
  <c r="C16" i="24"/>
  <c r="D22" i="109"/>
  <c r="D18" i="109"/>
  <c r="F93" i="3"/>
  <c r="F127" i="1" l="1"/>
  <c r="K32" i="73"/>
  <c r="K30" i="73"/>
  <c r="K34" i="61"/>
  <c r="F36" i="61" s="1"/>
  <c r="K36" i="61"/>
  <c r="O19" i="24"/>
  <c r="C79" i="91"/>
  <c r="D79" i="91"/>
  <c r="C80" i="91"/>
  <c r="D80" i="91"/>
  <c r="D81" i="91"/>
  <c r="C84" i="91"/>
  <c r="C86" i="91"/>
  <c r="E90" i="91"/>
  <c r="E91" i="91"/>
  <c r="E92" i="91"/>
  <c r="E93" i="91"/>
  <c r="E94" i="91"/>
  <c r="E95" i="91"/>
  <c r="E96" i="91"/>
  <c r="E86" i="91"/>
  <c r="E100" i="91"/>
  <c r="E99" i="91"/>
  <c r="E80" i="91"/>
  <c r="E81" i="91"/>
  <c r="E82" i="91"/>
  <c r="E83" i="91"/>
  <c r="E84" i="91"/>
  <c r="E79" i="91"/>
  <c r="E89" i="91"/>
  <c r="E88" i="91"/>
  <c r="E44" i="91"/>
  <c r="E36" i="91"/>
  <c r="E33" i="91"/>
  <c r="E34" i="91"/>
  <c r="E35" i="91"/>
  <c r="E32" i="91"/>
  <c r="E20" i="91"/>
  <c r="E41" i="91"/>
  <c r="E12" i="91"/>
  <c r="E10" i="91"/>
  <c r="E8" i="91"/>
  <c r="E9" i="91"/>
  <c r="E7" i="91"/>
  <c r="D9" i="77"/>
  <c r="D6" i="77"/>
  <c r="D5" i="77"/>
  <c r="E28" i="78"/>
  <c r="E30" i="78" s="1"/>
  <c r="F24" i="63"/>
  <c r="E24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B25" i="108"/>
  <c r="K39" i="61" l="1"/>
  <c r="D73" i="91"/>
  <c r="C73" i="91"/>
  <c r="E78" i="91"/>
  <c r="G24" i="63"/>
  <c r="G25" i="63" s="1"/>
  <c r="G26" i="63" s="1"/>
  <c r="F25" i="63"/>
  <c r="F26" i="63" s="1"/>
  <c r="E25" i="63"/>
  <c r="E26" i="63" s="1"/>
  <c r="C9" i="108" l="1"/>
  <c r="D9" i="108"/>
  <c r="E21" i="104"/>
  <c r="E25" i="104" s="1"/>
  <c r="F25" i="3"/>
  <c r="E22" i="91" s="1"/>
  <c r="D17" i="70"/>
  <c r="E16" i="70"/>
  <c r="E17" i="70"/>
  <c r="E7" i="70"/>
  <c r="F37" i="103" l="1"/>
  <c r="E67" i="104"/>
  <c r="E43" i="104" l="1"/>
  <c r="E41" i="104"/>
  <c r="E50" i="104" l="1"/>
  <c r="D28" i="109"/>
  <c r="D15" i="109"/>
  <c r="G5" i="2"/>
  <c r="G16" i="2" s="1"/>
  <c r="G80" i="2"/>
  <c r="G77" i="2"/>
  <c r="G71" i="2"/>
  <c r="G68" i="2"/>
  <c r="G65" i="2"/>
  <c r="G54" i="2"/>
  <c r="G50" i="2"/>
  <c r="G37" i="2"/>
  <c r="G32" i="2"/>
  <c r="G21" i="2"/>
  <c r="G20" i="2"/>
  <c r="G17" i="2" l="1"/>
  <c r="G64" i="2"/>
  <c r="G76" i="2"/>
  <c r="G53" i="2"/>
  <c r="G35" i="2" l="1"/>
  <c r="G63" i="2"/>
  <c r="G83" i="2" s="1"/>
  <c r="P2" i="24"/>
  <c r="E82" i="1"/>
  <c r="E76" i="91"/>
  <c r="E15" i="109"/>
  <c r="C122" i="1"/>
  <c r="D29" i="73"/>
  <c r="D122" i="1"/>
  <c r="I29" i="73" s="1"/>
  <c r="E12" i="73"/>
  <c r="L39" i="61"/>
  <c r="G85" i="2" l="1"/>
  <c r="E28" i="109"/>
  <c r="F25" i="2" l="1"/>
  <c r="H6" i="78" l="1"/>
  <c r="H7" i="78"/>
  <c r="H5" i="78"/>
  <c r="F5" i="2" l="1"/>
  <c r="F20" i="2"/>
  <c r="E31" i="61"/>
  <c r="E19" i="73"/>
  <c r="E24" i="73"/>
  <c r="E75" i="91"/>
  <c r="E77" i="91"/>
  <c r="E74" i="91"/>
  <c r="E15" i="91"/>
  <c r="E16" i="91"/>
  <c r="E17" i="91"/>
  <c r="E18" i="91"/>
  <c r="E19" i="91"/>
  <c r="E13" i="91"/>
  <c r="E14" i="91"/>
  <c r="F40" i="3"/>
  <c r="E27" i="73" l="1"/>
  <c r="F27" i="103" l="1"/>
  <c r="F78" i="3"/>
  <c r="F80" i="2"/>
  <c r="F77" i="2"/>
  <c r="F71" i="2"/>
  <c r="F68" i="2"/>
  <c r="F65" i="2"/>
  <c r="F54" i="2"/>
  <c r="F50" i="2"/>
  <c r="F37" i="2"/>
  <c r="F32" i="2"/>
  <c r="F21" i="2"/>
  <c r="F18" i="2"/>
  <c r="F16" i="2"/>
  <c r="E80" i="2"/>
  <c r="E77" i="2"/>
  <c r="E71" i="2"/>
  <c r="E68" i="2"/>
  <c r="E65" i="2"/>
  <c r="E54" i="2"/>
  <c r="E50" i="2"/>
  <c r="E53" i="2" s="1"/>
  <c r="E32" i="2"/>
  <c r="E29" i="2"/>
  <c r="E25" i="2"/>
  <c r="E21" i="2"/>
  <c r="E18" i="2"/>
  <c r="E6" i="2"/>
  <c r="E5" i="2" s="1"/>
  <c r="E16" i="2" s="1"/>
  <c r="F14" i="3"/>
  <c r="D13" i="78"/>
  <c r="E13" i="78"/>
  <c r="F9" i="3"/>
  <c r="F41" i="84"/>
  <c r="F35" i="84"/>
  <c r="F27" i="84"/>
  <c r="F22" i="84"/>
  <c r="F17" i="84"/>
  <c r="F8" i="84"/>
  <c r="F42" i="103"/>
  <c r="F36" i="103"/>
  <c r="F22" i="103"/>
  <c r="F17" i="103"/>
  <c r="F8" i="103"/>
  <c r="F95" i="3"/>
  <c r="F89" i="3"/>
  <c r="F69" i="3"/>
  <c r="F55" i="3"/>
  <c r="F49" i="3"/>
  <c r="F46" i="3"/>
  <c r="F34" i="3"/>
  <c r="F24" i="3"/>
  <c r="G19" i="78"/>
  <c r="G18" i="78"/>
  <c r="G7" i="78"/>
  <c r="G6" i="78"/>
  <c r="G5" i="78"/>
  <c r="J31" i="61"/>
  <c r="J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E111" i="92"/>
  <c r="E103" i="92"/>
  <c r="E97" i="92"/>
  <c r="E86" i="92"/>
  <c r="E73" i="92"/>
  <c r="E59" i="92"/>
  <c r="E53" i="92"/>
  <c r="E46" i="92"/>
  <c r="E43" i="92"/>
  <c r="E37" i="92"/>
  <c r="E31" i="92"/>
  <c r="E21" i="92"/>
  <c r="E11" i="92"/>
  <c r="E6" i="92"/>
  <c r="E112" i="91"/>
  <c r="E104" i="91"/>
  <c r="E98" i="91"/>
  <c r="E87" i="91"/>
  <c r="E77" i="1"/>
  <c r="C20" i="109" s="1"/>
  <c r="E75" i="1"/>
  <c r="C18" i="109" s="1"/>
  <c r="E59" i="91"/>
  <c r="E53" i="91"/>
  <c r="E46" i="91"/>
  <c r="E43" i="91"/>
  <c r="E37" i="91"/>
  <c r="E31" i="91"/>
  <c r="E21" i="91"/>
  <c r="E11" i="91"/>
  <c r="E6" i="91"/>
  <c r="E120" i="1"/>
  <c r="E119" i="1"/>
  <c r="E118" i="1"/>
  <c r="E117" i="1"/>
  <c r="E116" i="1"/>
  <c r="E115" i="1"/>
  <c r="E114" i="1"/>
  <c r="E113" i="1"/>
  <c r="E111" i="1"/>
  <c r="E110" i="1"/>
  <c r="E109" i="1"/>
  <c r="E108" i="1"/>
  <c r="E107" i="1"/>
  <c r="E106" i="1"/>
  <c r="E105" i="1"/>
  <c r="E100" i="1"/>
  <c r="E99" i="1"/>
  <c r="E97" i="1"/>
  <c r="E96" i="1"/>
  <c r="E95" i="1"/>
  <c r="E94" i="1"/>
  <c r="E93" i="1"/>
  <c r="E92" i="1"/>
  <c r="E91" i="1"/>
  <c r="E90" i="1"/>
  <c r="E89" i="1"/>
  <c r="E88" i="1"/>
  <c r="C22" i="109" s="1"/>
  <c r="E86" i="1"/>
  <c r="E85" i="1"/>
  <c r="E83" i="1"/>
  <c r="E81" i="1"/>
  <c r="E80" i="1"/>
  <c r="E79" i="1"/>
  <c r="E78" i="1"/>
  <c r="C21" i="109" s="1"/>
  <c r="E76" i="1"/>
  <c r="C19" i="109" s="1"/>
  <c r="E74" i="1"/>
  <c r="C17" i="109" s="1"/>
  <c r="E66" i="1"/>
  <c r="E64" i="1"/>
  <c r="E63" i="1"/>
  <c r="E62" i="1"/>
  <c r="E61" i="1"/>
  <c r="E60" i="1"/>
  <c r="E58" i="1"/>
  <c r="E57" i="1"/>
  <c r="E56" i="1"/>
  <c r="E55" i="1"/>
  <c r="E54" i="1"/>
  <c r="E50" i="1"/>
  <c r="E49" i="1"/>
  <c r="E48" i="1"/>
  <c r="E47" i="1"/>
  <c r="E45" i="1"/>
  <c r="E44" i="1"/>
  <c r="E42" i="1"/>
  <c r="E41" i="1"/>
  <c r="E40" i="1"/>
  <c r="E39" i="1"/>
  <c r="E38" i="1"/>
  <c r="E36" i="1"/>
  <c r="E35" i="1"/>
  <c r="E34" i="1"/>
  <c r="E33" i="1"/>
  <c r="E32" i="1"/>
  <c r="E29" i="1"/>
  <c r="E28" i="1"/>
  <c r="E27" i="1"/>
  <c r="E26" i="1"/>
  <c r="E25" i="1"/>
  <c r="E24" i="1"/>
  <c r="E23" i="1"/>
  <c r="E20" i="1"/>
  <c r="C8" i="109" s="1"/>
  <c r="E19" i="1"/>
  <c r="E18" i="1"/>
  <c r="E17" i="1"/>
  <c r="E16" i="1"/>
  <c r="E15" i="1"/>
  <c r="E13" i="1"/>
  <c r="E12" i="1"/>
  <c r="E10" i="1"/>
  <c r="E9" i="1"/>
  <c r="E8" i="1"/>
  <c r="E7" i="1"/>
  <c r="D38" i="1"/>
  <c r="D39" i="1"/>
  <c r="D40" i="1"/>
  <c r="D41" i="1"/>
  <c r="D42" i="1"/>
  <c r="D19" i="73"/>
  <c r="D100" i="1"/>
  <c r="D19" i="1"/>
  <c r="D77" i="1"/>
  <c r="D74" i="1"/>
  <c r="I6" i="73" s="1"/>
  <c r="D7" i="1"/>
  <c r="D120" i="1"/>
  <c r="D119" i="1"/>
  <c r="D118" i="1"/>
  <c r="D117" i="1"/>
  <c r="D116" i="1"/>
  <c r="D115" i="1"/>
  <c r="D114" i="1"/>
  <c r="D113" i="1"/>
  <c r="D111" i="1"/>
  <c r="D110" i="1"/>
  <c r="D109" i="1"/>
  <c r="D108" i="1"/>
  <c r="D107" i="1"/>
  <c r="D106" i="1"/>
  <c r="D105" i="1"/>
  <c r="D99" i="1"/>
  <c r="D97" i="1"/>
  <c r="D96" i="1"/>
  <c r="D95" i="1"/>
  <c r="D94" i="1"/>
  <c r="D93" i="1"/>
  <c r="D92" i="1"/>
  <c r="D91" i="1"/>
  <c r="D90" i="1"/>
  <c r="D86" i="1"/>
  <c r="D85" i="1"/>
  <c r="D83" i="1"/>
  <c r="D82" i="1"/>
  <c r="D81" i="1"/>
  <c r="D80" i="1"/>
  <c r="D79" i="1"/>
  <c r="D64" i="1"/>
  <c r="D63" i="1"/>
  <c r="D62" i="1"/>
  <c r="D61" i="1"/>
  <c r="D60" i="1"/>
  <c r="D58" i="1"/>
  <c r="D57" i="1"/>
  <c r="D56" i="1"/>
  <c r="D55" i="1"/>
  <c r="D54" i="1"/>
  <c r="D19" i="61" s="1"/>
  <c r="D50" i="1"/>
  <c r="D49" i="1"/>
  <c r="D48" i="1"/>
  <c r="D7" i="61" s="1"/>
  <c r="D47" i="1"/>
  <c r="D45" i="1"/>
  <c r="D44" i="1"/>
  <c r="D35" i="1"/>
  <c r="D34" i="1"/>
  <c r="D33" i="1"/>
  <c r="D32" i="1"/>
  <c r="D29" i="1"/>
  <c r="D28" i="1"/>
  <c r="D27" i="1"/>
  <c r="D26" i="1"/>
  <c r="D25" i="1"/>
  <c r="D24" i="1"/>
  <c r="D23" i="1"/>
  <c r="D20" i="1"/>
  <c r="D8" i="73" s="1"/>
  <c r="D18" i="1"/>
  <c r="D17" i="1"/>
  <c r="D16" i="1"/>
  <c r="D15" i="1"/>
  <c r="D13" i="1"/>
  <c r="D12" i="1"/>
  <c r="D10" i="1"/>
  <c r="D9" i="1"/>
  <c r="D8" i="1"/>
  <c r="D89" i="1"/>
  <c r="I7" i="61" s="1"/>
  <c r="D76" i="1"/>
  <c r="I8" i="73" s="1"/>
  <c r="D75" i="1"/>
  <c r="I7" i="73" s="1"/>
  <c r="D36" i="1"/>
  <c r="D111" i="92"/>
  <c r="D103" i="92"/>
  <c r="D97" i="92"/>
  <c r="D86" i="92"/>
  <c r="D73" i="92"/>
  <c r="D59" i="92"/>
  <c r="D53" i="92"/>
  <c r="D46" i="92"/>
  <c r="D43" i="92"/>
  <c r="D37" i="92"/>
  <c r="D31" i="92"/>
  <c r="D21" i="92"/>
  <c r="D11" i="92"/>
  <c r="D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I27" i="73"/>
  <c r="D142" i="1" s="1"/>
  <c r="D24" i="73"/>
  <c r="I31" i="61"/>
  <c r="D143" i="1" s="1"/>
  <c r="D25" i="61"/>
  <c r="G9" i="64"/>
  <c r="G7" i="64"/>
  <c r="G5" i="64"/>
  <c r="C89" i="1"/>
  <c r="H7" i="61" s="1"/>
  <c r="C10" i="88"/>
  <c r="G6" i="24"/>
  <c r="G14" i="24" s="1"/>
  <c r="F14" i="24"/>
  <c r="M6" i="24"/>
  <c r="L14" i="24"/>
  <c r="I6" i="24"/>
  <c r="I14" i="24" s="1"/>
  <c r="D6" i="24"/>
  <c r="D14" i="24" s="1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F19" i="78"/>
  <c r="F18" i="78"/>
  <c r="F7" i="78"/>
  <c r="F6" i="78"/>
  <c r="F5" i="78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C76" i="1"/>
  <c r="C97" i="1"/>
  <c r="C90" i="1"/>
  <c r="C91" i="1"/>
  <c r="C92" i="1"/>
  <c r="C93" i="1"/>
  <c r="C94" i="1"/>
  <c r="C95" i="1"/>
  <c r="C96" i="1"/>
  <c r="C120" i="1"/>
  <c r="C119" i="1"/>
  <c r="C118" i="1"/>
  <c r="C117" i="1"/>
  <c r="C116" i="1"/>
  <c r="C115" i="1"/>
  <c r="C114" i="1"/>
  <c r="H22" i="61" s="1"/>
  <c r="H31" i="61" s="1"/>
  <c r="C143" i="1" s="1"/>
  <c r="C113" i="1"/>
  <c r="C105" i="1"/>
  <c r="C106" i="1"/>
  <c r="C107" i="1"/>
  <c r="H21" i="73" s="1"/>
  <c r="C108" i="1"/>
  <c r="C109" i="1"/>
  <c r="C110" i="1"/>
  <c r="C111" i="1"/>
  <c r="C99" i="1"/>
  <c r="C88" i="1"/>
  <c r="H6" i="61" s="1"/>
  <c r="C86" i="1"/>
  <c r="C80" i="1"/>
  <c r="C81" i="1"/>
  <c r="C82" i="1"/>
  <c r="C83" i="1"/>
  <c r="C85" i="1"/>
  <c r="C79" i="1"/>
  <c r="C77" i="1"/>
  <c r="C78" i="1"/>
  <c r="C75" i="1"/>
  <c r="H7" i="73" s="1"/>
  <c r="C100" i="1"/>
  <c r="C36" i="1"/>
  <c r="C32" i="1"/>
  <c r="C33" i="1"/>
  <c r="C34" i="1"/>
  <c r="C35" i="1"/>
  <c r="C66" i="1"/>
  <c r="C64" i="1"/>
  <c r="C63" i="1"/>
  <c r="C62" i="1"/>
  <c r="C61" i="1"/>
  <c r="C60" i="1"/>
  <c r="C26" i="61" s="1"/>
  <c r="C25" i="61" s="1"/>
  <c r="C55" i="1"/>
  <c r="C56" i="1"/>
  <c r="C57" i="1"/>
  <c r="C58" i="1"/>
  <c r="C54" i="1"/>
  <c r="C50" i="1"/>
  <c r="C48" i="1"/>
  <c r="C7" i="61" s="1"/>
  <c r="C49" i="1"/>
  <c r="C47" i="1"/>
  <c r="C45" i="1"/>
  <c r="C44" i="1"/>
  <c r="C39" i="1"/>
  <c r="C40" i="1"/>
  <c r="C41" i="1"/>
  <c r="C42" i="1"/>
  <c r="C38" i="1"/>
  <c r="C23" i="1"/>
  <c r="C24" i="1"/>
  <c r="C25" i="1"/>
  <c r="C26" i="1"/>
  <c r="C27" i="1"/>
  <c r="C28" i="1"/>
  <c r="C29" i="1"/>
  <c r="C20" i="1"/>
  <c r="C8" i="73" s="1"/>
  <c r="C12" i="1"/>
  <c r="C16" i="1"/>
  <c r="C8" i="1"/>
  <c r="H27" i="73"/>
  <c r="C142" i="1" s="1"/>
  <c r="C19" i="73"/>
  <c r="C24" i="73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C6" i="92"/>
  <c r="C11" i="92"/>
  <c r="C21" i="92"/>
  <c r="C31" i="92"/>
  <c r="C37" i="92"/>
  <c r="C43" i="92"/>
  <c r="C46" i="92"/>
  <c r="C53" i="92"/>
  <c r="C59" i="92"/>
  <c r="C73" i="92"/>
  <c r="C86" i="92"/>
  <c r="C97" i="92"/>
  <c r="C103" i="92"/>
  <c r="C111" i="92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3" i="78"/>
  <c r="C32" i="78" s="1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G6" i="64"/>
  <c r="G8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8" i="64"/>
  <c r="E32" i="64"/>
  <c r="F32" i="64"/>
  <c r="O5" i="24"/>
  <c r="O26" i="24"/>
  <c r="O25" i="24"/>
  <c r="O24" i="24"/>
  <c r="O23" i="24"/>
  <c r="O22" i="24"/>
  <c r="O20" i="24"/>
  <c r="O13" i="24"/>
  <c r="O12" i="24"/>
  <c r="O10" i="24"/>
  <c r="O7" i="24"/>
  <c r="C27" i="24"/>
  <c r="D88" i="1"/>
  <c r="I6" i="61" s="1"/>
  <c r="D5" i="92"/>
  <c r="C52" i="92" l="1"/>
  <c r="D27" i="79"/>
  <c r="D32" i="79" s="1"/>
  <c r="E103" i="91"/>
  <c r="D101" i="92"/>
  <c r="C27" i="73"/>
  <c r="C139" i="1" s="1"/>
  <c r="F33" i="64"/>
  <c r="F34" i="64" s="1"/>
  <c r="D31" i="61"/>
  <c r="J7" i="61"/>
  <c r="C23" i="109"/>
  <c r="E32" i="78"/>
  <c r="E33" i="64"/>
  <c r="E34" i="64" s="1"/>
  <c r="D87" i="1"/>
  <c r="C87" i="1"/>
  <c r="D104" i="1"/>
  <c r="F76" i="2"/>
  <c r="F11" i="62"/>
  <c r="C102" i="93"/>
  <c r="C102" i="92"/>
  <c r="D30" i="93"/>
  <c r="D52" i="93"/>
  <c r="D101" i="93"/>
  <c r="D30" i="92"/>
  <c r="D52" i="92"/>
  <c r="D59" i="1"/>
  <c r="E30" i="91"/>
  <c r="E51" i="91" s="1"/>
  <c r="E52" i="91"/>
  <c r="E30" i="92"/>
  <c r="E51" i="92" s="1"/>
  <c r="E126" i="92" s="1"/>
  <c r="E52" i="92"/>
  <c r="E101" i="92"/>
  <c r="F49" i="103"/>
  <c r="F26" i="84"/>
  <c r="F31" i="84" s="1"/>
  <c r="F48" i="84"/>
  <c r="E17" i="2"/>
  <c r="E35" i="2" s="1"/>
  <c r="E76" i="2"/>
  <c r="F53" i="2"/>
  <c r="C43" i="1"/>
  <c r="C53" i="1"/>
  <c r="C19" i="61"/>
  <c r="C31" i="61" s="1"/>
  <c r="C140" i="1" s="1"/>
  <c r="E8" i="73"/>
  <c r="P7" i="24"/>
  <c r="J6" i="73"/>
  <c r="P16" i="24"/>
  <c r="J8" i="73"/>
  <c r="P18" i="24"/>
  <c r="J10" i="73"/>
  <c r="P20" i="24"/>
  <c r="J6" i="61"/>
  <c r="P21" i="24"/>
  <c r="J7" i="73"/>
  <c r="P17" i="24"/>
  <c r="J9" i="73"/>
  <c r="P19" i="24"/>
  <c r="D31" i="1"/>
  <c r="D10" i="73" s="1"/>
  <c r="F13" i="78"/>
  <c r="O6" i="24"/>
  <c r="O11" i="24"/>
  <c r="C52" i="93"/>
  <c r="C30" i="93"/>
  <c r="C5" i="92"/>
  <c r="D48" i="90"/>
  <c r="D48" i="81"/>
  <c r="D5" i="93"/>
  <c r="D43" i="1"/>
  <c r="D46" i="1"/>
  <c r="D53" i="1"/>
  <c r="D98" i="1"/>
  <c r="D112" i="1"/>
  <c r="E102" i="92"/>
  <c r="E30" i="93"/>
  <c r="E52" i="93"/>
  <c r="E101" i="93"/>
  <c r="F17" i="2"/>
  <c r="E7" i="61"/>
  <c r="C104" i="1"/>
  <c r="C11" i="1"/>
  <c r="C59" i="1"/>
  <c r="C28" i="24"/>
  <c r="C30" i="24" s="1"/>
  <c r="F8" i="77"/>
  <c r="C46" i="1"/>
  <c r="C74" i="1"/>
  <c r="H6" i="73" s="1"/>
  <c r="C22" i="1"/>
  <c r="C21" i="1" s="1"/>
  <c r="C9" i="73" s="1"/>
  <c r="E27" i="24"/>
  <c r="E28" i="24" s="1"/>
  <c r="O16" i="24"/>
  <c r="E5" i="92"/>
  <c r="E21" i="93"/>
  <c r="E22" i="1"/>
  <c r="E21" i="1" s="1"/>
  <c r="C9" i="109" s="1"/>
  <c r="D22" i="1"/>
  <c r="D21" i="1" s="1"/>
  <c r="D9" i="73" s="1"/>
  <c r="H9" i="73"/>
  <c r="M14" i="24"/>
  <c r="M28" i="24" s="1"/>
  <c r="N28" i="24"/>
  <c r="G32" i="64"/>
  <c r="G33" i="64" s="1"/>
  <c r="G34" i="64" s="1"/>
  <c r="D51" i="92"/>
  <c r="D126" i="92" s="1"/>
  <c r="D14" i="1"/>
  <c r="D11" i="1" s="1"/>
  <c r="D7" i="73" s="1"/>
  <c r="D27" i="73"/>
  <c r="E14" i="1"/>
  <c r="E11" i="1" s="1"/>
  <c r="C7" i="109" s="1"/>
  <c r="E120" i="92"/>
  <c r="E122" i="92" s="1"/>
  <c r="I18" i="66"/>
  <c r="D49" i="79"/>
  <c r="D48" i="82"/>
  <c r="C37" i="1"/>
  <c r="C13" i="61" s="1"/>
  <c r="C18" i="61" s="1"/>
  <c r="C98" i="1"/>
  <c r="H11" i="73" s="1"/>
  <c r="J27" i="24"/>
  <c r="J28" i="24" s="1"/>
  <c r="D102" i="93"/>
  <c r="D102" i="92"/>
  <c r="D120" i="92" s="1"/>
  <c r="D122" i="92" s="1"/>
  <c r="E31" i="1"/>
  <c r="E10" i="73" s="1"/>
  <c r="E43" i="1"/>
  <c r="E46" i="1"/>
  <c r="E53" i="1"/>
  <c r="E112" i="1"/>
  <c r="E102" i="93"/>
  <c r="E120" i="93" s="1"/>
  <c r="E122" i="93" s="1"/>
  <c r="G13" i="78"/>
  <c r="F64" i="2"/>
  <c r="C31" i="1"/>
  <c r="C10" i="73" s="1"/>
  <c r="C112" i="1"/>
  <c r="I27" i="24"/>
  <c r="I28" i="24" s="1"/>
  <c r="G27" i="24"/>
  <c r="G28" i="24" s="1"/>
  <c r="L27" i="24"/>
  <c r="L28" i="24" s="1"/>
  <c r="H13" i="78"/>
  <c r="E64" i="2"/>
  <c r="E63" i="2" s="1"/>
  <c r="E83" i="2" s="1"/>
  <c r="H18" i="61"/>
  <c r="H32" i="61" s="1"/>
  <c r="H34" i="61" s="1"/>
  <c r="G16" i="89"/>
  <c r="C101" i="93"/>
  <c r="C120" i="93" s="1"/>
  <c r="C122" i="93" s="1"/>
  <c r="C5" i="93"/>
  <c r="C30" i="92"/>
  <c r="D48" i="80"/>
  <c r="K27" i="24"/>
  <c r="K28" i="24" s="1"/>
  <c r="H27" i="24"/>
  <c r="H28" i="24" s="1"/>
  <c r="F27" i="24"/>
  <c r="F28" i="24" s="1"/>
  <c r="F30" i="78"/>
  <c r="F32" i="78" s="1"/>
  <c r="E5" i="93"/>
  <c r="H30" i="78"/>
  <c r="F26" i="103"/>
  <c r="F32" i="103" s="1"/>
  <c r="C51" i="93"/>
  <c r="D126" i="93"/>
  <c r="C101" i="92"/>
  <c r="C120" i="92" s="1"/>
  <c r="C122" i="92" s="1"/>
  <c r="C51" i="92"/>
  <c r="C65" i="92" s="1"/>
  <c r="C67" i="92" s="1"/>
  <c r="D37" i="1"/>
  <c r="F33" i="3"/>
  <c r="F54" i="3" s="1"/>
  <c r="F59" i="3" s="1"/>
  <c r="F64" i="3"/>
  <c r="F94" i="3" s="1"/>
  <c r="F99" i="3" s="1"/>
  <c r="F8" i="3"/>
  <c r="G30" i="78"/>
  <c r="D6" i="1"/>
  <c r="H10" i="73"/>
  <c r="I18" i="61"/>
  <c r="I32" i="61" s="1"/>
  <c r="I34" i="61" s="1"/>
  <c r="E104" i="1"/>
  <c r="E73" i="91"/>
  <c r="E102" i="91" s="1"/>
  <c r="E121" i="91" s="1"/>
  <c r="E123" i="91" s="1"/>
  <c r="E37" i="1"/>
  <c r="E87" i="1"/>
  <c r="E98" i="1"/>
  <c r="E6" i="1"/>
  <c r="C6" i="109" s="1"/>
  <c r="E5" i="91"/>
  <c r="E59" i="1"/>
  <c r="E52" i="1" s="1"/>
  <c r="E138" i="1" s="1"/>
  <c r="E73" i="1"/>
  <c r="O18" i="24"/>
  <c r="H8" i="73"/>
  <c r="C18" i="88"/>
  <c r="C36" i="88" s="1"/>
  <c r="D19" i="88"/>
  <c r="D18" i="88" s="1"/>
  <c r="D36" i="88" s="1"/>
  <c r="D78" i="1"/>
  <c r="I10" i="73" s="1"/>
  <c r="C126" i="93"/>
  <c r="C6" i="1"/>
  <c r="D65" i="93"/>
  <c r="D67" i="93" s="1"/>
  <c r="I9" i="73"/>
  <c r="E85" i="2" l="1"/>
  <c r="D120" i="93"/>
  <c r="D122" i="93" s="1"/>
  <c r="E51" i="93"/>
  <c r="D30" i="1"/>
  <c r="D51" i="1" s="1"/>
  <c r="D103" i="1"/>
  <c r="D141" i="1" s="1"/>
  <c r="C52" i="1"/>
  <c r="C138" i="1" s="1"/>
  <c r="J18" i="61"/>
  <c r="J32" i="61" s="1"/>
  <c r="J34" i="61" s="1"/>
  <c r="P11" i="24"/>
  <c r="C12" i="109"/>
  <c r="F35" i="2"/>
  <c r="P24" i="24"/>
  <c r="C25" i="109"/>
  <c r="C28" i="109" s="1"/>
  <c r="J11" i="73"/>
  <c r="J18" i="73" s="1"/>
  <c r="J28" i="73" s="1"/>
  <c r="J30" i="73" s="1"/>
  <c r="P10" i="24"/>
  <c r="C11" i="109"/>
  <c r="F63" i="2"/>
  <c r="F83" i="2" s="1"/>
  <c r="O14" i="24"/>
  <c r="C103" i="1"/>
  <c r="C141" i="1" s="1"/>
  <c r="C73" i="1"/>
  <c r="C102" i="1" s="1"/>
  <c r="B13" i="76" s="1"/>
  <c r="C36" i="61"/>
  <c r="C132" i="1" s="1"/>
  <c r="C30" i="1"/>
  <c r="C51" i="1" s="1"/>
  <c r="D13" i="61"/>
  <c r="D18" i="61" s="1"/>
  <c r="D36" i="61" s="1"/>
  <c r="D132" i="1" s="1"/>
  <c r="E103" i="1"/>
  <c r="E137" i="1" s="1"/>
  <c r="D52" i="1"/>
  <c r="D138" i="1" s="1"/>
  <c r="D65" i="92"/>
  <c r="D67" i="92" s="1"/>
  <c r="H32" i="78"/>
  <c r="E7" i="73"/>
  <c r="P6" i="24"/>
  <c r="E6" i="73"/>
  <c r="P5" i="24"/>
  <c r="E9" i="73"/>
  <c r="P8" i="24"/>
  <c r="P27" i="24"/>
  <c r="F85" i="2"/>
  <c r="D73" i="1"/>
  <c r="D102" i="1" s="1"/>
  <c r="O17" i="24"/>
  <c r="E65" i="92"/>
  <c r="E67" i="92" s="1"/>
  <c r="G32" i="78"/>
  <c r="C65" i="93"/>
  <c r="C67" i="93" s="1"/>
  <c r="E30" i="1"/>
  <c r="E13" i="61"/>
  <c r="E18" i="61" s="1"/>
  <c r="C7" i="73"/>
  <c r="E65" i="93"/>
  <c r="E67" i="93" s="1"/>
  <c r="E126" i="93"/>
  <c r="C126" i="92"/>
  <c r="D6" i="73"/>
  <c r="D18" i="73" s="1"/>
  <c r="F11" i="77"/>
  <c r="D5" i="1"/>
  <c r="H36" i="61"/>
  <c r="E102" i="1"/>
  <c r="C32" i="61"/>
  <c r="C34" i="61" s="1"/>
  <c r="E5" i="1"/>
  <c r="C127" i="91"/>
  <c r="H35" i="61"/>
  <c r="C35" i="61"/>
  <c r="I18" i="73"/>
  <c r="I28" i="73" s="1"/>
  <c r="I30" i="73" s="1"/>
  <c r="I39" i="61" s="1"/>
  <c r="H18" i="73"/>
  <c r="H28" i="73" s="1"/>
  <c r="E65" i="91"/>
  <c r="E67" i="91" s="1"/>
  <c r="E127" i="91"/>
  <c r="C6" i="73"/>
  <c r="C5" i="1"/>
  <c r="D27" i="24"/>
  <c r="E121" i="1" l="1"/>
  <c r="E123" i="1" s="1"/>
  <c r="D137" i="1"/>
  <c r="D121" i="1"/>
  <c r="D123" i="1" s="1"/>
  <c r="C137" i="1"/>
  <c r="J36" i="61"/>
  <c r="D32" i="61"/>
  <c r="D34" i="61" s="1"/>
  <c r="I35" i="61"/>
  <c r="I36" i="61"/>
  <c r="C121" i="1"/>
  <c r="B14" i="76" s="1"/>
  <c r="P9" i="24"/>
  <c r="P14" i="24" s="1"/>
  <c r="C10" i="109"/>
  <c r="C15" i="109" s="1"/>
  <c r="E51" i="1"/>
  <c r="E127" i="1" s="1"/>
  <c r="E18" i="73"/>
  <c r="J31" i="73" s="1"/>
  <c r="C18" i="73"/>
  <c r="H31" i="73" s="1"/>
  <c r="I32" i="73"/>
  <c r="D65" i="1"/>
  <c r="D67" i="1" s="1"/>
  <c r="D35" i="61"/>
  <c r="D127" i="1"/>
  <c r="D31" i="73"/>
  <c r="I31" i="73"/>
  <c r="J39" i="61"/>
  <c r="E32" i="61"/>
  <c r="E34" i="61" s="1"/>
  <c r="E36" i="61" s="1"/>
  <c r="E132" i="1" s="1"/>
  <c r="E35" i="61"/>
  <c r="J35" i="61"/>
  <c r="D127" i="91"/>
  <c r="D13" i="76"/>
  <c r="E13" i="76" s="1"/>
  <c r="D32" i="73"/>
  <c r="D131" i="1" s="1"/>
  <c r="D133" i="1" s="1"/>
  <c r="D28" i="73"/>
  <c r="D30" i="73" s="1"/>
  <c r="D28" i="24"/>
  <c r="D30" i="24" s="1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O27" i="24"/>
  <c r="H30" i="73"/>
  <c r="D14" i="76"/>
  <c r="B6" i="76"/>
  <c r="C65" i="1"/>
  <c r="C127" i="1"/>
  <c r="C123" i="1" l="1"/>
  <c r="B15" i="76" s="1"/>
  <c r="D39" i="61"/>
  <c r="H32" i="73"/>
  <c r="C32" i="73"/>
  <c r="C131" i="1" s="1"/>
  <c r="C133" i="1" s="1"/>
  <c r="D6" i="76"/>
  <c r="E6" i="76" s="1"/>
  <c r="C28" i="73"/>
  <c r="D7" i="76" s="1"/>
  <c r="E31" i="73"/>
  <c r="J32" i="73"/>
  <c r="E32" i="73"/>
  <c r="E131" i="1" s="1"/>
  <c r="E133" i="1" s="1"/>
  <c r="E65" i="1"/>
  <c r="E67" i="1" s="1"/>
  <c r="E41" i="61" s="1"/>
  <c r="E28" i="73"/>
  <c r="E30" i="73" s="1"/>
  <c r="E39" i="61" s="1"/>
  <c r="D15" i="76"/>
  <c r="H39" i="61"/>
  <c r="H40" i="61" s="1"/>
  <c r="C67" i="1"/>
  <c r="B8" i="76" s="1"/>
  <c r="B7" i="76"/>
  <c r="O28" i="24"/>
  <c r="E14" i="76"/>
  <c r="C30" i="73" l="1"/>
  <c r="C39" i="61" s="1"/>
  <c r="C40" i="61" s="1"/>
  <c r="E15" i="76"/>
  <c r="E7" i="76"/>
  <c r="D8" i="76" l="1"/>
  <c r="E8" i="76" s="1"/>
</calcChain>
</file>

<file path=xl/sharedStrings.xml><?xml version="1.0" encoding="utf-8"?>
<sst xmlns="http://schemas.openxmlformats.org/spreadsheetml/2006/main" count="3448" uniqueCount="1218">
  <si>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</si>
  <si>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</si>
  <si>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</si>
  <si>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</si>
  <si>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</si>
  <si>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</si>
  <si>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</si>
  <si>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</si>
  <si>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</si>
  <si>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</si>
  <si>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</si>
  <si>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</si>
  <si>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</si>
  <si>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</si>
  <si>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</si>
  <si>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</si>
  <si>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</si>
  <si>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</si>
  <si>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</si>
  <si>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</si>
  <si>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</si>
  <si>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</si>
  <si>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</si>
  <si>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</si>
  <si>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</si>
  <si>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</si>
  <si>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</si>
  <si>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</si>
  <si>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</si>
  <si>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</si>
  <si>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</si>
  <si>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</si>
  <si>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</si>
  <si>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</si>
  <si>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</si>
  <si>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</si>
  <si>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</si>
  <si>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</si>
  <si>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</si>
  <si>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</si>
  <si>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</si>
  <si>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</si>
  <si>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</si>
  <si>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</si>
  <si>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</si>
  <si>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</si>
  <si>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</si>
  <si>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</si>
  <si>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</si>
  <si>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</si>
  <si>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</si>
  <si>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</si>
  <si>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</si>
  <si>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</si>
  <si>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</si>
  <si>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</si>
  <si>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</si>
  <si>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</si>
  <si>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</si>
  <si>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</si>
  <si>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</si>
  <si>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</si>
  <si>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</si>
  <si>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</si>
  <si>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</si>
  <si>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</si>
  <si>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</si>
  <si>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</si>
  <si>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</si>
  <si>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</si>
  <si>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</si>
  <si>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</si>
  <si>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</si>
  <si>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</si>
  <si>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</si>
  <si>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</si>
  <si>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</si>
  <si>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</si>
  <si>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</si>
  <si>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</si>
  <si>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</si>
  <si>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</si>
  <si>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</si>
  <si>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</si>
  <si>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</si>
  <si>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</si>
  <si>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</si>
  <si>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</si>
  <si>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</si>
  <si>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</si>
  <si>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</si>
  <si>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</si>
  <si>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</si>
  <si>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</si>
  <si>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</si>
  <si>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</si>
  <si>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</si>
  <si>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</si>
  <si>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</si>
  <si>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</si>
  <si>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</si>
  <si>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</si>
  <si>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</si>
  <si>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</si>
  <si>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</si>
  <si>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</si>
  <si>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</si>
  <si>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</si>
  <si>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</si>
  <si>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</si>
  <si>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</si>
  <si>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</si>
  <si>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</si>
  <si>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</si>
  <si>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</si>
  <si>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</si>
  <si>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</si>
  <si>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</si>
  <si>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</si>
  <si>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</si>
  <si>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</si>
  <si>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</si>
  <si>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</si>
  <si>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</si>
  <si>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</si>
  <si>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</si>
  <si>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</si>
  <si>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</si>
  <si>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</si>
  <si>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</si>
  <si>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</si>
  <si>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</si>
  <si>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</si>
  <si>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</si>
  <si>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</si>
  <si>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</si>
  <si>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</si>
  <si>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</si>
  <si>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</si>
  <si>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</si>
  <si>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</si>
  <si>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</si>
  <si>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</si>
  <si>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</si>
  <si>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</si>
  <si>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</si>
  <si>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</si>
  <si>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</si>
  <si>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</si>
  <si>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</si>
  <si>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</si>
  <si>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</si>
  <si>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</si>
  <si>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</si>
  <si>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</si>
  <si>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</si>
  <si>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</si>
  <si>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</si>
  <si>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</si>
  <si>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</si>
  <si>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</si>
  <si>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</si>
  <si>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</si>
  <si>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</si>
  <si>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</si>
  <si>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</si>
  <si>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</si>
  <si>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</si>
  <si>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</si>
  <si>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</si>
  <si>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</si>
  <si>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</si>
  <si>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</si>
  <si>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</si>
  <si>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</si>
  <si>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</si>
  <si>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</si>
  <si>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</si>
  <si>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</si>
  <si>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</si>
  <si>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</si>
  <si>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</si>
  <si>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</si>
  <si>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</si>
  <si>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</si>
  <si>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</si>
  <si>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</si>
  <si>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</si>
  <si>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</si>
  <si>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</si>
  <si>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</si>
  <si>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</si>
  <si>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</si>
  <si>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</si>
  <si>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</si>
  <si>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</si>
  <si>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</si>
  <si>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</si>
  <si>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</si>
  <si>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</si>
  <si>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</si>
  <si>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</si>
  <si>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</si>
  <si>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</si>
  <si>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</si>
  <si>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</si>
  <si>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</si>
  <si>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</si>
  <si>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</si>
  <si>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</si>
  <si>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</si>
  <si>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</si>
  <si>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</si>
  <si>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</si>
  <si>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</si>
  <si>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</si>
  <si>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</si>
  <si>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</si>
  <si>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</si>
  <si>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</si>
  <si>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</si>
  <si>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</si>
  <si>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</si>
  <si>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</si>
  <si>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</si>
  <si>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</si>
  <si>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</si>
  <si>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</si>
  <si>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</si>
  <si>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</si>
  <si>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</si>
  <si>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</si>
  <si>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</si>
  <si>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</si>
  <si>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</si>
  <si>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</si>
  <si>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</si>
  <si>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</si>
  <si>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</si>
  <si>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</si>
  <si>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</si>
  <si>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</si>
  <si>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</si>
  <si>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</si>
  <si>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</si>
  <si>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</si>
  <si>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</si>
  <si>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</si>
  <si>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</si>
  <si>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</si>
  <si>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</si>
  <si>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</si>
  <si>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</si>
  <si>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</si>
  <si>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</si>
  <si>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</si>
  <si>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</si>
  <si>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</si>
  <si>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</si>
  <si>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</si>
  <si>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</si>
  <si>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</si>
  <si>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</si>
  <si>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</si>
  <si>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</si>
  <si>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</si>
  <si>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</si>
  <si>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</si>
  <si>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</si>
  <si>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</si>
  <si>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</si>
  <si>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</si>
  <si>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</si>
  <si>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</si>
  <si>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</si>
  <si>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</si>
  <si>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</si>
  <si>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</si>
  <si>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</si>
  <si>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</si>
  <si>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</si>
  <si>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</si>
  <si>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</si>
  <si>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</si>
  <si>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</si>
  <si>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</si>
  <si>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</si>
  <si>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</si>
  <si>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</si>
  <si>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</si>
  <si>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</si>
  <si>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</si>
  <si>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</si>
  <si>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</si>
  <si>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</si>
  <si>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</si>
  <si>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</si>
  <si>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</si>
  <si>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</si>
  <si>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</si>
  <si>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</si>
  <si>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</si>
  <si>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</si>
  <si>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</si>
  <si>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</si>
  <si>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</si>
  <si>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</si>
  <si>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</si>
  <si>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</si>
  <si>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</si>
  <si>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</si>
  <si>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</si>
  <si>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</si>
  <si>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</si>
  <si>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</si>
  <si>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</si>
  <si>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</si>
  <si>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</si>
  <si>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</si>
  <si>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</si>
  <si>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</si>
  <si>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</si>
  <si>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</si>
  <si>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</si>
  <si>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</si>
  <si>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</si>
  <si>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</si>
  <si>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</si>
  <si>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</si>
  <si>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</si>
  <si>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</si>
  <si>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</si>
  <si>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</si>
  <si>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</si>
  <si>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</si>
  <si>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</si>
  <si>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</si>
  <si>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</si>
  <si>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</si>
  <si>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</si>
  <si>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</si>
  <si>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</si>
  <si>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</si>
  <si>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</si>
  <si>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</si>
  <si>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</si>
  <si>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</si>
  <si>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</si>
  <si>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</si>
  <si>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</si>
  <si>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</si>
  <si>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</si>
  <si>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</si>
  <si>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</si>
  <si>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</si>
  <si>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</si>
  <si>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</si>
  <si>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</si>
  <si>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</si>
  <si>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</si>
  <si>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</si>
  <si>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</si>
  <si>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</si>
  <si>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</si>
  <si>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</si>
  <si>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</si>
  <si>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</si>
  <si>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</si>
  <si>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</si>
  <si>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</si>
  <si>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</si>
  <si>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</si>
  <si>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</si>
  <si>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</si>
  <si>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</si>
  <si>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</si>
  <si>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</si>
  <si>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</si>
  <si>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</si>
  <si>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</si>
  <si>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</si>
  <si>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</si>
  <si>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</si>
  <si>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</si>
  <si>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</si>
  <si>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</si>
  <si>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</si>
  <si>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</si>
  <si>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</si>
  <si>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</si>
  <si>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</si>
  <si>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</si>
  <si>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</si>
  <si>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</si>
  <si>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</si>
  <si>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</si>
  <si>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</si>
  <si>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</si>
  <si>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</si>
  <si>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</si>
  <si>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</si>
  <si>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</si>
  <si>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</si>
  <si>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</si>
  <si>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</si>
  <si>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</si>
  <si>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</si>
  <si>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</si>
  <si>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</si>
  <si>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</si>
  <si>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</si>
  <si>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</si>
  <si>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</si>
  <si>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</si>
  <si>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</si>
  <si>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</si>
  <si>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</si>
  <si>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</si>
  <si>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</si>
  <si>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</si>
  <si>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</si>
  <si>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</si>
  <si>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</si>
  <si>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</si>
  <si>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</si>
  <si>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</si>
  <si>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</si>
  <si>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</si>
  <si>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</si>
  <si>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</si>
  <si>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</si>
  <si>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</si>
  <si>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</si>
  <si>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</si>
  <si>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</si>
  <si>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</si>
  <si>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</si>
  <si>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</si>
  <si>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</si>
  <si>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</si>
  <si>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</si>
  <si>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</si>
  <si>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</si>
  <si>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</si>
  <si>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</si>
  <si>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</si>
  <si>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</si>
  <si>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</si>
  <si>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</si>
  <si>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</si>
  <si>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</si>
  <si>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</si>
  <si>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</si>
  <si>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</si>
  <si>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</si>
  <si>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</si>
  <si>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</si>
  <si>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</si>
  <si>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</si>
  <si>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</si>
  <si>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</si>
  <si>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</si>
  <si>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</si>
  <si>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</si>
  <si>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</si>
  <si>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</si>
  <si>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</si>
  <si>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</si>
  <si>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</si>
  <si>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</si>
  <si>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</si>
  <si>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</si>
  <si>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</si>
  <si>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</si>
  <si>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</si>
  <si>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</si>
  <si>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</si>
  <si>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</si>
  <si>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</si>
  <si>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</si>
  <si>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</si>
  <si>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</si>
  <si>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</si>
  <si>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</si>
  <si>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</si>
  <si>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</si>
  <si>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</si>
  <si>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</si>
  <si>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</si>
  <si>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</si>
  <si>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</si>
  <si>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</si>
  <si>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</si>
  <si>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</si>
  <si>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</si>
  <si>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</si>
  <si>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</si>
  <si>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</si>
  <si>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</si>
  <si>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</si>
  <si>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</si>
  <si>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</si>
  <si>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</si>
  <si>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</si>
  <si>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</si>
  <si>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</si>
  <si>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</si>
  <si>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</si>
  <si>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</si>
  <si>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</si>
  <si>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</si>
  <si>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</si>
  <si>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</si>
  <si>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</si>
  <si>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</si>
  <si>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</si>
  <si>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</si>
  <si>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</si>
  <si>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</si>
  <si>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</si>
  <si>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</si>
  <si>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</si>
  <si>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</si>
  <si>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</si>
  <si>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</si>
  <si>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</si>
  <si>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</si>
  <si>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</si>
  <si>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</si>
  <si>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</si>
  <si>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</si>
  <si>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</si>
  <si>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</si>
  <si>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</si>
  <si>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</si>
  <si>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</si>
  <si>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</si>
  <si>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</si>
  <si>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</si>
  <si>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</si>
  <si>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</si>
  <si>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</si>
  <si>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</si>
  <si>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</si>
  <si>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</si>
  <si>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</si>
  <si>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</si>
  <si>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</si>
  <si>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</si>
  <si>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</si>
  <si>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</si>
  <si>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</si>
  <si>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</si>
  <si>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</si>
  <si>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</si>
  <si>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</si>
  <si>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</si>
  <si>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</si>
  <si>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</si>
  <si>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</si>
  <si>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</si>
  <si>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</si>
  <si>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</si>
  <si>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</si>
  <si>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</si>
  <si>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</si>
  <si>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</si>
  <si>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</si>
  <si>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</si>
  <si>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</si>
  <si>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</si>
  <si>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</si>
  <si>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</si>
  <si>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</si>
  <si>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</si>
  <si>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</si>
  <si>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</si>
  <si>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</si>
  <si>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</si>
  <si>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</si>
  <si>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</si>
  <si>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</si>
  <si>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</si>
  <si>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</si>
  <si>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</si>
  <si>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</si>
  <si>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</si>
  <si>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</si>
  <si>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</si>
  <si>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</si>
  <si>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</si>
  <si>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</si>
  <si>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</si>
  <si>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</si>
  <si>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</si>
  <si>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</si>
  <si>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</si>
  <si>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</si>
  <si>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</si>
  <si>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</si>
  <si>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</si>
  <si>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</si>
  <si>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</si>
  <si>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</si>
  <si>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</si>
  <si>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</si>
  <si>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</si>
  <si>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</si>
  <si>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</si>
  <si>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</si>
  <si>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</si>
  <si>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</si>
  <si>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</si>
  <si>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</si>
  <si>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</si>
  <si>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</si>
  <si>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</si>
  <si>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</si>
  <si>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</si>
  <si>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</si>
  <si>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</si>
  <si>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</si>
  <si>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</si>
  <si>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</si>
  <si>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</si>
  <si>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</si>
  <si>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</si>
  <si>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</si>
  <si>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</si>
  <si>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</si>
  <si>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</si>
  <si>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</si>
  <si>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</si>
  <si>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</si>
  <si>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</si>
  <si>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</si>
  <si>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</si>
  <si>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</si>
  <si>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</si>
  <si>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</si>
  <si>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</si>
  <si>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</si>
  <si>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</si>
  <si>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</si>
  <si>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</si>
  <si>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</si>
  <si>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</si>
  <si>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</si>
  <si>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</si>
  <si>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</si>
  <si>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</si>
  <si>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</si>
  <si>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</si>
  <si>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</si>
  <si>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</si>
  <si>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</si>
  <si>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</si>
  <si>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</si>
  <si>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</si>
  <si>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</si>
  <si>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</si>
  <si>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</si>
  <si>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</si>
  <si>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</si>
  <si>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</si>
  <si>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</si>
  <si>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</si>
  <si>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</si>
  <si>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</si>
  <si>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</si>
  <si>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</si>
  <si>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</si>
  <si>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</si>
  <si>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</si>
  <si>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</si>
  <si>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</si>
  <si>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</si>
  <si>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</si>
  <si>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</si>
  <si>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</si>
  <si>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Rendszeres szociális segély</t>
  </si>
  <si>
    <t>Mozgáskorlátozottak közlekedési támogatása</t>
  </si>
  <si>
    <t>Óvodáztatási támogatás</t>
  </si>
  <si>
    <t>Egyéb pénzbeni juttatás</t>
  </si>
  <si>
    <t>Közgyógyellátás</t>
  </si>
  <si>
    <t>Szociális ellátás megnevezése</t>
  </si>
  <si>
    <t>Jegyzői hatáskörbe tartozó szociális ellátások</t>
  </si>
  <si>
    <t>Foglalkoztatás helyettesítő támogatás</t>
  </si>
  <si>
    <t>Lakásfenntartási támogatás</t>
  </si>
  <si>
    <t>Normatív ápolási díj</t>
  </si>
  <si>
    <t>Pénzbeni átmeneti segély</t>
  </si>
  <si>
    <t>Pénzbeni temetési segély</t>
  </si>
  <si>
    <t>Önkormányzat által megállapított ösztöndíj</t>
  </si>
  <si>
    <t>Szociális étkeztetés (Természetben nyújott rendsz.szoc.segély)</t>
  </si>
  <si>
    <t>Rendszeres gyermekvédelmi támogatás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</si>
  <si>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</si>
  <si>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</si>
  <si>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</si>
  <si>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</si>
  <si>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</si>
  <si>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</si>
  <si>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</si>
  <si>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</si>
  <si>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</si>
  <si>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</si>
  <si>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</si>
  <si>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</si>
  <si>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</si>
  <si>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</si>
  <si>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</si>
  <si>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</si>
  <si>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</si>
  <si>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</si>
  <si>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</si>
  <si>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</si>
  <si>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</si>
  <si>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</si>
  <si>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</si>
  <si>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</si>
  <si>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</si>
  <si>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</si>
  <si>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</si>
  <si>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</si>
  <si>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</si>
  <si>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</si>
  <si>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</si>
  <si>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</si>
  <si>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</si>
  <si>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</si>
  <si>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</si>
  <si>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</si>
  <si>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</si>
  <si>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</si>
  <si>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</si>
  <si>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</si>
  <si>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</si>
  <si>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</si>
  <si>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</si>
  <si>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</si>
  <si>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</si>
  <si>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</si>
  <si>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</si>
  <si>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</si>
  <si>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</si>
  <si>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</si>
  <si>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</si>
  <si>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</si>
  <si>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</si>
  <si>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</si>
  <si>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</si>
  <si>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</si>
  <si>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</si>
  <si>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</si>
  <si>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</si>
  <si>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</si>
  <si>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</si>
  <si>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</si>
  <si>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</si>
  <si>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</si>
  <si>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</si>
  <si>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</si>
  <si>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</si>
  <si>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</si>
  <si>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</si>
  <si>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</si>
  <si>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</si>
  <si>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</si>
  <si>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</si>
  <si>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</si>
  <si>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</si>
  <si>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</si>
  <si>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</si>
  <si>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</si>
  <si>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</si>
  <si>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</si>
  <si>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</si>
  <si>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</si>
  <si>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</si>
  <si>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</si>
  <si>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</si>
  <si>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</si>
  <si>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</si>
  <si>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</si>
  <si>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</si>
  <si>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</si>
  <si>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</si>
  <si>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</si>
  <si>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</si>
  <si>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</si>
  <si>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</si>
  <si>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</si>
  <si>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</si>
  <si>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</si>
  <si>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</si>
  <si>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</si>
  <si>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</si>
  <si>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</si>
  <si>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</si>
  <si>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</si>
  <si>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</si>
  <si>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</si>
  <si>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</si>
  <si>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</si>
  <si>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</si>
  <si>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</si>
  <si>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</si>
  <si>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</si>
  <si>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</si>
  <si>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</si>
  <si>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</si>
  <si>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</si>
  <si>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</si>
  <si>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</si>
  <si>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</si>
  <si>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</si>
  <si>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</si>
  <si>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</si>
  <si>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</si>
  <si>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</si>
  <si>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</si>
  <si>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</si>
  <si>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</si>
  <si>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</si>
  <si>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</si>
  <si>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</si>
  <si>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</si>
  <si>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</si>
  <si>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</si>
  <si>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</si>
  <si>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</si>
  <si>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</si>
  <si>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</si>
  <si>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Csobánka Község Önkormányzat adósságot keletkeztető ügyletekből és kezességvállalásokból fennálló kötelezettségei</t>
  </si>
  <si>
    <t>Pénzkészlet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</si>
  <si>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</si>
  <si>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</si>
  <si>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</si>
  <si>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</si>
  <si>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</si>
  <si>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</si>
  <si>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</si>
  <si>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</si>
  <si>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</si>
  <si>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</si>
  <si>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</si>
  <si>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</si>
  <si>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</si>
  <si>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</si>
  <si>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</si>
  <si>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</si>
  <si>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</si>
  <si>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</si>
  <si>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</si>
  <si>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</si>
  <si>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</si>
  <si>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</si>
  <si>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</si>
  <si>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</si>
  <si>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</si>
  <si>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</si>
  <si>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</si>
  <si>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</si>
  <si>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</si>
  <si>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</si>
  <si>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</si>
  <si>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</si>
  <si>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</si>
  <si>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</si>
  <si>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</si>
  <si>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</si>
  <si>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</si>
  <si>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</si>
  <si>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</si>
  <si>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</si>
  <si>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</si>
  <si>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</si>
  <si>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</si>
  <si>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</si>
  <si>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</si>
  <si>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</si>
  <si>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</si>
  <si>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</si>
  <si>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</si>
  <si>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</si>
  <si>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</si>
  <si>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</si>
  <si>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</si>
  <si>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</si>
  <si>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</si>
  <si>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</si>
  <si>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</si>
  <si>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</si>
  <si>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</si>
  <si>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</si>
  <si>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</si>
  <si>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</si>
  <si>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</si>
  <si>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</si>
  <si>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</si>
  <si>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</si>
  <si>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</si>
  <si>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</si>
  <si>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</si>
  <si>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</si>
  <si>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</si>
  <si>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</si>
  <si>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</si>
  <si>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</si>
  <si>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</si>
  <si>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</si>
  <si>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</si>
  <si>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</si>
  <si>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</si>
  <si>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</si>
  <si>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</si>
  <si>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</si>
  <si>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</si>
  <si>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</si>
  <si>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</si>
  <si>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</si>
  <si>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</si>
  <si>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</si>
  <si>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</si>
  <si>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</si>
  <si>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</si>
  <si>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</si>
  <si>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</si>
  <si>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</si>
  <si>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</si>
  <si>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</si>
  <si>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</si>
  <si>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</si>
  <si>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</si>
  <si>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</si>
  <si>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</si>
  <si>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</si>
  <si>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</si>
  <si>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</si>
  <si>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</si>
  <si>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</si>
  <si>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</si>
  <si>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</si>
  <si>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</si>
  <si>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</si>
  <si>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</si>
  <si>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</si>
  <si>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</si>
  <si>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</si>
  <si>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Eredeti előirányzat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</si>
  <si>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</si>
  <si>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</si>
  <si>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</si>
  <si>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</si>
  <si>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</si>
  <si>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</si>
  <si>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</si>
  <si>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</si>
  <si>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</si>
  <si>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</si>
  <si>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</si>
  <si>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</si>
  <si>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</si>
  <si>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Időskorúak rendkívüli seg</t>
  </si>
  <si>
    <t>2014. évi terv</t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</si>
  <si>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</si>
  <si>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</si>
  <si>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</si>
  <si>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</si>
  <si>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</si>
  <si>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</si>
  <si>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</si>
  <si>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</si>
  <si>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K I M U T A T Á S
a 2014. évi működési célú pénzeszközátadásokról, céljellegű támogatásokról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</si>
  <si>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</si>
  <si>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</si>
  <si>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</si>
  <si>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</si>
  <si>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2013. évi  terv</t>
  </si>
  <si>
    <t>CIVIL ALAP</t>
  </si>
  <si>
    <t>Köztemetés</t>
  </si>
  <si>
    <t>cím</t>
  </si>
  <si>
    <t>helyrajzi szám</t>
  </si>
  <si>
    <t>felújítás</t>
  </si>
  <si>
    <t>tető felújítás</t>
  </si>
  <si>
    <t>tető javítás</t>
  </si>
  <si>
    <t>lépcsők javítása</t>
  </si>
  <si>
    <t>fűtés korszerűsítés</t>
  </si>
  <si>
    <t>két bejárati ajtó csere</t>
  </si>
  <si>
    <t>gyerekpad és asztal</t>
  </si>
  <si>
    <t>Előirányzat-felhasználási terv
2014. évre</t>
  </si>
  <si>
    <t>Települési önkormányzatok köznevelési feladatainak egyéb támogatása</t>
  </si>
  <si>
    <t>2013. évi   terv</t>
  </si>
  <si>
    <t>2015. várható ktg.</t>
  </si>
  <si>
    <t>4. számú tájékoztató tábla</t>
  </si>
  <si>
    <t>3. számú tájékoztató tábla</t>
  </si>
  <si>
    <t xml:space="preserve">     - Működési támogatás átadás (Civil Alap 2014)</t>
  </si>
  <si>
    <t>2015 évi terv</t>
  </si>
  <si>
    <t>2016 évi terv</t>
  </si>
  <si>
    <t>2015. évi előirányzat</t>
  </si>
  <si>
    <t>2016. évi előirányzat</t>
  </si>
  <si>
    <t xml:space="preserve">i/1.Környezetvédelmi tájékoztatók </t>
  </si>
  <si>
    <t>2015. évi terv</t>
  </si>
  <si>
    <t>Az általános működés és ágazati feladatok támogatásának alakulása jogcímenként</t>
  </si>
  <si>
    <t>Beszámítás összege (2015 kiegészítő támogatás)</t>
  </si>
  <si>
    <t>2014. évről áthúzódó bérkompoenzáció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</si>
  <si>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</si>
  <si>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</si>
  <si>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</si>
  <si>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</si>
  <si>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</si>
  <si>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</si>
  <si>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</si>
  <si>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</si>
  <si>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2017 évi terv</t>
  </si>
  <si>
    <t>Gördülő költségvetési terv 2015-2017 évekre</t>
  </si>
  <si>
    <t>2014. évi   teljesítés</t>
  </si>
  <si>
    <t>Családsegító Szolgálat  feladatellátás támogatás</t>
  </si>
  <si>
    <t>Családsegítő Szolgálat állami tám.átadás</t>
  </si>
  <si>
    <t>Fő út 63. /1-es lakás (664/2 hrsz)</t>
  </si>
  <si>
    <t>Fő út 63. /2-es lakás (664/2 hrsz)</t>
  </si>
  <si>
    <t>kémény bontás</t>
  </si>
  <si>
    <t>szigetelés</t>
  </si>
  <si>
    <t>Csobogó sétány játszótér (391/2 hrsz)</t>
  </si>
  <si>
    <t>kerítés felújítás, megerősítés</t>
  </si>
  <si>
    <t>új bejárati kapu</t>
  </si>
  <si>
    <t>kerékpártároló</t>
  </si>
  <si>
    <t>homok pótlás</t>
  </si>
  <si>
    <t>víz bevezetés felső ingatlanról</t>
  </si>
  <si>
    <t>elektromos áram kialakítása</t>
  </si>
  <si>
    <t xml:space="preserve">térfigyelő kamera </t>
  </si>
  <si>
    <t>beruházás</t>
  </si>
  <si>
    <t>csúszda pótlás</t>
  </si>
  <si>
    <t xml:space="preserve">Óvoda Fő út 11. (614 hrsz) </t>
  </si>
  <si>
    <t xml:space="preserve">védőkorlát </t>
  </si>
  <si>
    <t xml:space="preserve">Hivatal Fő út 1. (618/1 hrsz) </t>
  </si>
  <si>
    <t>ablakcserék</t>
  </si>
  <si>
    <t>külső lábazat javítás</t>
  </si>
  <si>
    <t>bejárati ajtó árajánlat többlet</t>
  </si>
  <si>
    <t>riasztó rendszer korszerűsítése</t>
  </si>
  <si>
    <t xml:space="preserve">risztó rendszer többlet </t>
  </si>
  <si>
    <t>szertár ajtó csere</t>
  </si>
  <si>
    <t>Garázs köz (661/1)</t>
  </si>
  <si>
    <t xml:space="preserve">Mese lépcső (648 hrsz) </t>
  </si>
  <si>
    <t>Általános Iskola Vörösvári út 12. (940 hrsz)</t>
  </si>
  <si>
    <t>gépészeti karbantartás (víz, fűtés)</t>
  </si>
  <si>
    <t>ajtók cseréje</t>
  </si>
  <si>
    <t>csengő csere</t>
  </si>
  <si>
    <t>kazán javítás</t>
  </si>
  <si>
    <t xml:space="preserve">Fő tér (747/2 hrsz) </t>
  </si>
  <si>
    <t>kút mázolása</t>
  </si>
  <si>
    <t>bútorok csiszolása, festése II.</t>
  </si>
  <si>
    <t xml:space="preserve">Sportpálya (406/125 hrsz) </t>
  </si>
  <si>
    <t>háló vásárlás</t>
  </si>
  <si>
    <t>karbantartás</t>
  </si>
  <si>
    <t xml:space="preserve">kispálya labdafogó </t>
  </si>
  <si>
    <t>kis pályán kapuk felújítása</t>
  </si>
  <si>
    <t>2 kosár palánk</t>
  </si>
  <si>
    <t>Közösségi ház és könyvtár -  Béke út 4. (961/3 hrsz)</t>
  </si>
  <si>
    <t>elektromos füv, javítások</t>
  </si>
  <si>
    <t>tető és eresz javítások</t>
  </si>
  <si>
    <t>mobil színpad</t>
  </si>
  <si>
    <t>tornaszoba</t>
  </si>
  <si>
    <t>Nemzetiségek háza Béke út 8.</t>
  </si>
  <si>
    <t>riasztó rendszer távfelügyelettel</t>
  </si>
  <si>
    <t>Áfonya utca (607/17)</t>
  </si>
  <si>
    <t xml:space="preserve">vízellátás </t>
  </si>
  <si>
    <t>Gyurgyalag utca (912)</t>
  </si>
  <si>
    <t>Margitliget</t>
  </si>
  <si>
    <t>világítás a 2 buszmegállónál</t>
  </si>
  <si>
    <t>turisztikai irányjelző oszlop 5</t>
  </si>
  <si>
    <t>utcatáblák</t>
  </si>
  <si>
    <t xml:space="preserve">5 db közterületi kamera </t>
  </si>
  <si>
    <t>3 kamera pótlása</t>
  </si>
  <si>
    <t>2 db fedett buszmegálló</t>
  </si>
  <si>
    <t>Fő téri emlékműhöz koszorútartó</t>
  </si>
  <si>
    <t>besorolás</t>
  </si>
  <si>
    <t>sorsz.</t>
  </si>
  <si>
    <t xml:space="preserve">Csobánka Község 2015. évi beruházási, felújítási és karbantartási kiadásai feladatonként </t>
  </si>
  <si>
    <t>Beruházás összesen</t>
  </si>
  <si>
    <t>Felújítás</t>
  </si>
  <si>
    <t>Karbantartás (dologi kiadás)</t>
  </si>
  <si>
    <t>beállított ktg.hez képest többlet</t>
  </si>
  <si>
    <t>rendkívüli hiba jav.</t>
  </si>
  <si>
    <t>közvilágítás állami tám.-ra elszámolva</t>
  </si>
  <si>
    <t>Hidak</t>
  </si>
  <si>
    <t>2013. évi teljesítés</t>
  </si>
  <si>
    <t>2014. évi   várható</t>
  </si>
  <si>
    <t>2013. évi   tény</t>
  </si>
  <si>
    <t>2014. évi várható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</si>
  <si>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</si>
  <si>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</si>
  <si>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</si>
  <si>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</si>
  <si>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</si>
  <si>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Helyi építési szabályzat</t>
  </si>
  <si>
    <t>2014. évről áthúzódó</t>
  </si>
  <si>
    <t>ASP kiegészítő beruházások (szerver)</t>
  </si>
  <si>
    <t>biztosítóhoz  kár bejelentve</t>
  </si>
  <si>
    <t>Fűnyíró (2db), fűkasza beszerzés (2db)</t>
  </si>
  <si>
    <t>Szóróanyag tárolók beszerzése</t>
  </si>
  <si>
    <t>Közösségi Ház informatikai besz. internethez</t>
  </si>
  <si>
    <t>Vis maior I.</t>
  </si>
  <si>
    <t>Vis maior II.</t>
  </si>
  <si>
    <t>Községgazdálkodás</t>
  </si>
  <si>
    <t xml:space="preserve"> Környezetvédelmi Intézkedési Terve</t>
  </si>
  <si>
    <t>a 2015. évi költségvetés Környezetvédelmi Alapjának felhasználására</t>
  </si>
  <si>
    <t xml:space="preserve">a/1. Patakmeder tisztítása, kotrása </t>
  </si>
  <si>
    <t>b/1. Az Ök. 2015. évi fejlesztési, felújítási, karbantartási terve szerinti kiadásokra</t>
  </si>
  <si>
    <t>b/2. Zöldhulladék elszállítása a közszolgáltatáson kívül</t>
  </si>
  <si>
    <t xml:space="preserve">b/3. Mobil WC telepítése az Oszoly pihenőhöz </t>
  </si>
  <si>
    <t>b/4 10 db közterületi hulladékgyűjtőedényzet beszerzése</t>
  </si>
  <si>
    <t>c/1. A HÉSZ-ben szereplő helyi jelentőségű védett természeti emlékek tényleges védelembe vételének költségei</t>
  </si>
  <si>
    <t>c/2. A Csobánkai Tanösvény karbantartása, megrongálódott tábláinak pótlása</t>
  </si>
  <si>
    <t>d/1 1956-os kopjafa elkészítése, telepítése</t>
  </si>
  <si>
    <t>e/1 Szabad-felhasználású pályázati alap környezetvédelemi akciók támogatására – pályázat házi komposztálóra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</si>
  <si>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</si>
  <si>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</si>
  <si>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h/1. Virágosítás</t>
  </si>
  <si>
    <t xml:space="preserve">h/2. Közterületi fák karbantartása, fenntartása  </t>
  </si>
  <si>
    <t xml:space="preserve">h/3. Díszfák és gyümölcsfák telepítése – Plandics tér, Mária utca teteje, Szabadsághegy utca   </t>
  </si>
  <si>
    <t xml:space="preserve">i/1. Veszélyes hulladékok összegyűjtése és elszállítása </t>
  </si>
  <si>
    <t>b/5 Közterületi padok beszerzése, elhelyezése</t>
  </si>
  <si>
    <t>Környezetvédelmi alap terhére elszámolható</t>
  </si>
  <si>
    <t>2014</t>
  </si>
  <si>
    <t>Kivitelezés tervezett kezdése</t>
  </si>
  <si>
    <t>2015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</si>
  <si>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</si>
  <si>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</si>
  <si>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</si>
  <si>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</si>
  <si>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</si>
  <si>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</si>
  <si>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</si>
  <si>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 xml:space="preserve">A szociális ellátások alakulása 2015. évben </t>
  </si>
  <si>
    <t>2013.évi ellátás tény</t>
  </si>
  <si>
    <t>2014. évi ellátás várható</t>
  </si>
  <si>
    <t>2013.évi támogatás tény</t>
  </si>
  <si>
    <t>2014.évi támogatás várható</t>
  </si>
  <si>
    <t>2015. évi támogatás terv</t>
  </si>
  <si>
    <t>Önkormányzati hatáskörbe tartozó szociális ellátások</t>
  </si>
  <si>
    <t>Természetben nyújtott átmeneti segély (Utalvány/tüzifa)</t>
  </si>
  <si>
    <t>Települési támogatás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</si>
  <si>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</si>
  <si>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</si>
  <si>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</si>
  <si>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</si>
  <si>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</si>
  <si>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2015.01.01-jétől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</si>
  <si>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</si>
  <si>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</si>
  <si>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</si>
  <si>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</si>
  <si>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</si>
  <si>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</si>
  <si>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</si>
  <si>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</si>
  <si>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</si>
  <si>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</si>
  <si>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</si>
  <si>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</si>
  <si>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</si>
  <si>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</si>
  <si>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Petőfi Sándor Általános Iskola</t>
  </si>
  <si>
    <t>(Kjt. szerinti közalkalmazott)</t>
  </si>
  <si>
    <t>takarító és konyhai kisegítő</t>
  </si>
  <si>
    <t>Baross Péter Közösségi Ház és Könyvtár</t>
  </si>
  <si>
    <t>közművelődési igazgatási ügyintéző</t>
  </si>
  <si>
    <t>könyvtáros</t>
  </si>
  <si>
    <t>védőnő</t>
  </si>
  <si>
    <t>önálló családgondozó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</si>
  <si>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</si>
  <si>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</si>
  <si>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</si>
  <si>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</si>
  <si>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</si>
  <si>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</si>
  <si>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</si>
  <si>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</si>
  <si>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</si>
  <si>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</si>
  <si>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</si>
  <si>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</si>
  <si>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</si>
  <si>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</si>
  <si>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</si>
  <si>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</si>
  <si>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</si>
  <si>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</si>
  <si>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</si>
  <si>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</si>
  <si>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</si>
  <si>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2015. évi Környezetvédelmi Alap</t>
  </si>
  <si>
    <t>FHT</t>
  </si>
  <si>
    <t>LAKÁS FENNTART</t>
  </si>
  <si>
    <t>RENDSZ.SZOC</t>
  </si>
  <si>
    <t>2015. évi módosított  ei.</t>
  </si>
  <si>
    <t>2015. évi mód.ei.</t>
  </si>
  <si>
    <t>adatok forintban</t>
  </si>
  <si>
    <t>2015. évi  módosított előirányzat</t>
  </si>
  <si>
    <t>Módosított előirányzat</t>
  </si>
  <si>
    <t>2015. évi mód.ei</t>
  </si>
  <si>
    <t>Működési célú finanszírozási kiadások (Áht-n belüli megelőlegezés visszafizetés)</t>
  </si>
  <si>
    <t xml:space="preserve">     - Garancia és kezességvállalásból származó kifizetés (letétek)</t>
  </si>
  <si>
    <t>2015. évi módosított  előirányzat</t>
  </si>
  <si>
    <t>2015. évi ellátás eredeti ei.</t>
  </si>
  <si>
    <t>2015. évi ellátás mód.ei.</t>
  </si>
  <si>
    <t>2015. évi eredeti ei.</t>
  </si>
  <si>
    <t xml:space="preserve">   Államháztartáson belüli megelőlegezés visszafizetése</t>
  </si>
  <si>
    <t>Céltartalékként elkülönített</t>
  </si>
  <si>
    <t>Államháztartáson belüli megelőlegezés visszavfiz</t>
  </si>
  <si>
    <t xml:space="preserve">   - Civil Alap</t>
  </si>
  <si>
    <t>Belterületi utak járdák felújtása önerő</t>
  </si>
  <si>
    <t>Tornaszoba felújítás önerő</t>
  </si>
  <si>
    <t>Közművelődési érdekeltség növelő pályázat önerő</t>
  </si>
  <si>
    <t>Közvilágítás fejlesztés</t>
  </si>
  <si>
    <t>1. melléklet az 1/2015. (II.13.) önkormányzati rendelethez</t>
  </si>
  <si>
    <t xml:space="preserve">2.1. melléklet az 1/2015. (II.13.) önkormányzati rendelethez     </t>
  </si>
  <si>
    <t xml:space="preserve">2.2. melléklet az 1/2015. (II.13.)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</si>
</sst>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0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i/>
      <sz val="10"/>
      <color rgb="FF00B0F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</cellStyleXfs>
  <cellXfs count="1455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6" xfId="4" applyFont="1" applyFill="1" applyBorder="1" applyAlignment="1" applyProtection="1">
      <alignment horizontal="left" vertical="center" wrapText="1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0" fontId="80" fillId="0" borderId="7" xfId="0" applyFont="1" applyBorder="1" applyAlignment="1">
      <alignment horizontal="justify" vertical="center" wrapText="1"/>
    </xf>
    <xf numFmtId="3" fontId="80" fillId="0" borderId="21" xfId="0" applyNumberFormat="1" applyFont="1" applyFill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3" fontId="61" fillId="0" borderId="0" xfId="0" applyNumberFormat="1" applyFont="1"/>
    <xf numFmtId="0" fontId="63" fillId="0" borderId="0" xfId="0" applyFont="1"/>
    <xf numFmtId="0" fontId="0" fillId="0" borderId="0" xfId="0" applyFont="1" applyFill="1" applyBorder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 vertical="center"/>
    </xf>
    <xf numFmtId="0" fontId="29" fillId="0" borderId="1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7" fillId="0" borderId="0" xfId="0" applyFont="1" applyFill="1" applyAlignment="1" applyProtection="1">
      <alignment horizontal="right" vertical="center" wrapText="1" inden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3" fontId="8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7" fillId="0" borderId="0" xfId="0" applyFont="1" applyFill="1" applyAlignment="1">
      <alignment horizontal="left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0" fontId="51" fillId="0" borderId="44" xfId="0" applyFont="1" applyBorder="1" applyAlignment="1" applyProtection="1">
      <alignment horizontal="center" wrapText="1"/>
    </xf>
    <xf numFmtId="0" fontId="43" fillId="0" borderId="44" xfId="0" applyFont="1" applyBorder="1" applyAlignment="1" applyProtection="1">
      <alignment horizontal="center" wrapText="1"/>
    </xf>
    <xf numFmtId="164" fontId="33" fillId="0" borderId="46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61" xfId="4" applyFont="1" applyFill="1" applyBorder="1" applyProtection="1">
      <protection locked="0"/>
    </xf>
    <xf numFmtId="0" fontId="30" fillId="0" borderId="55" xfId="4" applyFont="1" applyFill="1" applyBorder="1" applyProtection="1">
      <protection locked="0"/>
    </xf>
    <xf numFmtId="0" fontId="30" fillId="0" borderId="62" xfId="4" applyFont="1" applyFill="1" applyBorder="1" applyProtection="1">
      <protection locked="0"/>
    </xf>
    <xf numFmtId="0" fontId="29" fillId="0" borderId="35" xfId="4" applyFont="1" applyFill="1" applyBorder="1" applyAlignment="1" applyProtection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9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8" xfId="4" applyFont="1" applyFill="1" applyBorder="1" applyAlignment="1" applyProtection="1">
      <alignment horizontal="left" vertical="center" wrapText="1" indent="1"/>
    </xf>
    <xf numFmtId="0" fontId="29" fillId="0" borderId="67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8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0" fillId="0" borderId="35" xfId="4" applyFont="1" applyFill="1" applyBorder="1" applyAlignment="1" applyProtection="1">
      <alignment horizontal="left" vertical="center" wrapText="1" indent="1"/>
    </xf>
    <xf numFmtId="0" fontId="8" fillId="0" borderId="35" xfId="0" applyFont="1" applyFill="1" applyBorder="1" applyAlignment="1" applyProtection="1">
      <alignment horizontal="left" vertical="center" wrapText="1" indent="1"/>
    </xf>
    <xf numFmtId="0" fontId="30" fillId="0" borderId="52" xfId="4" applyFont="1" applyFill="1" applyBorder="1" applyAlignment="1" applyProtection="1">
      <alignment horizontal="left" vertical="center" wrapText="1" indent="1"/>
    </xf>
    <xf numFmtId="0" fontId="26" fillId="0" borderId="46" xfId="0" applyFont="1" applyBorder="1" applyAlignment="1" applyProtection="1">
      <alignment horizontal="left" wrapText="1" indent="1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0" fontId="73" fillId="0" borderId="2" xfId="0" applyFont="1" applyBorder="1" applyAlignment="1">
      <alignment horizontal="justify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5" xfId="4" applyFont="1" applyFill="1" applyBorder="1" applyAlignment="1" applyProtection="1">
      <alignment horizontal="center" vertical="center" wrapText="1"/>
    </xf>
    <xf numFmtId="0" fontId="4" fillId="0" borderId="16" xfId="4" applyFont="1" applyFill="1" applyBorder="1" applyAlignment="1" applyProtection="1">
      <alignment horizontal="center" vertical="center" wrapText="1"/>
    </xf>
    <xf numFmtId="164" fontId="4" fillId="0" borderId="67" xfId="4" applyNumberFormat="1" applyFont="1" applyFill="1" applyBorder="1" applyAlignment="1" applyProtection="1">
      <alignment horizontal="right" vertical="center" wrapText="1" indent="1"/>
    </xf>
    <xf numFmtId="164" fontId="4" fillId="0" borderId="18" xfId="4" applyNumberFormat="1" applyFont="1" applyFill="1" applyBorder="1" applyAlignment="1" applyProtection="1">
      <alignment horizontal="right" vertical="center" wrapText="1" inden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16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</xf>
    <xf numFmtId="164" fontId="18" fillId="0" borderId="4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</xf>
    <xf numFmtId="164" fontId="18" fillId="0" borderId="2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5" xfId="4" applyNumberFormat="1" applyFont="1" applyFill="1" applyBorder="1" applyAlignment="1" applyProtection="1">
      <alignment horizontal="right" vertical="center" wrapText="1" indent="1"/>
    </xf>
    <xf numFmtId="164" fontId="34" fillId="0" borderId="16" xfId="4" applyNumberFormat="1" applyFont="1" applyFill="1" applyBorder="1" applyAlignment="1" applyProtection="1">
      <alignment horizontal="right" vertical="center" wrapText="1" indent="1"/>
    </xf>
    <xf numFmtId="164" fontId="33" fillId="0" borderId="35" xfId="4" applyNumberFormat="1" applyFont="1" applyFill="1" applyBorder="1" applyAlignment="1" applyProtection="1">
      <alignment horizontal="right" vertical="center" wrapText="1" indent="1"/>
    </xf>
    <xf numFmtId="164" fontId="33" fillId="0" borderId="16" xfId="4" applyNumberFormat="1" applyFont="1" applyFill="1" applyBorder="1" applyAlignment="1" applyProtection="1">
      <alignment horizontal="right" vertical="center" wrapText="1" indent="1"/>
    </xf>
    <xf numFmtId="164" fontId="18" fillId="0" borderId="69" xfId="4" applyNumberFormat="1" applyFont="1" applyFill="1" applyBorder="1" applyAlignment="1" applyProtection="1">
      <alignment horizontal="right" vertical="center" wrapText="1" indent="1"/>
    </xf>
    <xf numFmtId="164" fontId="18" fillId="0" borderId="55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4" applyNumberFormat="1" applyFont="1" applyFill="1" applyBorder="1" applyAlignment="1" applyProtection="1">
      <alignment horizontal="right" vertical="center" wrapText="1" indent="1"/>
    </xf>
    <xf numFmtId="164" fontId="18" fillId="0" borderId="16" xfId="4" applyNumberFormat="1" applyFont="1" applyFill="1" applyBorder="1" applyAlignment="1" applyProtection="1">
      <alignment horizontal="right" vertical="center" wrapText="1" indent="1"/>
    </xf>
    <xf numFmtId="0" fontId="71" fillId="0" borderId="69" xfId="0" applyFont="1" applyBorder="1" applyAlignment="1" applyProtection="1">
      <alignment horizontal="right" vertical="center" wrapText="1" indent="1"/>
      <protection locked="0"/>
    </xf>
    <xf numFmtId="0" fontId="71" fillId="0" borderId="4" xfId="0" applyFont="1" applyBorder="1" applyAlignment="1" applyProtection="1">
      <alignment horizontal="right" vertical="center" wrapText="1" indent="1"/>
      <protection locked="0"/>
    </xf>
    <xf numFmtId="0" fontId="71" fillId="0" borderId="55" xfId="0" applyFont="1" applyBorder="1" applyAlignment="1" applyProtection="1">
      <alignment horizontal="right" vertical="center" wrapText="1" indent="1"/>
      <protection locked="0"/>
    </xf>
    <xf numFmtId="0" fontId="71" fillId="0" borderId="2" xfId="0" applyFont="1" applyBorder="1" applyAlignment="1" applyProtection="1">
      <alignment horizontal="right" vertical="center" wrapText="1" indent="1"/>
      <protection locked="0"/>
    </xf>
    <xf numFmtId="0" fontId="71" fillId="0" borderId="62" xfId="0" applyFont="1" applyBorder="1" applyAlignment="1" applyProtection="1">
      <alignment horizontal="right" vertical="center" wrapText="1" indent="1"/>
      <protection locked="0"/>
    </xf>
    <xf numFmtId="0" fontId="71" fillId="0" borderId="7" xfId="0" applyFont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Border="1" applyAlignment="1" applyProtection="1">
      <alignment horizontal="right" vertical="center" wrapText="1" indent="1"/>
    </xf>
    <xf numFmtId="164" fontId="50" fillId="0" borderId="16" xfId="0" applyNumberFormat="1" applyFont="1" applyBorder="1" applyAlignment="1" applyProtection="1">
      <alignment horizontal="right" vertical="center" wrapText="1" indent="1"/>
    </xf>
    <xf numFmtId="0" fontId="50" fillId="0" borderId="35" xfId="0" quotePrefix="1" applyFont="1" applyBorder="1" applyAlignment="1" applyProtection="1">
      <alignment horizontal="right" vertical="center" wrapText="1" indent="1"/>
      <protection locked="0"/>
    </xf>
    <xf numFmtId="0" fontId="50" fillId="0" borderId="16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4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Continuous" vertical="center" wrapText="1"/>
    </xf>
    <xf numFmtId="164" fontId="33" fillId="0" borderId="35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16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8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/>
    </xf>
    <xf numFmtId="0" fontId="4" fillId="0" borderId="70" xfId="4" applyFont="1" applyFill="1" applyBorder="1" applyAlignment="1" applyProtection="1">
      <alignment horizontal="center" vertical="center" wrapText="1"/>
    </xf>
    <xf numFmtId="0" fontId="15" fillId="0" borderId="45" xfId="4" applyFont="1" applyFill="1" applyBorder="1" applyAlignment="1" applyProtection="1">
      <alignment horizontal="center" vertical="center"/>
    </xf>
    <xf numFmtId="166" fontId="15" fillId="0" borderId="70" xfId="1" applyNumberFormat="1" applyFont="1" applyFill="1" applyBorder="1" applyProtection="1">
      <protection locked="0"/>
    </xf>
    <xf numFmtId="166" fontId="15" fillId="0" borderId="54" xfId="1" applyNumberFormat="1" applyFont="1" applyFill="1" applyBorder="1" applyProtection="1">
      <protection locked="0"/>
    </xf>
    <xf numFmtId="166" fontId="15" fillId="0" borderId="41" xfId="1" applyNumberFormat="1" applyFont="1" applyFill="1" applyBorder="1" applyProtection="1">
      <protection locked="0"/>
    </xf>
    <xf numFmtId="166" fontId="15" fillId="0" borderId="45" xfId="1" applyNumberFormat="1" applyFont="1" applyFill="1" applyBorder="1" applyProtection="1"/>
    <xf numFmtId="166" fontId="4" fillId="0" borderId="35" xfId="1" applyNumberFormat="1" applyFont="1" applyFill="1" applyBorder="1" applyProtection="1"/>
    <xf numFmtId="166" fontId="4" fillId="0" borderId="15" xfId="1" applyNumberFormat="1" applyFont="1" applyFill="1" applyBorder="1" applyProtection="1"/>
    <xf numFmtId="166" fontId="4" fillId="0" borderId="23" xfId="1" applyNumberFormat="1" applyFont="1" applyFill="1" applyBorder="1" applyProtection="1"/>
    <xf numFmtId="0" fontId="15" fillId="0" borderId="46" xfId="4" applyFont="1" applyFill="1" applyBorder="1"/>
    <xf numFmtId="0" fontId="71" fillId="0" borderId="0" xfId="0" applyFont="1" applyAlignment="1" applyProtection="1">
      <alignment horizontal="right" vertical="top"/>
      <protection locked="0"/>
    </xf>
    <xf numFmtId="0" fontId="4" fillId="0" borderId="61" xfId="0" quotePrefix="1" applyFont="1" applyFill="1" applyBorder="1" applyAlignment="1" applyProtection="1">
      <alignment horizontal="right" vertical="center" indent="1"/>
    </xf>
    <xf numFmtId="0" fontId="4" fillId="0" borderId="76" xfId="0" quotePrefix="1" applyFont="1" applyFill="1" applyBorder="1" applyAlignment="1" applyProtection="1">
      <alignment horizontal="right" vertical="center" indent="1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0" applyNumberFormat="1" applyFont="1" applyFill="1" applyBorder="1" applyAlignment="1" applyProtection="1">
      <alignment horizontal="right" vertical="center" wrapText="1" indent="1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0" xfId="0" applyNumberFormat="1" applyFont="1" applyFill="1" applyBorder="1" applyAlignment="1" applyProtection="1">
      <alignment horizontal="right" vertical="center" wrapText="1" indent="1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7" xfId="0" applyNumberFormat="1" applyFont="1" applyFill="1" applyBorder="1" applyAlignment="1" applyProtection="1">
      <alignment horizontal="right" vertical="center" wrapText="1" indent="1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45" xfId="0" applyNumberFormat="1" applyFont="1" applyFill="1" applyBorder="1" applyAlignment="1" applyProtection="1">
      <alignment horizontal="right" vertical="center" wrapText="1" indent="1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74" xfId="0" applyNumberFormat="1" applyFont="1" applyFill="1" applyBorder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5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1" fillId="0" borderId="0" xfId="0" applyNumberFormat="1" applyFont="1" applyFill="1" applyAlignment="1">
      <alignment vertical="center" wrapText="1"/>
    </xf>
    <xf numFmtId="164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1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164" fontId="15" fillId="0" borderId="0" xfId="4" applyNumberFormat="1" applyFont="1" applyFill="1"/>
    <xf numFmtId="0" fontId="71" fillId="0" borderId="69" xfId="0" applyFont="1" applyFill="1" applyBorder="1" applyAlignment="1" applyProtection="1">
      <alignment horizontal="right" vertical="center" wrapText="1" indent="1"/>
      <protection locked="0"/>
    </xf>
    <xf numFmtId="0" fontId="71" fillId="0" borderId="55" xfId="0" applyFont="1" applyFill="1" applyBorder="1" applyAlignment="1" applyProtection="1">
      <alignment horizontal="right" vertical="center" wrapText="1" indent="1"/>
      <protection locked="0"/>
    </xf>
    <xf numFmtId="0" fontId="71" fillId="0" borderId="62" xfId="0" applyFont="1" applyFill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51" fillId="0" borderId="16" xfId="0" applyFont="1" applyFill="1" applyBorder="1" applyAlignment="1" applyProtection="1">
      <alignment horizontal="center" wrapText="1"/>
    </xf>
    <xf numFmtId="0" fontId="51" fillId="0" borderId="75" xfId="0" applyFont="1" applyFill="1" applyBorder="1" applyAlignment="1" applyProtection="1">
      <alignment horizontal="center" wrapText="1"/>
    </xf>
    <xf numFmtId="0" fontId="26" fillId="0" borderId="67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2" fillId="0" borderId="0" xfId="4" applyNumberFormat="1" applyFont="1" applyFill="1"/>
    <xf numFmtId="0" fontId="0" fillId="0" borderId="0" xfId="0" applyFont="1" applyFill="1"/>
    <xf numFmtId="0" fontId="93" fillId="0" borderId="2" xfId="0" applyFont="1" applyBorder="1" applyAlignment="1">
      <alignment horizontal="left" vertical="center" wrapText="1" indent="3"/>
    </xf>
    <xf numFmtId="3" fontId="93" fillId="0" borderId="19" xfId="0" applyNumberFormat="1" applyFont="1" applyBorder="1" applyAlignment="1">
      <alignment horizontal="right" vertical="center"/>
    </xf>
    <xf numFmtId="0" fontId="94" fillId="0" borderId="0" xfId="0" applyFont="1" applyFill="1"/>
    <xf numFmtId="0" fontId="94" fillId="0" borderId="0" xfId="0" applyFont="1" applyFill="1" applyAlignment="1" applyProtection="1">
      <alignment vertical="center"/>
    </xf>
    <xf numFmtId="3" fontId="93" fillId="0" borderId="21" xfId="0" applyNumberFormat="1" applyFont="1" applyBorder="1" applyAlignment="1">
      <alignment horizontal="right" vertical="center"/>
    </xf>
    <xf numFmtId="0" fontId="93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95" fillId="0" borderId="0" xfId="0" applyFont="1" applyFill="1" applyBorder="1" applyAlignment="1" applyProtection="1">
      <alignment horizontal="right"/>
    </xf>
    <xf numFmtId="0" fontId="97" fillId="0" borderId="23" xfId="4" applyFont="1" applyFill="1" applyBorder="1" applyAlignment="1" applyProtection="1">
      <alignment horizontal="center" vertical="center"/>
    </xf>
    <xf numFmtId="166" fontId="97" fillId="0" borderId="22" xfId="1" applyNumberFormat="1" applyFont="1" applyFill="1" applyBorder="1" applyProtection="1">
      <protection locked="0"/>
    </xf>
    <xf numFmtId="166" fontId="97" fillId="0" borderId="19" xfId="1" applyNumberFormat="1" applyFont="1" applyFill="1" applyBorder="1" applyProtection="1">
      <protection locked="0"/>
    </xf>
    <xf numFmtId="166" fontId="97" fillId="0" borderId="21" xfId="1" applyNumberFormat="1" applyFont="1" applyFill="1" applyBorder="1" applyProtection="1">
      <protection locked="0"/>
    </xf>
    <xf numFmtId="166" fontId="97" fillId="0" borderId="23" xfId="1" applyNumberFormat="1" applyFont="1" applyFill="1" applyBorder="1" applyProtection="1"/>
    <xf numFmtId="0" fontId="97" fillId="0" borderId="46" xfId="4" applyFont="1" applyFill="1" applyBorder="1"/>
    <xf numFmtId="166" fontId="96" fillId="0" borderId="35" xfId="1" applyNumberFormat="1" applyFont="1" applyFill="1" applyBorder="1" applyProtection="1"/>
    <xf numFmtId="0" fontId="97" fillId="0" borderId="0" xfId="4" applyFont="1" applyFill="1"/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3" fontId="7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5" xfId="4" applyNumberFormat="1" applyFont="1" applyFill="1" applyBorder="1" applyAlignment="1" applyProtection="1">
      <alignment horizontal="right" vertical="center" wrapText="1" indent="1"/>
    </xf>
    <xf numFmtId="3" fontId="7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49" fontId="27" fillId="0" borderId="14" xfId="0" applyNumberFormat="1" applyFont="1" applyFill="1" applyBorder="1" applyAlignment="1" applyProtection="1">
      <alignment horizontal="left" vertical="center" wrapText="1" indent="2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4" applyNumberFormat="1" applyFont="1" applyFill="1" applyBorder="1" applyAlignment="1" applyProtection="1">
      <alignment horizontal="right" vertical="center" wrapText="1" indent="1"/>
    </xf>
    <xf numFmtId="0" fontId="71" fillId="0" borderId="4" xfId="0" applyFont="1" applyFill="1" applyBorder="1" applyAlignment="1" applyProtection="1">
      <alignment horizontal="right" vertical="center" wrapText="1" indent="1"/>
      <protection locked="0"/>
    </xf>
    <xf numFmtId="0" fontId="71" fillId="0" borderId="2" xfId="0" applyFont="1" applyFill="1" applyBorder="1" applyAlignment="1" applyProtection="1">
      <alignment horizontal="right" vertical="center" wrapText="1" indent="1"/>
      <protection locked="0"/>
    </xf>
    <xf numFmtId="3" fontId="7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4" applyNumberFormat="1" applyFont="1" applyFill="1" applyBorder="1" applyAlignment="1" applyProtection="1">
      <alignment horizontal="right" vertical="center" wrapText="1" indent="1"/>
    </xf>
    <xf numFmtId="3" fontId="7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7" xfId="0" applyFont="1" applyFill="1" applyBorder="1" applyAlignment="1" applyProtection="1">
      <alignment horizontal="right" vertical="center" wrapText="1" indent="1"/>
      <protection locked="0"/>
    </xf>
    <xf numFmtId="164" fontId="50" fillId="0" borderId="16" xfId="0" applyNumberFormat="1" applyFont="1" applyFill="1" applyBorder="1" applyAlignment="1" applyProtection="1">
      <alignment horizontal="right" vertical="center" wrapText="1" indent="1"/>
    </xf>
    <xf numFmtId="3" fontId="50" fillId="0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50" fillId="0" borderId="16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/>
    <xf numFmtId="164" fontId="50" fillId="0" borderId="23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indent="1"/>
    </xf>
    <xf numFmtId="164" fontId="71" fillId="0" borderId="23" xfId="0" applyNumberFormat="1" applyFont="1" applyFill="1" applyBorder="1" applyAlignment="1" applyProtection="1">
      <alignment horizontal="right" vertical="center" wrapText="1" indent="1"/>
    </xf>
    <xf numFmtId="3" fontId="72" fillId="0" borderId="23" xfId="0" applyNumberFormat="1" applyFont="1" applyFill="1" applyBorder="1" applyAlignment="1" applyProtection="1">
      <alignment horizontal="right" vertical="center" wrapText="1" indent="1"/>
    </xf>
    <xf numFmtId="164" fontId="72" fillId="0" borderId="23" xfId="0" applyNumberFormat="1" applyFont="1" applyFill="1" applyBorder="1" applyAlignment="1" applyProtection="1">
      <alignment horizontal="right" vertical="center" wrapText="1" indent="1"/>
    </xf>
    <xf numFmtId="0" fontId="71" fillId="0" borderId="23" xfId="0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>
      <alignment vertical="center" wrapText="1"/>
    </xf>
    <xf numFmtId="164" fontId="12" fillId="0" borderId="0" xfId="4" applyNumberFormat="1" applyFill="1"/>
    <xf numFmtId="164" fontId="1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22" fillId="10" borderId="4" xfId="5" applyFont="1" applyFill="1" applyBorder="1" applyAlignment="1" applyProtection="1">
      <alignment horizontal="left" vertical="center" indent="1"/>
    </xf>
    <xf numFmtId="164" fontId="22" fillId="10" borderId="4" xfId="5" applyNumberFormat="1" applyFont="1" applyFill="1" applyBorder="1" applyAlignment="1" applyProtection="1">
      <alignment vertical="center"/>
      <protection locked="0"/>
    </xf>
    <xf numFmtId="164" fontId="22" fillId="10" borderId="31" xfId="5" applyNumberFormat="1" applyFont="1" applyFill="1" applyBorder="1" applyAlignment="1" applyProtection="1">
      <alignment vertical="center"/>
    </xf>
    <xf numFmtId="0" fontId="22" fillId="10" borderId="2" xfId="5" applyFont="1" applyFill="1" applyBorder="1" applyAlignment="1" applyProtection="1">
      <alignment horizontal="left" vertical="center" wrapText="1" indent="1"/>
    </xf>
    <xf numFmtId="164" fontId="22" fillId="10" borderId="2" xfId="5" applyNumberFormat="1" applyFont="1" applyFill="1" applyBorder="1" applyAlignment="1" applyProtection="1">
      <alignment vertical="center"/>
      <protection locked="0"/>
    </xf>
    <xf numFmtId="164" fontId="22" fillId="10" borderId="19" xfId="5" applyNumberFormat="1" applyFont="1" applyFill="1" applyBorder="1" applyAlignment="1" applyProtection="1">
      <alignment vertical="center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9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3" fontId="72" fillId="0" borderId="19" xfId="0" applyNumberFormat="1" applyFont="1" applyFill="1" applyBorder="1" applyAlignment="1">
      <alignment horizontal="right" vertical="center"/>
    </xf>
    <xf numFmtId="3" fontId="81" fillId="0" borderId="21" xfId="0" applyNumberFormat="1" applyFont="1" applyFill="1" applyBorder="1" applyAlignment="1">
      <alignment horizontal="right" vertical="center"/>
    </xf>
    <xf numFmtId="3" fontId="93" fillId="0" borderId="19" xfId="0" applyNumberFormat="1" applyFont="1" applyFill="1" applyBorder="1" applyAlignment="1">
      <alignment horizontal="right" vertical="center"/>
    </xf>
    <xf numFmtId="3" fontId="93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vertical="center"/>
    </xf>
    <xf numFmtId="3" fontId="50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 wrapText="1"/>
    </xf>
    <xf numFmtId="0" fontId="71" fillId="0" borderId="63" xfId="0" applyFont="1" applyBorder="1" applyAlignment="1">
      <alignment horizontal="justify" vertical="center" wrapText="1"/>
    </xf>
    <xf numFmtId="3" fontId="71" fillId="0" borderId="21" xfId="0" applyNumberFormat="1" applyFont="1" applyBorder="1" applyAlignment="1">
      <alignment horizontal="right" vertical="center"/>
    </xf>
    <xf numFmtId="3" fontId="71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wrapText="1"/>
    </xf>
    <xf numFmtId="49" fontId="80" fillId="0" borderId="0" xfId="0" applyNumberFormat="1" applyFont="1"/>
    <xf numFmtId="49" fontId="71" fillId="0" borderId="2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right" vertical="center" wrapText="1"/>
    </xf>
    <xf numFmtId="49" fontId="71" fillId="0" borderId="2" xfId="0" applyNumberFormat="1" applyFont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center" vertical="center" wrapText="1"/>
    </xf>
    <xf numFmtId="49" fontId="92" fillId="0" borderId="2" xfId="0" applyNumberFormat="1" applyFont="1" applyBorder="1" applyAlignment="1">
      <alignment horizontal="right" vertical="center" wrapText="1"/>
    </xf>
    <xf numFmtId="49" fontId="92" fillId="0" borderId="2" xfId="0" applyNumberFormat="1" applyFont="1" applyBorder="1" applyAlignment="1">
      <alignment vertical="center" wrapText="1"/>
    </xf>
    <xf numFmtId="49" fontId="92" fillId="0" borderId="32" xfId="0" applyNumberFormat="1" applyFont="1" applyBorder="1" applyAlignment="1">
      <alignment vertical="center" wrapText="1"/>
    </xf>
    <xf numFmtId="49" fontId="80" fillId="0" borderId="2" xfId="0" applyNumberFormat="1" applyFont="1" applyBorder="1" applyAlignment="1">
      <alignment horizontal="center" vertical="center" wrapText="1"/>
    </xf>
    <xf numFmtId="49" fontId="80" fillId="0" borderId="7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49" fontId="81" fillId="0" borderId="0" xfId="0" applyNumberFormat="1" applyFont="1" applyBorder="1" applyAlignment="1">
      <alignment horizontal="left" vertical="center" wrapText="1"/>
    </xf>
    <xf numFmtId="49" fontId="8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8" fillId="0" borderId="0" xfId="0" applyFont="1" applyFill="1"/>
    <xf numFmtId="49" fontId="50" fillId="0" borderId="2" xfId="0" applyNumberFormat="1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99" fillId="0" borderId="2" xfId="0" applyFont="1" applyBorder="1" applyAlignment="1">
      <alignment horizontal="left" vertical="center" wrapText="1" indent="3"/>
    </xf>
    <xf numFmtId="3" fontId="99" fillId="0" borderId="19" xfId="0" applyNumberFormat="1" applyFont="1" applyBorder="1" applyAlignment="1">
      <alignment horizontal="right" vertical="center"/>
    </xf>
    <xf numFmtId="3" fontId="99" fillId="0" borderId="19" xfId="0" applyNumberFormat="1" applyFont="1" applyFill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64" fontId="71" fillId="0" borderId="2" xfId="6" applyNumberFormat="1" applyFont="1" applyFill="1" applyBorder="1" applyAlignment="1">
      <alignment vertical="center" wrapText="1"/>
    </xf>
    <xf numFmtId="0" fontId="71" fillId="0" borderId="2" xfId="8" applyFont="1" applyFill="1" applyBorder="1" applyAlignment="1">
      <alignment vertical="center" wrapText="1"/>
    </xf>
    <xf numFmtId="0" fontId="71" fillId="0" borderId="2" xfId="7" applyFont="1" applyFill="1" applyBorder="1" applyAlignment="1">
      <alignment vertical="center" wrapText="1"/>
    </xf>
    <xf numFmtId="164" fontId="71" fillId="0" borderId="32" xfId="6" applyNumberFormat="1" applyFont="1" applyFill="1" applyBorder="1" applyAlignment="1">
      <alignment vertical="center" wrapText="1"/>
    </xf>
    <xf numFmtId="164" fontId="71" fillId="0" borderId="4" xfId="6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 wrapText="1"/>
    </xf>
    <xf numFmtId="3" fontId="71" fillId="0" borderId="4" xfId="7" applyNumberFormat="1" applyFont="1" applyFill="1" applyBorder="1" applyAlignment="1">
      <alignment horizontal="right" vertical="center"/>
    </xf>
    <xf numFmtId="3" fontId="71" fillId="0" borderId="2" xfId="7" applyNumberFormat="1" applyFont="1" applyFill="1" applyBorder="1" applyAlignment="1">
      <alignment horizontal="right" vertical="center"/>
    </xf>
    <xf numFmtId="0" fontId="71" fillId="0" borderId="0" xfId="0" applyFont="1" applyAlignment="1"/>
    <xf numFmtId="0" fontId="33" fillId="0" borderId="7" xfId="4" applyFont="1" applyFill="1" applyBorder="1" applyAlignment="1">
      <alignment horizontal="center" vertical="center" wrapText="1"/>
    </xf>
    <xf numFmtId="0" fontId="71" fillId="0" borderId="4" xfId="7" applyFont="1" applyFill="1" applyBorder="1" applyAlignment="1">
      <alignment vertical="center" wrapText="1"/>
    </xf>
    <xf numFmtId="3" fontId="71" fillId="0" borderId="32" xfId="7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1" fillId="0" borderId="4" xfId="0" applyFont="1" applyFill="1" applyBorder="1" applyAlignment="1">
      <alignment vertical="center"/>
    </xf>
    <xf numFmtId="0" fontId="71" fillId="0" borderId="2" xfId="0" applyFont="1" applyFill="1" applyBorder="1" applyAlignment="1">
      <alignment vertical="center"/>
    </xf>
    <xf numFmtId="0" fontId="71" fillId="0" borderId="32" xfId="0" applyFont="1" applyFill="1" applyBorder="1" applyAlignment="1">
      <alignment vertical="center"/>
    </xf>
    <xf numFmtId="164" fontId="71" fillId="0" borderId="7" xfId="6" applyNumberFormat="1" applyFont="1" applyFill="1" applyBorder="1" applyAlignment="1">
      <alignment vertical="center" wrapText="1"/>
    </xf>
    <xf numFmtId="0" fontId="71" fillId="0" borderId="7" xfId="0" applyFont="1" applyFill="1" applyBorder="1" applyAlignment="1">
      <alignment vertical="center"/>
    </xf>
    <xf numFmtId="3" fontId="71" fillId="0" borderId="7" xfId="7" applyNumberFormat="1" applyFont="1" applyFill="1" applyBorder="1" applyAlignment="1">
      <alignment horizontal="right" vertical="center"/>
    </xf>
    <xf numFmtId="164" fontId="50" fillId="0" borderId="16" xfId="6" applyNumberFormat="1" applyFont="1" applyFill="1" applyBorder="1" applyAlignment="1">
      <alignment vertical="center" wrapText="1"/>
    </xf>
    <xf numFmtId="0" fontId="100" fillId="0" borderId="16" xfId="7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/>
    </xf>
    <xf numFmtId="3" fontId="50" fillId="0" borderId="16" xfId="7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100" fillId="0" borderId="0" xfId="0" applyFont="1" applyFill="1" applyAlignment="1">
      <alignment vertical="center"/>
    </xf>
    <xf numFmtId="0" fontId="101" fillId="0" borderId="2" xfId="7" applyFont="1" applyFill="1" applyBorder="1" applyAlignment="1">
      <alignment vertical="center" wrapText="1"/>
    </xf>
    <xf numFmtId="164" fontId="101" fillId="0" borderId="2" xfId="6" applyNumberFormat="1" applyFont="1" applyFill="1" applyBorder="1" applyAlignment="1">
      <alignment vertical="center" wrapText="1"/>
    </xf>
    <xf numFmtId="0" fontId="101" fillId="0" borderId="2" xfId="0" applyFont="1" applyFill="1" applyBorder="1" applyAlignment="1">
      <alignment vertical="center"/>
    </xf>
    <xf numFmtId="3" fontId="101" fillId="0" borderId="2" xfId="7" applyNumberFormat="1" applyFont="1" applyFill="1" applyBorder="1" applyAlignment="1">
      <alignment horizontal="right" vertical="center"/>
    </xf>
    <xf numFmtId="0" fontId="101" fillId="0" borderId="0" xfId="0" applyFont="1" applyFill="1" applyAlignment="1">
      <alignment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3" fontId="71" fillId="0" borderId="51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 wrapText="1"/>
    </xf>
    <xf numFmtId="3" fontId="72" fillId="0" borderId="49" xfId="7" applyNumberFormat="1" applyFont="1" applyFill="1" applyBorder="1" applyAlignment="1">
      <alignment horizontal="left" vertical="center"/>
    </xf>
    <xf numFmtId="3" fontId="50" fillId="0" borderId="38" xfId="7" applyNumberFormat="1" applyFont="1" applyFill="1" applyBorder="1" applyAlignment="1">
      <alignment horizontal="left" vertical="center"/>
    </xf>
    <xf numFmtId="3" fontId="71" fillId="0" borderId="43" xfId="7" applyNumberFormat="1" applyFont="1" applyFill="1" applyBorder="1" applyAlignment="1">
      <alignment horizontal="left" vertical="center"/>
    </xf>
    <xf numFmtId="0" fontId="50" fillId="0" borderId="23" xfId="0" applyFont="1" applyFill="1" applyBorder="1" applyAlignment="1">
      <alignment horizontal="left" vertical="center"/>
    </xf>
    <xf numFmtId="164" fontId="4" fillId="0" borderId="46" xfId="0" applyNumberFormat="1" applyFont="1" applyFill="1" applyBorder="1" applyAlignment="1" applyProtection="1">
      <alignment horizontal="right" vertical="center" wrapText="1" indent="1"/>
    </xf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0" fontId="30" fillId="0" borderId="17" xfId="0" applyFont="1" applyBorder="1" applyAlignment="1" applyProtection="1">
      <alignment horizontal="right" vertical="center" indent="1"/>
    </xf>
    <xf numFmtId="0" fontId="30" fillId="0" borderId="18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3" fontId="30" fillId="0" borderId="59" xfId="0" applyNumberFormat="1" applyFont="1" applyBorder="1" applyAlignment="1" applyProtection="1">
      <alignment horizontal="right" vertical="center" indent="1"/>
      <protection locked="0"/>
    </xf>
    <xf numFmtId="3" fontId="30" fillId="8" borderId="4" xfId="0" applyNumberFormat="1" applyFont="1" applyFill="1" applyBorder="1" applyAlignment="1" applyProtection="1">
      <alignment horizontal="righ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38" xfId="0" applyNumberFormat="1" applyFont="1" applyBorder="1" applyAlignment="1" applyProtection="1">
      <alignment horizontal="right" vertical="center" indent="1"/>
      <protection locked="0"/>
    </xf>
    <xf numFmtId="0" fontId="33" fillId="0" borderId="0" xfId="0" applyFont="1"/>
    <xf numFmtId="3" fontId="71" fillId="0" borderId="0" xfId="0" applyNumberFormat="1" applyFont="1" applyFill="1" applyAlignment="1">
      <alignment vertical="center"/>
    </xf>
    <xf numFmtId="3" fontId="71" fillId="0" borderId="19" xfId="7" applyNumberFormat="1" applyFont="1" applyFill="1" applyBorder="1" applyAlignment="1">
      <alignment horizontal="left" vertical="center"/>
    </xf>
    <xf numFmtId="0" fontId="71" fillId="0" borderId="32" xfId="7" applyFont="1" applyFill="1" applyBorder="1" applyAlignment="1">
      <alignment vertical="center" wrapText="1"/>
    </xf>
    <xf numFmtId="3" fontId="71" fillId="0" borderId="33" xfId="7" applyNumberFormat="1" applyFont="1" applyFill="1" applyBorder="1" applyAlignment="1">
      <alignment horizontal="left" vertical="center"/>
    </xf>
    <xf numFmtId="0" fontId="71" fillId="0" borderId="14" xfId="0" applyFont="1" applyFill="1" applyBorder="1" applyAlignment="1">
      <alignment horizontal="center" vertical="center"/>
    </xf>
    <xf numFmtId="0" fontId="71" fillId="0" borderId="0" xfId="0" applyFont="1" applyFill="1"/>
    <xf numFmtId="49" fontId="71" fillId="0" borderId="5" xfId="7" applyNumberFormat="1" applyFont="1" applyFill="1" applyBorder="1" applyAlignment="1">
      <alignment vertical="center" wrapText="1"/>
    </xf>
    <xf numFmtId="3" fontId="71" fillId="0" borderId="5" xfId="7" applyNumberFormat="1" applyFont="1" applyFill="1" applyBorder="1" applyAlignment="1">
      <alignment horizontal="right" vertical="center"/>
    </xf>
    <xf numFmtId="49" fontId="71" fillId="0" borderId="2" xfId="7" applyNumberFormat="1" applyFont="1" applyFill="1" applyBorder="1" applyAlignment="1">
      <alignment vertical="center" wrapText="1"/>
    </xf>
    <xf numFmtId="3" fontId="71" fillId="0" borderId="0" xfId="0" applyNumberFormat="1" applyFont="1" applyFill="1" applyBorder="1"/>
    <xf numFmtId="3" fontId="71" fillId="0" borderId="29" xfId="7" applyNumberFormat="1" applyFont="1" applyFill="1" applyBorder="1" applyAlignment="1">
      <alignment horizontal="right" vertical="center"/>
    </xf>
    <xf numFmtId="49" fontId="71" fillId="0" borderId="7" xfId="7" applyNumberFormat="1" applyFont="1" applyFill="1" applyBorder="1" applyAlignment="1">
      <alignment vertical="center" wrapText="1"/>
    </xf>
    <xf numFmtId="0" fontId="50" fillId="0" borderId="15" xfId="0" applyFont="1" applyFill="1" applyBorder="1"/>
    <xf numFmtId="3" fontId="50" fillId="0" borderId="23" xfId="0" applyNumberFormat="1" applyFont="1" applyFill="1" applyBorder="1"/>
    <xf numFmtId="0" fontId="50" fillId="0" borderId="15" xfId="7" applyFont="1" applyFill="1" applyBorder="1" applyAlignment="1">
      <alignment horizontal="center" vertical="center" wrapText="1"/>
    </xf>
    <xf numFmtId="0" fontId="50" fillId="0" borderId="23" xfId="7" applyFont="1" applyFill="1" applyBorder="1" applyAlignment="1">
      <alignment horizontal="center" vertical="center" wrapText="1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63" xfId="0" applyNumberFormat="1" applyFont="1" applyFill="1" applyBorder="1" applyAlignment="1" applyProtection="1">
      <alignment vertical="center" wrapText="1"/>
      <protection locked="0"/>
    </xf>
    <xf numFmtId="164" fontId="39" fillId="0" borderId="44" xfId="0" applyNumberFormat="1" applyFont="1" applyFill="1" applyBorder="1" applyAlignment="1" applyProtection="1">
      <alignment vertical="center" wrapText="1"/>
    </xf>
    <xf numFmtId="164" fontId="39" fillId="0" borderId="21" xfId="0" applyNumberFormat="1" applyFont="1" applyFill="1" applyBorder="1" applyAlignment="1" applyProtection="1">
      <alignment vertical="center" wrapText="1"/>
    </xf>
    <xf numFmtId="164" fontId="71" fillId="0" borderId="0" xfId="0" applyNumberFormat="1" applyFont="1" applyFill="1" applyAlignment="1" applyProtection="1">
      <alignment horizontal="center" vertical="center" wrapText="1"/>
    </xf>
    <xf numFmtId="164" fontId="71" fillId="0" borderId="2" xfId="0" applyNumberFormat="1" applyFont="1" applyFill="1" applyBorder="1" applyAlignment="1">
      <alignment horizontal="center" vertical="center" wrapText="1"/>
    </xf>
    <xf numFmtId="164" fontId="50" fillId="0" borderId="58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0" xfId="0" applyNumberFormat="1" applyFont="1" applyFill="1" applyAlignment="1">
      <alignment horizontal="left" vertical="center" wrapText="1"/>
    </xf>
    <xf numFmtId="164" fontId="71" fillId="0" borderId="13" xfId="0" applyNumberFormat="1" applyFont="1" applyFill="1" applyBorder="1" applyAlignment="1">
      <alignment horizontal="left" vertical="center" wrapText="1"/>
    </xf>
    <xf numFmtId="164" fontId="71" fillId="0" borderId="9" xfId="0" applyNumberFormat="1" applyFont="1" applyFill="1" applyBorder="1" applyAlignment="1">
      <alignment horizontal="left" vertical="center" wrapText="1"/>
    </xf>
    <xf numFmtId="164" fontId="50" fillId="0" borderId="39" xfId="0" applyNumberFormat="1" applyFont="1" applyFill="1" applyBorder="1" applyAlignment="1">
      <alignment horizontal="left" vertical="center" wrapText="1"/>
    </xf>
    <xf numFmtId="164" fontId="7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horizontal="center" vertical="center" wrapText="1"/>
    </xf>
    <xf numFmtId="49" fontId="33" fillId="0" borderId="16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>
      <alignment horizontal="left" vertical="center" wrapText="1"/>
    </xf>
    <xf numFmtId="164" fontId="50" fillId="0" borderId="49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0" fillId="0" borderId="64" xfId="0" applyNumberFormat="1" applyFill="1" applyBorder="1" applyAlignment="1">
      <alignment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33" fillId="0" borderId="32" xfId="0" applyNumberFormat="1" applyFont="1" applyFill="1" applyBorder="1" applyAlignment="1" applyProtection="1">
      <alignment vertical="center" wrapText="1"/>
    </xf>
    <xf numFmtId="164" fontId="8" fillId="0" borderId="38" xfId="0" applyNumberFormat="1" applyFont="1" applyFill="1" applyBorder="1" applyAlignment="1" applyProtection="1">
      <alignment vertical="center" wrapText="1"/>
    </xf>
    <xf numFmtId="164" fontId="71" fillId="0" borderId="12" xfId="0" applyNumberFormat="1" applyFont="1" applyFill="1" applyBorder="1" applyAlignment="1">
      <alignment horizontal="left" vertical="center" wrapText="1"/>
    </xf>
    <xf numFmtId="164" fontId="71" fillId="0" borderId="7" xfId="0" applyNumberFormat="1" applyFont="1" applyFill="1" applyBorder="1" applyAlignment="1">
      <alignment horizontal="center" vertical="center" wrapText="1"/>
    </xf>
    <xf numFmtId="164" fontId="50" fillId="0" borderId="70" xfId="0" applyNumberFormat="1" applyFont="1" applyFill="1" applyBorder="1" applyAlignment="1">
      <alignment horizontal="left" vertical="center" wrapText="1"/>
    </xf>
    <xf numFmtId="164" fontId="50" fillId="0" borderId="57" xfId="0" applyNumberFormat="1" applyFont="1" applyFill="1" applyBorder="1" applyAlignment="1">
      <alignment horizontal="center" vertical="center" wrapText="1"/>
    </xf>
    <xf numFmtId="164" fontId="0" fillId="0" borderId="76" xfId="0" applyNumberFormat="1" applyFill="1" applyBorder="1" applyAlignment="1">
      <alignment vertical="center" wrapText="1"/>
    </xf>
    <xf numFmtId="164" fontId="33" fillId="0" borderId="22" xfId="0" applyNumberFormat="1" applyFont="1" applyFill="1" applyBorder="1" applyAlignment="1" applyProtection="1">
      <alignment vertical="center" wrapText="1"/>
    </xf>
    <xf numFmtId="164" fontId="33" fillId="0" borderId="19" xfId="0" applyNumberFormat="1" applyFont="1" applyFill="1" applyBorder="1" applyAlignment="1" applyProtection="1">
      <alignment vertical="center" wrapText="1"/>
    </xf>
    <xf numFmtId="164" fontId="0" fillId="0" borderId="78" xfId="0" applyNumberFormat="1" applyFill="1" applyBorder="1" applyAlignment="1">
      <alignment vertical="center" wrapText="1"/>
    </xf>
    <xf numFmtId="164" fontId="33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29" xfId="4" applyFont="1" applyFill="1" applyBorder="1" applyProtection="1">
      <protection locked="0"/>
    </xf>
    <xf numFmtId="166" fontId="15" fillId="0" borderId="56" xfId="1" applyNumberFormat="1" applyFont="1" applyFill="1" applyBorder="1" applyProtection="1">
      <protection locked="0"/>
    </xf>
    <xf numFmtId="166" fontId="97" fillId="0" borderId="20" xfId="1" applyNumberFormat="1" applyFont="1" applyFill="1" applyBorder="1" applyProtection="1">
      <protection locked="0"/>
    </xf>
    <xf numFmtId="0" fontId="71" fillId="0" borderId="88" xfId="0" applyFont="1" applyBorder="1" applyAlignment="1">
      <alignment vertical="top" wrapText="1"/>
    </xf>
    <xf numFmtId="0" fontId="71" fillId="0" borderId="87" xfId="0" applyFont="1" applyBorder="1" applyAlignment="1">
      <alignment vertical="top" wrapText="1"/>
    </xf>
    <xf numFmtId="0" fontId="71" fillId="0" borderId="0" xfId="0" applyFont="1"/>
    <xf numFmtId="0" fontId="50" fillId="0" borderId="0" xfId="0" applyFont="1" applyAlignment="1">
      <alignment horizontal="justify"/>
    </xf>
    <xf numFmtId="167" fontId="71" fillId="0" borderId="0" xfId="0" applyNumberFormat="1" applyFont="1"/>
    <xf numFmtId="4" fontId="71" fillId="0" borderId="0" xfId="0" applyNumberFormat="1" applyFont="1" applyAlignment="1">
      <alignment horizontal="center"/>
    </xf>
    <xf numFmtId="0" fontId="50" fillId="0" borderId="84" xfId="0" applyFont="1" applyBorder="1" applyAlignment="1">
      <alignment horizontal="center" vertical="top" wrapText="1"/>
    </xf>
    <xf numFmtId="0" fontId="50" fillId="0" borderId="85" xfId="0" applyFont="1" applyBorder="1" applyAlignment="1">
      <alignment horizontal="center" vertical="top" wrapText="1"/>
    </xf>
    <xf numFmtId="0" fontId="50" fillId="0" borderId="86" xfId="0" applyFont="1" applyBorder="1" applyAlignment="1">
      <alignment horizontal="center" vertical="top" wrapText="1"/>
    </xf>
    <xf numFmtId="0" fontId="71" fillId="0" borderId="89" xfId="0" applyFont="1" applyBorder="1" applyAlignment="1">
      <alignment horizontal="center" vertical="top" wrapText="1"/>
    </xf>
    <xf numFmtId="0" fontId="71" fillId="0" borderId="88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71" fillId="0" borderId="92" xfId="0" applyFont="1" applyBorder="1" applyAlignment="1">
      <alignment horizontal="center" vertical="top" wrapText="1"/>
    </xf>
    <xf numFmtId="0" fontId="50" fillId="0" borderId="88" xfId="0" applyFont="1" applyBorder="1" applyAlignment="1">
      <alignment horizontal="center" vertical="top" wrapText="1"/>
    </xf>
    <xf numFmtId="0" fontId="50" fillId="0" borderId="0" xfId="0" applyFont="1" applyAlignment="1"/>
    <xf numFmtId="0" fontId="98" fillId="0" borderId="0" xfId="0" applyFont="1" applyAlignment="1"/>
    <xf numFmtId="164" fontId="22" fillId="0" borderId="20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9" xfId="0" applyFont="1" applyFill="1" applyBorder="1" applyAlignment="1" applyProtection="1">
      <alignment horizontal="right" vertical="center" indent="1"/>
    </xf>
    <xf numFmtId="0" fontId="30" fillId="0" borderId="2" xfId="0" applyFont="1" applyFill="1" applyBorder="1" applyAlignment="1" applyProtection="1">
      <alignment horizontal="left" vertical="center" indent="1"/>
      <protection locked="0"/>
    </xf>
    <xf numFmtId="3" fontId="30" fillId="0" borderId="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58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4" xfId="0" applyFont="1" applyFill="1" applyBorder="1" applyAlignment="1" applyProtection="1">
      <alignment horizontal="right" vertical="center" indent="1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81" fillId="0" borderId="9" xfId="0" applyFont="1" applyBorder="1" applyAlignment="1">
      <alignment horizontal="center" vertical="center"/>
    </xf>
    <xf numFmtId="0" fontId="71" fillId="0" borderId="0" xfId="0" applyFont="1" applyFill="1" applyAlignment="1" applyProtection="1">
      <alignment horizontal="center" vertical="top"/>
      <protection locked="0"/>
    </xf>
    <xf numFmtId="0" fontId="8" fillId="0" borderId="44" xfId="0" applyFont="1" applyFill="1" applyBorder="1" applyAlignment="1" applyProtection="1">
      <alignment horizontal="center" vertical="center" wrapText="1"/>
    </xf>
    <xf numFmtId="3" fontId="73" fillId="0" borderId="0" xfId="0" applyNumberFormat="1" applyFont="1" applyFill="1" applyBorder="1" applyAlignment="1">
      <alignment horizontal="right" vertical="center"/>
    </xf>
    <xf numFmtId="164" fontId="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Alignment="1" applyProtection="1"/>
    <xf numFmtId="3" fontId="71" fillId="0" borderId="0" xfId="0" applyNumberFormat="1" applyFont="1" applyFill="1"/>
    <xf numFmtId="164" fontId="91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87" fillId="0" borderId="0" xfId="0" applyFont="1" applyFill="1" applyBorder="1" applyAlignment="1" applyProtection="1">
      <alignment horizontal="right" vertical="center" wrapText="1" indent="1"/>
    </xf>
    <xf numFmtId="0" fontId="87" fillId="0" borderId="0" xfId="0" applyFont="1" applyFill="1" applyBorder="1" applyAlignment="1">
      <alignment vertical="center" wrapText="1"/>
    </xf>
    <xf numFmtId="0" fontId="8" fillId="0" borderId="79" xfId="0" applyFont="1" applyFill="1" applyBorder="1" applyAlignment="1" applyProtection="1">
      <alignment vertical="center"/>
    </xf>
    <xf numFmtId="0" fontId="8" fillId="0" borderId="93" xfId="0" applyFont="1" applyFill="1" applyBorder="1" applyAlignment="1" applyProtection="1">
      <alignment vertical="center"/>
    </xf>
    <xf numFmtId="0" fontId="8" fillId="0" borderId="3" xfId="0" quotePrefix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4" fillId="0" borderId="35" xfId="0" quotePrefix="1" applyFont="1" applyFill="1" applyBorder="1" applyAlignment="1" applyProtection="1">
      <alignment horizontal="right" vertical="center" indent="1"/>
    </xf>
    <xf numFmtId="0" fontId="4" fillId="0" borderId="46" xfId="0" quotePrefix="1" applyFont="1" applyFill="1" applyBorder="1" applyAlignment="1" applyProtection="1">
      <alignment horizontal="right" vertical="center" indent="1"/>
    </xf>
    <xf numFmtId="0" fontId="4" fillId="0" borderId="38" xfId="0" quotePrefix="1" applyFont="1" applyFill="1" applyBorder="1" applyAlignment="1" applyProtection="1">
      <alignment horizontal="right" vertical="center" indent="1"/>
    </xf>
    <xf numFmtId="0" fontId="4" fillId="0" borderId="60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164" fontId="15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85" fillId="0" borderId="0" xfId="0" applyNumberFormat="1" applyFont="1" applyFill="1" applyAlignment="1">
      <alignment horizontal="center" vertical="center" wrapText="1"/>
    </xf>
    <xf numFmtId="164" fontId="87" fillId="0" borderId="0" xfId="0" applyNumberFormat="1" applyFont="1" applyFill="1" applyAlignment="1">
      <alignment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6" xfId="0" applyNumberFormat="1" applyFont="1" applyFill="1" applyBorder="1" applyAlignment="1" applyProtection="1">
      <alignment horizontal="right" vertical="center" wrapText="1" indent="1"/>
    </xf>
    <xf numFmtId="164" fontId="18" fillId="0" borderId="64" xfId="0" applyNumberFormat="1" applyFont="1" applyFill="1" applyBorder="1" applyAlignment="1" applyProtection="1">
      <alignment horizontal="right" vertical="center" wrapText="1" indent="1"/>
    </xf>
    <xf numFmtId="164" fontId="15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3" xfId="0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6" xfId="0" applyNumberFormat="1" applyFont="1" applyFill="1" applyBorder="1" applyAlignment="1" applyProtection="1">
      <alignment horizontal="right" vertical="center" wrapText="1" indent="1"/>
    </xf>
    <xf numFmtId="0" fontId="22" fillId="0" borderId="2" xfId="4" applyFont="1" applyFill="1" applyBorder="1" applyAlignment="1" applyProtection="1">
      <alignment horizontal="left" indent="7"/>
    </xf>
    <xf numFmtId="0" fontId="27" fillId="0" borderId="2" xfId="0" applyFont="1" applyFill="1" applyBorder="1" applyAlignment="1" applyProtection="1">
      <alignment horizontal="left" vertical="center" wrapText="1" indent="6"/>
    </xf>
    <xf numFmtId="0" fontId="22" fillId="0" borderId="4" xfId="4" applyFont="1" applyFill="1" applyBorder="1" applyAlignment="1" applyProtection="1">
      <alignment horizontal="left" vertical="center" wrapText="1" indent="6"/>
    </xf>
    <xf numFmtId="0" fontId="27" fillId="0" borderId="32" xfId="0" applyFont="1" applyFill="1" applyBorder="1" applyAlignment="1" applyProtection="1">
      <alignment horizontal="left" vertical="center" wrapText="1" indent="6"/>
    </xf>
    <xf numFmtId="0" fontId="28" fillId="0" borderId="80" xfId="0" applyFont="1" applyFill="1" applyBorder="1" applyAlignment="1" applyProtection="1">
      <alignment horizontal="left" vertical="center" wrapText="1" indent="1"/>
    </xf>
    <xf numFmtId="0" fontId="27" fillId="0" borderId="77" xfId="0" applyFont="1" applyFill="1" applyBorder="1" applyAlignment="1" applyProtection="1">
      <alignment horizontal="left" vertical="center" wrapText="1" indent="1"/>
    </xf>
    <xf numFmtId="0" fontId="27" fillId="0" borderId="40" xfId="0" applyFont="1" applyFill="1" applyBorder="1" applyAlignment="1" applyProtection="1">
      <alignment horizontal="left" vertical="center" wrapText="1" indent="1"/>
    </xf>
    <xf numFmtId="0" fontId="28" fillId="0" borderId="1" xfId="0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35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164" fontId="33" fillId="0" borderId="24" xfId="0" applyNumberFormat="1" applyFont="1" applyFill="1" applyBorder="1" applyAlignment="1" applyProtection="1">
      <alignment horizontal="center"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164" fontId="0" fillId="0" borderId="2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Border="1" applyAlignment="1">
      <alignment vertical="center" wrapText="1"/>
    </xf>
    <xf numFmtId="0" fontId="96" fillId="0" borderId="5" xfId="4" applyFont="1" applyFill="1" applyBorder="1" applyAlignment="1" applyProtection="1">
      <alignment horizontal="center" vertical="center" wrapText="1"/>
    </xf>
    <xf numFmtId="0" fontId="4" fillId="0" borderId="5" xfId="4" applyFont="1" applyFill="1" applyBorder="1" applyAlignment="1" applyProtection="1">
      <alignment horizontal="center" vertical="center" wrapText="1"/>
    </xf>
    <xf numFmtId="0" fontId="96" fillId="0" borderId="22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/>
    </xf>
    <xf numFmtId="0" fontId="97" fillId="0" borderId="16" xfId="4" applyFont="1" applyFill="1" applyBorder="1" applyAlignment="1" applyProtection="1">
      <alignment horizontal="center" vertical="center"/>
    </xf>
    <xf numFmtId="166" fontId="15" fillId="0" borderId="5" xfId="1" applyNumberFormat="1" applyFont="1" applyFill="1" applyBorder="1" applyProtection="1">
      <protection locked="0"/>
    </xf>
    <xf numFmtId="166" fontId="97" fillId="0" borderId="5" xfId="1" applyNumberFormat="1" applyFont="1" applyFill="1" applyBorder="1" applyProtection="1">
      <protection locked="0"/>
    </xf>
    <xf numFmtId="166" fontId="97" fillId="0" borderId="2" xfId="1" applyNumberFormat="1" applyFont="1" applyFill="1" applyBorder="1" applyProtection="1">
      <protection locked="0"/>
    </xf>
    <xf numFmtId="166" fontId="97" fillId="0" borderId="7" xfId="1" applyNumberFormat="1" applyFont="1" applyFill="1" applyBorder="1" applyProtection="1">
      <protection locked="0"/>
    </xf>
    <xf numFmtId="166" fontId="15" fillId="9" borderId="2" xfId="1" applyNumberFormat="1" applyFont="1" applyFill="1" applyBorder="1" applyProtection="1">
      <protection locked="0"/>
    </xf>
    <xf numFmtId="166" fontId="15" fillId="0" borderId="16" xfId="1" applyNumberFormat="1" applyFont="1" applyFill="1" applyBorder="1" applyProtection="1"/>
    <xf numFmtId="166" fontId="97" fillId="0" borderId="16" xfId="1" applyNumberFormat="1" applyFont="1" applyFill="1" applyBorder="1" applyProtection="1"/>
    <xf numFmtId="166" fontId="15" fillId="9" borderId="7" xfId="1" applyNumberFormat="1" applyFont="1" applyFill="1" applyBorder="1" applyProtection="1">
      <protection locked="0"/>
    </xf>
    <xf numFmtId="166" fontId="15" fillId="0" borderId="1" xfId="1" applyNumberFormat="1" applyFont="1" applyFill="1" applyBorder="1" applyProtection="1">
      <protection locked="0"/>
    </xf>
    <xf numFmtId="166" fontId="15" fillId="9" borderId="1" xfId="1" applyNumberFormat="1" applyFont="1" applyFill="1" applyBorder="1" applyProtection="1">
      <protection locked="0"/>
    </xf>
    <xf numFmtId="166" fontId="97" fillId="0" borderId="1" xfId="1" applyNumberFormat="1" applyFont="1" applyFill="1" applyBorder="1" applyProtection="1">
      <protection locked="0"/>
    </xf>
    <xf numFmtId="164" fontId="31" fillId="0" borderId="25" xfId="0" applyNumberFormat="1" applyFont="1" applyFill="1" applyBorder="1" applyAlignment="1" applyProtection="1">
      <alignment horizontal="center" vertical="center" wrapText="1"/>
    </xf>
    <xf numFmtId="164" fontId="31" fillId="0" borderId="15" xfId="0" applyNumberFormat="1" applyFont="1" applyFill="1" applyBorder="1" applyAlignment="1" applyProtection="1">
      <alignment horizontal="center" vertical="center" wrapText="1"/>
    </xf>
    <xf numFmtId="164" fontId="31" fillId="0" borderId="16" xfId="0" applyNumberFormat="1" applyFont="1" applyFill="1" applyBorder="1" applyAlignment="1" applyProtection="1">
      <alignment horizontal="center" vertical="center" wrapText="1"/>
    </xf>
    <xf numFmtId="164" fontId="31" fillId="0" borderId="44" xfId="0" applyNumberFormat="1" applyFont="1" applyFill="1" applyBorder="1" applyAlignment="1" applyProtection="1">
      <alignment horizontal="center" vertical="center" wrapText="1"/>
    </xf>
    <xf numFmtId="164" fontId="31" fillId="0" borderId="35" xfId="0" applyNumberFormat="1" applyFont="1" applyFill="1" applyBorder="1" applyAlignment="1" applyProtection="1">
      <alignment horizontal="center" vertical="center" wrapText="1"/>
    </xf>
    <xf numFmtId="164" fontId="31" fillId="0" borderId="38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0" fontId="4" fillId="0" borderId="46" xfId="4" applyFont="1" applyFill="1" applyBorder="1" applyAlignment="1" applyProtection="1">
      <alignment horizontal="center" vertical="center" wrapText="1"/>
    </xf>
    <xf numFmtId="164" fontId="4" fillId="0" borderId="60" xfId="4" applyNumberFormat="1" applyFont="1" applyFill="1" applyBorder="1" applyAlignment="1" applyProtection="1">
      <alignment horizontal="right" vertical="center" wrapText="1" indent="1"/>
    </xf>
    <xf numFmtId="164" fontId="34" fillId="0" borderId="46" xfId="4" applyNumberFormat="1" applyFont="1" applyFill="1" applyBorder="1" applyAlignment="1" applyProtection="1">
      <alignment horizontal="right" vertical="center" wrapText="1" indent="1"/>
    </xf>
    <xf numFmtId="164" fontId="33" fillId="0" borderId="46" xfId="4" applyNumberFormat="1" applyFont="1" applyFill="1" applyBorder="1" applyAlignment="1" applyProtection="1">
      <alignment horizontal="right" vertical="center" wrapText="1" indent="1"/>
    </xf>
    <xf numFmtId="0" fontId="4" fillId="0" borderId="23" xfId="4" applyFont="1" applyFill="1" applyBorder="1" applyAlignment="1" applyProtection="1">
      <alignment horizontal="center" vertical="center" wrapText="1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</xf>
    <xf numFmtId="164" fontId="18" fillId="0" borderId="19" xfId="4" applyNumberFormat="1" applyFont="1" applyFill="1" applyBorder="1" applyAlignment="1" applyProtection="1">
      <alignment horizontal="right" vertical="center" wrapText="1" indent="1"/>
    </xf>
    <xf numFmtId="164" fontId="34" fillId="0" borderId="23" xfId="4" applyNumberFormat="1" applyFont="1" applyFill="1" applyBorder="1" applyAlignment="1" applyProtection="1">
      <alignment horizontal="righ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</xf>
    <xf numFmtId="164" fontId="15" fillId="0" borderId="76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4" applyNumberFormat="1" applyFont="1" applyFill="1" applyBorder="1" applyAlignment="1" applyProtection="1">
      <alignment horizontal="right" vertical="center" wrapText="1" indent="1"/>
    </xf>
    <xf numFmtId="0" fontId="71" fillId="0" borderId="65" xfId="0" applyFont="1" applyBorder="1" applyAlignment="1" applyProtection="1">
      <alignment horizontal="right" vertical="center" wrapText="1" indent="1"/>
      <protection locked="0"/>
    </xf>
    <xf numFmtId="0" fontId="71" fillId="0" borderId="64" xfId="0" applyFont="1" applyBorder="1" applyAlignment="1" applyProtection="1">
      <alignment horizontal="right" vertical="center" wrapText="1" indent="1"/>
      <protection locked="0"/>
    </xf>
    <xf numFmtId="0" fontId="71" fillId="0" borderId="42" xfId="0" applyFont="1" applyBorder="1" applyAlignment="1" applyProtection="1">
      <alignment horizontal="right" vertical="center" wrapText="1" indent="1"/>
      <protection locked="0"/>
    </xf>
    <xf numFmtId="164" fontId="50" fillId="0" borderId="46" xfId="0" applyNumberFormat="1" applyFont="1" applyBorder="1" applyAlignment="1" applyProtection="1">
      <alignment horizontal="right" vertical="center" wrapText="1" indent="1"/>
    </xf>
    <xf numFmtId="0" fontId="50" fillId="0" borderId="46" xfId="0" quotePrefix="1" applyFont="1" applyBorder="1" applyAlignment="1" applyProtection="1">
      <alignment horizontal="right" vertical="center" wrapText="1" indent="1"/>
      <protection locked="0"/>
    </xf>
    <xf numFmtId="164" fontId="1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0" fontId="71" fillId="0" borderId="31" xfId="0" applyFont="1" applyBorder="1" applyAlignment="1" applyProtection="1">
      <alignment horizontal="right" vertical="center" wrapText="1" indent="1"/>
      <protection locked="0"/>
    </xf>
    <xf numFmtId="0" fontId="71" fillId="0" borderId="19" xfId="0" applyFont="1" applyBorder="1" applyAlignment="1" applyProtection="1">
      <alignment horizontal="right" vertical="center" wrapText="1" indent="1"/>
      <protection locked="0"/>
    </xf>
    <xf numFmtId="0" fontId="71" fillId="0" borderId="21" xfId="0" applyFont="1" applyBorder="1" applyAlignment="1" applyProtection="1">
      <alignment horizontal="right" vertical="center" wrapText="1" indent="1"/>
      <protection locked="0"/>
    </xf>
    <xf numFmtId="0" fontId="50" fillId="0" borderId="23" xfId="0" quotePrefix="1" applyFont="1" applyBorder="1" applyAlignment="1" applyProtection="1">
      <alignment horizontal="right" vertical="center" wrapText="1" indent="1"/>
      <protection locked="0"/>
    </xf>
    <xf numFmtId="164" fontId="1" fillId="0" borderId="7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6" xfId="4" applyNumberFormat="1" applyFont="1" applyFill="1" applyBorder="1" applyAlignment="1" applyProtection="1">
      <alignment horizontal="right" vertical="center" wrapText="1" indent="1"/>
    </xf>
    <xf numFmtId="0" fontId="71" fillId="0" borderId="65" xfId="0" applyFont="1" applyFill="1" applyBorder="1" applyAlignment="1" applyProtection="1">
      <alignment horizontal="right" vertical="center" wrapText="1" indent="1"/>
      <protection locked="0"/>
    </xf>
    <xf numFmtId="0" fontId="71" fillId="0" borderId="64" xfId="0" applyFont="1" applyFill="1" applyBorder="1" applyAlignment="1" applyProtection="1">
      <alignment horizontal="right" vertical="center" wrapText="1" indent="1"/>
      <protection locked="0"/>
    </xf>
    <xf numFmtId="0" fontId="71" fillId="0" borderId="42" xfId="0" applyFont="1" applyFill="1" applyBorder="1" applyAlignment="1" applyProtection="1">
      <alignment horizontal="right" vertical="center" wrapText="1" indent="1"/>
      <protection locked="0"/>
    </xf>
    <xf numFmtId="164" fontId="50" fillId="0" borderId="46" xfId="0" applyNumberFormat="1" applyFont="1" applyFill="1" applyBorder="1" applyAlignment="1" applyProtection="1">
      <alignment horizontal="right" vertical="center" wrapText="1" indent="1"/>
    </xf>
    <xf numFmtId="0" fontId="50" fillId="0" borderId="46" xfId="0" quotePrefix="1" applyFont="1" applyFill="1" applyBorder="1" applyAlignment="1" applyProtection="1">
      <alignment horizontal="right" vertical="center" wrapText="1" indent="1"/>
      <protection locked="0"/>
    </xf>
    <xf numFmtId="164" fontId="9" fillId="0" borderId="23" xfId="4" applyNumberFormat="1" applyFont="1" applyFill="1" applyBorder="1" applyAlignment="1" applyProtection="1">
      <alignment horizontal="right" vertical="center" wrapText="1" indent="1"/>
    </xf>
    <xf numFmtId="0" fontId="71" fillId="0" borderId="31" xfId="0" applyFont="1" applyFill="1" applyBorder="1" applyAlignment="1" applyProtection="1">
      <alignment horizontal="right" vertical="center" wrapText="1" indent="1"/>
      <protection locked="0"/>
    </xf>
    <xf numFmtId="0" fontId="71" fillId="0" borderId="19" xfId="0" applyFont="1" applyFill="1" applyBorder="1" applyAlignment="1" applyProtection="1">
      <alignment horizontal="right" vertical="center" wrapText="1" indent="1"/>
      <protection locked="0"/>
    </xf>
    <xf numFmtId="0" fontId="71" fillId="0" borderId="21" xfId="0" applyFont="1" applyFill="1" applyBorder="1" applyAlignment="1" applyProtection="1">
      <alignment horizontal="right" vertical="center" wrapText="1" indent="1"/>
      <protection locked="0"/>
    </xf>
    <xf numFmtId="0" fontId="50" fillId="0" borderId="23" xfId="0" quotePrefix="1" applyFont="1" applyFill="1" applyBorder="1" applyAlignment="1" applyProtection="1">
      <alignment horizontal="right" vertical="center" wrapText="1" indent="1"/>
      <protection locked="0"/>
    </xf>
    <xf numFmtId="164" fontId="15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ill="1" applyBorder="1"/>
    <xf numFmtId="164" fontId="0" fillId="0" borderId="4" xfId="0" applyNumberFormat="1" applyFill="1" applyBorder="1" applyAlignment="1">
      <alignment vertical="center" wrapText="1"/>
    </xf>
    <xf numFmtId="164" fontId="19" fillId="0" borderId="2" xfId="0" applyNumberFormat="1" applyFont="1" applyFill="1" applyBorder="1" applyAlignment="1" applyProtection="1">
      <alignment vertical="center" wrapText="1"/>
    </xf>
    <xf numFmtId="164" fontId="71" fillId="0" borderId="14" xfId="0" applyNumberFormat="1" applyFont="1" applyFill="1" applyBorder="1" applyAlignment="1">
      <alignment horizontal="left" vertical="center" wrapText="1"/>
    </xf>
    <xf numFmtId="164" fontId="71" fillId="0" borderId="32" xfId="0" applyNumberFormat="1" applyFont="1" applyFill="1" applyBorder="1" applyAlignment="1">
      <alignment horizontal="center" vertical="center" wrapText="1"/>
    </xf>
    <xf numFmtId="164" fontId="0" fillId="0" borderId="32" xfId="0" applyNumberFormat="1" applyFill="1" applyBorder="1" applyAlignment="1">
      <alignment vertical="center" wrapText="1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vertical="center" wrapText="1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49" fontId="0" fillId="0" borderId="7" xfId="0" applyNumberForma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49" fontId="0" fillId="0" borderId="32" xfId="0" applyNumberFormat="1" applyFill="1" applyBorder="1" applyAlignment="1" applyProtection="1">
      <alignment horizontal="center" vertical="center" wrapText="1"/>
      <protection locked="0"/>
    </xf>
    <xf numFmtId="164" fontId="50" fillId="0" borderId="0" xfId="0" applyNumberFormat="1" applyFont="1" applyFill="1" applyAlignment="1">
      <alignment horizontal="left" vertical="center" wrapText="1"/>
    </xf>
    <xf numFmtId="164" fontId="50" fillId="0" borderId="45" xfId="0" applyNumberFormat="1" applyFont="1" applyFill="1" applyBorder="1" applyAlignment="1">
      <alignment horizontal="left" vertical="center" wrapText="1"/>
    </xf>
    <xf numFmtId="164" fontId="50" fillId="0" borderId="38" xfId="0" applyNumberFormat="1" applyFont="1" applyFill="1" applyBorder="1" applyAlignment="1">
      <alignment horizontal="center" vertical="center" wrapText="1"/>
    </xf>
    <xf numFmtId="164" fontId="0" fillId="0" borderId="46" xfId="0" applyNumberFormat="1" applyFill="1" applyBorder="1" applyAlignment="1">
      <alignment vertical="center" wrapText="1"/>
    </xf>
    <xf numFmtId="49" fontId="33" fillId="2" borderId="16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vertical="center" wrapText="1"/>
    </xf>
    <xf numFmtId="164" fontId="33" fillId="0" borderId="23" xfId="0" applyNumberFormat="1" applyFont="1" applyFill="1" applyBorder="1" applyAlignment="1" applyProtection="1">
      <alignment vertical="center" wrapText="1"/>
    </xf>
    <xf numFmtId="0" fontId="50" fillId="0" borderId="81" xfId="0" applyFont="1" applyBorder="1" applyAlignment="1">
      <alignment horizontal="center" vertical="top" wrapText="1"/>
    </xf>
    <xf numFmtId="0" fontId="50" fillId="0" borderId="82" xfId="0" applyFont="1" applyBorder="1" applyAlignment="1">
      <alignment horizontal="center" vertical="top" wrapText="1"/>
    </xf>
    <xf numFmtId="0" fontId="50" fillId="0" borderId="83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71" fillId="0" borderId="0" xfId="0" applyFont="1" applyAlignment="1">
      <alignment horizontal="right"/>
    </xf>
    <xf numFmtId="0" fontId="71" fillId="0" borderId="91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71" fillId="0" borderId="90" xfId="0" applyFont="1" applyBorder="1" applyAlignment="1">
      <alignment horizontal="center" vertical="top" wrapText="1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1" fillId="0" borderId="73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Alignment="1" applyProtection="1">
      <alignment horizontal="center" textRotation="180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50" fillId="0" borderId="35" xfId="0" applyNumberFormat="1" applyFont="1" applyFill="1" applyBorder="1" applyAlignment="1" applyProtection="1">
      <alignment horizontal="center" vertical="center" wrapText="1"/>
    </xf>
    <xf numFmtId="164" fontId="50" fillId="0" borderId="44" xfId="0" applyNumberFormat="1" applyFont="1" applyFill="1" applyBorder="1" applyAlignment="1" applyProtection="1">
      <alignment horizontal="center" vertical="center" wrapText="1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6" fillId="0" borderId="37" xfId="0" applyNumberFormat="1" applyFont="1" applyFill="1" applyBorder="1" applyAlignment="1" applyProtection="1">
      <alignment horizontal="center" wrapText="1"/>
    </xf>
    <xf numFmtId="164" fontId="18" fillId="0" borderId="37" xfId="0" applyNumberFormat="1" applyFont="1" applyFill="1" applyBorder="1" applyAlignment="1" applyProtection="1">
      <alignment horizontal="center" wrapText="1"/>
    </xf>
    <xf numFmtId="0" fontId="71" fillId="0" borderId="0" xfId="0" applyFont="1" applyFill="1" applyAlignment="1" applyProtection="1">
      <alignment horizontal="center" vertical="top"/>
      <protection locked="0"/>
    </xf>
    <xf numFmtId="0" fontId="50" fillId="0" borderId="0" xfId="0" applyFont="1" applyFill="1" applyAlignment="1">
      <alignment horizontal="center"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7" xfId="0" applyFont="1" applyFill="1" applyBorder="1" applyAlignment="1" applyProtection="1">
      <alignment horizontal="center" vertical="center" wrapText="1"/>
    </xf>
    <xf numFmtId="0" fontId="43" fillId="0" borderId="37" xfId="0" applyFont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7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98" fillId="0" borderId="0" xfId="0" applyNumberFormat="1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3" fontId="98" fillId="0" borderId="0" xfId="0" applyNumberFormat="1" applyFont="1" applyAlignment="1">
      <alignment horizontal="center"/>
    </xf>
    <xf numFmtId="0" fontId="24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34" fillId="0" borderId="0" xfId="5" applyFont="1" applyFill="1" applyAlignment="1" applyProtection="1">
      <alignment horizontal="right"/>
      <protection locked="0"/>
    </xf>
    <xf numFmtId="0" fontId="74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81" fillId="0" borderId="78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center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1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81" fillId="0" borderId="77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7" xfId="0" applyFont="1" applyBorder="1" applyAlignment="1">
      <alignment horizontal="left" vertical="center" wrapText="1"/>
    </xf>
    <xf numFmtId="0" fontId="81" fillId="0" borderId="70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81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74" fillId="0" borderId="77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70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77" xfId="0" applyFont="1" applyFill="1" applyBorder="1" applyAlignment="1">
      <alignment horizontal="left" vertical="center" wrapText="1"/>
    </xf>
    <xf numFmtId="0" fontId="74" fillId="0" borderId="6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 2" xfId="7"/>
    <cellStyle name="Normál_2001 évi terv" xfId="6"/>
    <cellStyle name="Normál_Költségvetés végleges táblái 2006 02 04 új versio" xfId="8"/>
    <cellStyle name="Normál_KVRENMUNKA" xfId="4"/>
    <cellStyle name="Normál_SEGEDLETEK" xf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500" customWidth="1"/>
    <col min="2" max="16384" width="9.33203125" style="500"/>
  </cols>
  <sheetData>
    <row r="1" spans="1:1" s="499" customFormat="1" ht="15" x14ac:dyDescent="0.25">
      <c r="A1" s="499" t="s">
        <v>417</v>
      </c>
    </row>
    <row r="2" spans="1:1" s="499" customFormat="1" ht="15" x14ac:dyDescent="0.25">
      <c r="A2" s="499" t="s">
        <v>418</v>
      </c>
    </row>
    <row r="3" spans="1:1" s="499" customFormat="1" ht="15" x14ac:dyDescent="0.25">
      <c r="A3" s="499" t="s">
        <v>419</v>
      </c>
    </row>
    <row r="4" spans="1:1" s="499" customFormat="1" ht="15" x14ac:dyDescent="0.25">
      <c r="A4" s="499" t="s">
        <v>420</v>
      </c>
    </row>
    <row r="5" spans="1:1" s="499" customFormat="1" ht="15" x14ac:dyDescent="0.25">
      <c r="A5" s="499" t="s">
        <v>421</v>
      </c>
    </row>
    <row r="6" spans="1:1" s="499" customFormat="1" ht="15" x14ac:dyDescent="0.25">
      <c r="A6" s="499" t="s">
        <v>422</v>
      </c>
    </row>
    <row r="7" spans="1:1" s="499" customFormat="1" ht="15" x14ac:dyDescent="0.25">
      <c r="A7" s="499" t="s">
        <v>423</v>
      </c>
    </row>
    <row r="8" spans="1:1" s="499" customFormat="1" ht="15" x14ac:dyDescent="0.25">
      <c r="A8" s="499" t="s">
        <v>424</v>
      </c>
    </row>
    <row r="9" spans="1:1" s="499" customFormat="1" ht="15" x14ac:dyDescent="0.25">
      <c r="A9" s="499" t="s">
        <v>425</v>
      </c>
    </row>
    <row r="10" spans="1:1" s="499" customFormat="1" ht="15" x14ac:dyDescent="0.25">
      <c r="A10" s="499" t="s">
        <v>426</v>
      </c>
    </row>
    <row r="11" spans="1:1" s="499" customFormat="1" ht="15" x14ac:dyDescent="0.25">
      <c r="A11" s="499" t="s">
        <v>427</v>
      </c>
    </row>
    <row r="12" spans="1:1" s="499" customFormat="1" ht="15" x14ac:dyDescent="0.25">
      <c r="A12" s="499" t="s">
        <v>428</v>
      </c>
    </row>
    <row r="13" spans="1:1" s="499" customFormat="1" ht="15" x14ac:dyDescent="0.25">
      <c r="A13" s="499" t="s">
        <v>429</v>
      </c>
    </row>
    <row r="14" spans="1:1" s="499" customFormat="1" ht="15" x14ac:dyDescent="0.25">
      <c r="A14" s="499" t="s">
        <v>430</v>
      </c>
    </row>
    <row r="15" spans="1:1" s="499" customFormat="1" ht="15" x14ac:dyDescent="0.25">
      <c r="A15" s="499" t="s">
        <v>431</v>
      </c>
    </row>
    <row r="16" spans="1:1" s="499" customFormat="1" ht="15" x14ac:dyDescent="0.25">
      <c r="A16" s="499" t="s">
        <v>432</v>
      </c>
    </row>
    <row r="17" spans="1:1" s="499" customFormat="1" ht="15" x14ac:dyDescent="0.25">
      <c r="A17" s="499" t="s">
        <v>433</v>
      </c>
    </row>
    <row r="18" spans="1:1" s="499" customFormat="1" ht="15" x14ac:dyDescent="0.25">
      <c r="A18" s="499" t="s">
        <v>434</v>
      </c>
    </row>
    <row r="19" spans="1:1" s="499" customFormat="1" ht="15" x14ac:dyDescent="0.25">
      <c r="A19" s="499" t="s">
        <v>435</v>
      </c>
    </row>
    <row r="20" spans="1:1" s="499" customFormat="1" ht="15" x14ac:dyDescent="0.25">
      <c r="A20" s="499" t="s">
        <v>436</v>
      </c>
    </row>
    <row r="21" spans="1:1" s="499" customFormat="1" ht="15" x14ac:dyDescent="0.25">
      <c r="A21" s="499" t="s">
        <v>437</v>
      </c>
    </row>
    <row r="22" spans="1:1" s="499" customFormat="1" ht="15" x14ac:dyDescent="0.25">
      <c r="A22" s="499" t="s">
        <v>438</v>
      </c>
    </row>
    <row r="23" spans="1:1" s="499" customFormat="1" ht="15" x14ac:dyDescent="0.25">
      <c r="A23" s="499" t="s">
        <v>439</v>
      </c>
    </row>
    <row r="24" spans="1:1" s="499" customFormat="1" ht="15" x14ac:dyDescent="0.25">
      <c r="A24" s="499" t="s">
        <v>440</v>
      </c>
    </row>
    <row r="25" spans="1:1" s="499" customFormat="1" ht="15" x14ac:dyDescent="0.25">
      <c r="A25" s="499" t="s">
        <v>441</v>
      </c>
    </row>
    <row r="26" spans="1:1" s="499" customFormat="1" ht="15" x14ac:dyDescent="0.25">
      <c r="A26" s="499" t="s">
        <v>442</v>
      </c>
    </row>
    <row r="27" spans="1:1" s="499" customFormat="1" ht="15" x14ac:dyDescent="0.25">
      <c r="A27" s="499" t="s">
        <v>443</v>
      </c>
    </row>
    <row r="28" spans="1:1" s="499" customFormat="1" ht="15" x14ac:dyDescent="0.25">
      <c r="A28" s="499" t="s">
        <v>444</v>
      </c>
    </row>
    <row r="29" spans="1:1" s="499" customFormat="1" ht="15" x14ac:dyDescent="0.25">
      <c r="A29" s="499" t="s">
        <v>445</v>
      </c>
    </row>
    <row r="30" spans="1:1" s="499" customFormat="1" ht="15" x14ac:dyDescent="0.25">
      <c r="A30" s="499" t="s">
        <v>446</v>
      </c>
    </row>
    <row r="31" spans="1:1" s="499" customFormat="1" ht="15" x14ac:dyDescent="0.25">
      <c r="A31" s="499" t="s">
        <v>447</v>
      </c>
    </row>
    <row r="32" spans="1:1" s="499" customFormat="1" ht="15" x14ac:dyDescent="0.25">
      <c r="A32" s="499" t="s">
        <v>448</v>
      </c>
    </row>
    <row r="33" spans="1:1" s="499" customFormat="1" ht="15" x14ac:dyDescent="0.25">
      <c r="A33" s="499" t="s">
        <v>449</v>
      </c>
    </row>
    <row r="34" spans="1:1" s="499" customFormat="1" ht="15" x14ac:dyDescent="0.25">
      <c r="A34" s="499" t="s">
        <v>450</v>
      </c>
    </row>
    <row r="35" spans="1:1" s="499" customFormat="1" ht="15" x14ac:dyDescent="0.25">
      <c r="A35" s="499" t="s">
        <v>451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7" t="s">
        <v>96</v>
      </c>
      <c r="E1" s="140" t="s">
        <v>103</v>
      </c>
    </row>
    <row r="3" spans="1:5" x14ac:dyDescent="0.2">
      <c r="A3" s="146"/>
      <c r="B3" s="147"/>
      <c r="C3" s="146"/>
      <c r="D3" s="149"/>
      <c r="E3" s="147"/>
    </row>
    <row r="4" spans="1:5" ht="15.75" x14ac:dyDescent="0.25">
      <c r="A4" s="101" t="s">
        <v>398</v>
      </c>
      <c r="B4" s="148"/>
      <c r="C4" s="157"/>
      <c r="D4" s="149"/>
      <c r="E4" s="147"/>
    </row>
    <row r="5" spans="1:5" x14ac:dyDescent="0.2">
      <c r="A5" s="146"/>
      <c r="B5" s="147"/>
      <c r="C5" s="146"/>
      <c r="D5" s="149"/>
      <c r="E5" s="147"/>
    </row>
    <row r="6" spans="1:5" x14ac:dyDescent="0.2">
      <c r="A6" s="146" t="s">
        <v>194</v>
      </c>
      <c r="B6" s="147">
        <f>+'1.1.sz.mell.'!C51</f>
        <v>278106</v>
      </c>
      <c r="C6" s="146" t="s">
        <v>405</v>
      </c>
      <c r="D6" s="149">
        <f>+'2.1.sz.mell  '!C18+'2.2.sz.mell  '!C18</f>
        <v>278106</v>
      </c>
      <c r="E6" s="147">
        <f t="shared" ref="E6:E15" si="0">+B6-D6</f>
        <v>0</v>
      </c>
    </row>
    <row r="7" spans="1:5" x14ac:dyDescent="0.2">
      <c r="A7" s="146" t="s">
        <v>97</v>
      </c>
      <c r="B7" s="147">
        <f>+'1.1.sz.mell.'!C65</f>
        <v>330703</v>
      </c>
      <c r="C7" s="146" t="s">
        <v>406</v>
      </c>
      <c r="D7" s="149">
        <f>+'2.1.sz.mell  '!C28+'2.2.sz.mell  '!C32</f>
        <v>330703</v>
      </c>
      <c r="E7" s="147">
        <f t="shared" si="0"/>
        <v>0</v>
      </c>
    </row>
    <row r="8" spans="1:5" x14ac:dyDescent="0.2">
      <c r="A8" s="146" t="s">
        <v>396</v>
      </c>
      <c r="B8" s="147">
        <f>+'1.1.sz.mell.'!C67</f>
        <v>331044</v>
      </c>
      <c r="C8" s="146" t="s">
        <v>407</v>
      </c>
      <c r="D8" s="149">
        <f>+'2.1.sz.mell  '!C30+'2.2.sz.mell  '!C34</f>
        <v>331044</v>
      </c>
      <c r="E8" s="147">
        <f t="shared" si="0"/>
        <v>0</v>
      </c>
    </row>
    <row r="9" spans="1:5" x14ac:dyDescent="0.2">
      <c r="A9" s="146"/>
      <c r="B9" s="147"/>
      <c r="C9" s="146"/>
      <c r="D9" s="149"/>
      <c r="E9" s="147"/>
    </row>
    <row r="10" spans="1:5" x14ac:dyDescent="0.2">
      <c r="A10" s="146"/>
      <c r="B10" s="147"/>
      <c r="C10" s="146"/>
      <c r="D10" s="149"/>
      <c r="E10" s="147"/>
    </row>
    <row r="11" spans="1:5" ht="15.75" x14ac:dyDescent="0.25">
      <c r="A11" s="101" t="s">
        <v>399</v>
      </c>
      <c r="B11" s="148"/>
      <c r="C11" s="157"/>
      <c r="D11" s="149"/>
      <c r="E11" s="147"/>
    </row>
    <row r="12" spans="1:5" x14ac:dyDescent="0.2">
      <c r="A12" s="146"/>
      <c r="B12" s="147"/>
      <c r="C12" s="146"/>
      <c r="D12" s="149"/>
      <c r="E12" s="147"/>
    </row>
    <row r="13" spans="1:5" x14ac:dyDescent="0.2">
      <c r="A13" s="146" t="s">
        <v>121</v>
      </c>
      <c r="B13" s="147">
        <f>+'1.1.sz.mell.'!C102</f>
        <v>280362</v>
      </c>
      <c r="C13" s="146" t="s">
        <v>408</v>
      </c>
      <c r="D13" s="149">
        <f>+'2.1.sz.mell  '!H18+'2.2.sz.mell  '!H18</f>
        <v>280351</v>
      </c>
      <c r="E13" s="147">
        <f t="shared" si="0"/>
        <v>11</v>
      </c>
    </row>
    <row r="14" spans="1:5" x14ac:dyDescent="0.2">
      <c r="A14" s="146" t="s">
        <v>98</v>
      </c>
      <c r="B14" s="147">
        <f>+'1.1.sz.mell.'!C121</f>
        <v>280362</v>
      </c>
      <c r="C14" s="146" t="s">
        <v>409</v>
      </c>
      <c r="D14" s="149">
        <f>+'2.1.sz.mell  '!H28+'2.2.sz.mell  '!H32</f>
        <v>280362</v>
      </c>
      <c r="E14" s="147">
        <f t="shared" si="0"/>
        <v>0</v>
      </c>
    </row>
    <row r="15" spans="1:5" x14ac:dyDescent="0.2">
      <c r="A15" s="146" t="s">
        <v>397</v>
      </c>
      <c r="B15" s="147">
        <f>+'1.1.sz.mell.'!C123</f>
        <v>286377</v>
      </c>
      <c r="C15" s="146" t="s">
        <v>410</v>
      </c>
      <c r="D15" s="149">
        <f>+'2.1.sz.mell  '!H30+'2.2.sz.mell  '!H34</f>
        <v>286377</v>
      </c>
      <c r="E15" s="147">
        <f t="shared" si="0"/>
        <v>0</v>
      </c>
    </row>
    <row r="16" spans="1:5" x14ac:dyDescent="0.2">
      <c r="A16" s="138"/>
      <c r="B16" s="138"/>
      <c r="C16" s="146"/>
      <c r="D16" s="149"/>
      <c r="E16" s="139"/>
    </row>
    <row r="17" spans="1:5" x14ac:dyDescent="0.2">
      <c r="A17" s="138"/>
      <c r="B17" s="138"/>
      <c r="C17" s="138"/>
      <c r="D17" s="138"/>
      <c r="E17" s="138"/>
    </row>
    <row r="18" spans="1:5" x14ac:dyDescent="0.2">
      <c r="A18" s="138"/>
      <c r="B18" s="138"/>
      <c r="C18" s="138"/>
      <c r="D18" s="138"/>
      <c r="E18" s="138"/>
    </row>
    <row r="19" spans="1:5" x14ac:dyDescent="0.2">
      <c r="A19" s="138"/>
      <c r="B19" s="138"/>
      <c r="C19" s="138"/>
      <c r="D19" s="138"/>
      <c r="E19" s="138"/>
    </row>
  </sheetData>
  <sheetProtection sheet="1"/>
  <phoneticPr fontId="30" type="noConversion"/>
  <conditionalFormatting sqref="E3:E15">
    <cfRule type="cellIs" dxfId="4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view="pageLayout" zoomScaleNormal="120" workbookViewId="0">
      <selection activeCell="C38" sqref="C38"/>
    </sheetView>
  </sheetViews>
  <sheetFormatPr defaultColWidth="9.33203125" defaultRowHeight="15" x14ac:dyDescent="0.25"/>
  <cols>
    <col min="1" max="1" width="5.6640625" style="160" customWidth="1"/>
    <col min="2" max="2" width="43.1640625" style="160" bestFit="1" customWidth="1"/>
    <col min="3" max="6" width="14" style="160" customWidth="1"/>
    <col min="7" max="16384" width="9.33203125" style="160"/>
  </cols>
  <sheetData>
    <row r="1" spans="1:7" ht="33" customHeight="1" x14ac:dyDescent="0.25">
      <c r="A1" s="1331" t="s">
        <v>832</v>
      </c>
      <c r="B1" s="1331"/>
      <c r="C1" s="1331"/>
      <c r="D1" s="1331"/>
      <c r="E1" s="1331"/>
      <c r="F1" s="1331"/>
    </row>
    <row r="2" spans="1:7" ht="15.95" customHeight="1" thickBot="1" x14ac:dyDescent="0.3">
      <c r="A2" s="161"/>
      <c r="B2" s="161"/>
      <c r="C2" s="1332"/>
      <c r="D2" s="1332"/>
      <c r="E2" s="1339" t="s">
        <v>942</v>
      </c>
      <c r="F2" s="1339"/>
      <c r="G2" s="167"/>
    </row>
    <row r="3" spans="1:7" ht="63" customHeight="1" x14ac:dyDescent="0.25">
      <c r="A3" s="1335" t="s">
        <v>901</v>
      </c>
      <c r="B3" s="1337" t="s">
        <v>198</v>
      </c>
      <c r="C3" s="1337" t="s">
        <v>400</v>
      </c>
      <c r="D3" s="1337"/>
      <c r="E3" s="1337"/>
      <c r="F3" s="1333" t="s">
        <v>372</v>
      </c>
    </row>
    <row r="4" spans="1:7" ht="15.75" thickBot="1" x14ac:dyDescent="0.3">
      <c r="A4" s="1336"/>
      <c r="B4" s="1338"/>
      <c r="C4" s="1006" t="s">
        <v>370</v>
      </c>
      <c r="D4" s="1006" t="s">
        <v>371</v>
      </c>
      <c r="E4" s="1006" t="s">
        <v>1143</v>
      </c>
      <c r="F4" s="1334"/>
    </row>
    <row r="5" spans="1:7" ht="15.75" thickBot="1" x14ac:dyDescent="0.3">
      <c r="A5" s="164">
        <v>1</v>
      </c>
      <c r="B5" s="165">
        <v>2</v>
      </c>
      <c r="C5" s="165">
        <v>3</v>
      </c>
      <c r="D5" s="165">
        <v>4</v>
      </c>
      <c r="E5" s="165">
        <v>5</v>
      </c>
      <c r="F5" s="166">
        <v>6</v>
      </c>
    </row>
    <row r="6" spans="1:7" x14ac:dyDescent="0.25">
      <c r="A6" s="163" t="s">
        <v>903</v>
      </c>
      <c r="B6" s="192"/>
      <c r="C6" s="193"/>
      <c r="D6" s="193"/>
      <c r="E6" s="193"/>
      <c r="F6" s="170">
        <f>SUM(C6:E6)</f>
        <v>0</v>
      </c>
    </row>
    <row r="7" spans="1:7" x14ac:dyDescent="0.25">
      <c r="A7" s="162" t="s">
        <v>904</v>
      </c>
      <c r="B7" s="194"/>
      <c r="C7" s="195"/>
      <c r="D7" s="195"/>
      <c r="E7" s="195"/>
      <c r="F7" s="171">
        <f>SUM(C7:E7)</f>
        <v>0</v>
      </c>
    </row>
    <row r="8" spans="1:7" x14ac:dyDescent="0.25">
      <c r="A8" s="162" t="s">
        <v>905</v>
      </c>
      <c r="B8" s="194"/>
      <c r="C8" s="195"/>
      <c r="D8" s="195"/>
      <c r="E8" s="195"/>
      <c r="F8" s="171">
        <f>SUM(C8:E8)</f>
        <v>0</v>
      </c>
    </row>
    <row r="9" spans="1:7" x14ac:dyDescent="0.25">
      <c r="A9" s="162" t="s">
        <v>906</v>
      </c>
      <c r="B9" s="194"/>
      <c r="C9" s="195"/>
      <c r="D9" s="195"/>
      <c r="E9" s="195"/>
      <c r="F9" s="171">
        <f>SUM(C9:E9)</f>
        <v>0</v>
      </c>
    </row>
    <row r="10" spans="1:7" ht="15.75" thickBot="1" x14ac:dyDescent="0.3">
      <c r="A10" s="168" t="s">
        <v>907</v>
      </c>
      <c r="B10" s="196"/>
      <c r="C10" s="197"/>
      <c r="D10" s="197"/>
      <c r="E10" s="197"/>
      <c r="F10" s="171">
        <f>SUM(C10:E10)</f>
        <v>0</v>
      </c>
    </row>
    <row r="11" spans="1:7" ht="15.75" thickBot="1" x14ac:dyDescent="0.3">
      <c r="A11" s="164" t="s">
        <v>908</v>
      </c>
      <c r="B11" s="169" t="s">
        <v>200</v>
      </c>
      <c r="C11" s="172">
        <f>SUM(C6:C10)</f>
        <v>0</v>
      </c>
      <c r="D11" s="172">
        <f>SUM(D6:D10)</f>
        <v>0</v>
      </c>
      <c r="E11" s="172">
        <f>SUM(E6:E10)</f>
        <v>0</v>
      </c>
      <c r="F11" s="17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az 1/2015. (II.13.)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2"/>
  <sheetViews>
    <sheetView view="pageLayout" topLeftCell="B1" zoomScaleNormal="120" zoomScaleSheetLayoutView="100" workbookViewId="0">
      <selection activeCell="J13" sqref="J13"/>
    </sheetView>
  </sheetViews>
  <sheetFormatPr defaultColWidth="9.33203125" defaultRowHeight="15" x14ac:dyDescent="0.25"/>
  <cols>
    <col min="1" max="1" width="5.6640625" style="160" customWidth="1"/>
    <col min="2" max="2" width="68.6640625" style="160" customWidth="1"/>
    <col min="3" max="3" width="11.5" style="160" hidden="1" customWidth="1"/>
    <col min="4" max="4" width="11.1640625" style="160" bestFit="1" customWidth="1"/>
    <col min="5" max="5" width="11.1640625" style="160" customWidth="1"/>
    <col min="6" max="6" width="14" style="160" bestFit="1" customWidth="1"/>
    <col min="7" max="16384" width="9.33203125" style="160"/>
  </cols>
  <sheetData>
    <row r="1" spans="1:6" ht="33" customHeight="1" x14ac:dyDescent="0.25">
      <c r="A1" s="1331" t="s">
        <v>574</v>
      </c>
      <c r="B1" s="1331"/>
      <c r="C1" s="1331"/>
      <c r="D1" s="1331"/>
      <c r="E1" s="1331"/>
      <c r="F1" s="1331"/>
    </row>
    <row r="2" spans="1:6" ht="15.95" customHeight="1" thickBot="1" x14ac:dyDescent="0.3">
      <c r="A2" s="161"/>
      <c r="B2" s="161"/>
      <c r="C2" s="174"/>
      <c r="D2" s="174"/>
      <c r="E2" s="174"/>
      <c r="F2" s="174" t="s">
        <v>942</v>
      </c>
    </row>
    <row r="3" spans="1:6" ht="26.25" customHeight="1" thickBot="1" x14ac:dyDescent="0.3">
      <c r="A3" s="198" t="s">
        <v>901</v>
      </c>
      <c r="B3" s="538" t="s">
        <v>195</v>
      </c>
      <c r="C3" s="949" t="s">
        <v>964</v>
      </c>
      <c r="D3" s="943" t="s">
        <v>998</v>
      </c>
      <c r="E3" s="943" t="s">
        <v>999</v>
      </c>
      <c r="F3" s="944" t="s">
        <v>1142</v>
      </c>
    </row>
    <row r="4" spans="1:6" ht="15.75" thickBot="1" x14ac:dyDescent="0.3">
      <c r="A4" s="199">
        <v>1</v>
      </c>
      <c r="B4" s="539">
        <v>2</v>
      </c>
      <c r="C4" s="199">
        <v>3</v>
      </c>
      <c r="D4" s="200">
        <v>4</v>
      </c>
      <c r="E4" s="200">
        <v>4</v>
      </c>
      <c r="F4" s="201">
        <v>5</v>
      </c>
    </row>
    <row r="5" spans="1:6" x14ac:dyDescent="0.25">
      <c r="A5" s="202" t="s">
        <v>903</v>
      </c>
      <c r="B5" s="945" t="s">
        <v>947</v>
      </c>
      <c r="C5" s="950">
        <v>87700</v>
      </c>
      <c r="D5" s="951">
        <f>'9. sz. mell'!F10</f>
        <v>96496</v>
      </c>
      <c r="E5" s="951">
        <v>87700</v>
      </c>
      <c r="F5" s="952">
        <v>87700</v>
      </c>
    </row>
    <row r="6" spans="1:6" ht="24.75" x14ac:dyDescent="0.25">
      <c r="A6" s="203" t="s">
        <v>904</v>
      </c>
      <c r="B6" s="946" t="s">
        <v>373</v>
      </c>
      <c r="C6" s="953">
        <v>414</v>
      </c>
      <c r="D6" s="954">
        <f>'9. sz. mell'!F17</f>
        <v>16098</v>
      </c>
      <c r="E6" s="954">
        <v>16098</v>
      </c>
      <c r="F6" s="955">
        <v>16098</v>
      </c>
    </row>
    <row r="7" spans="1:6" x14ac:dyDescent="0.25">
      <c r="A7" s="203" t="s">
        <v>905</v>
      </c>
      <c r="B7" s="947" t="s">
        <v>201</v>
      </c>
      <c r="C7" s="953">
        <v>2816</v>
      </c>
      <c r="D7" s="956"/>
      <c r="E7" s="956"/>
      <c r="F7" s="955"/>
    </row>
    <row r="8" spans="1:6" ht="24.75" x14ac:dyDescent="0.25">
      <c r="A8" s="203" t="s">
        <v>906</v>
      </c>
      <c r="B8" s="947" t="s">
        <v>375</v>
      </c>
      <c r="C8" s="953">
        <v>0</v>
      </c>
      <c r="D8" s="956"/>
      <c r="E8" s="956"/>
      <c r="F8" s="955">
        <f>'1.1.sz.mell.'!C47</f>
        <v>7184</v>
      </c>
    </row>
    <row r="9" spans="1:6" x14ac:dyDescent="0.25">
      <c r="A9" s="204" t="s">
        <v>907</v>
      </c>
      <c r="B9" s="947" t="s">
        <v>374</v>
      </c>
      <c r="C9" s="953">
        <v>0</v>
      </c>
      <c r="D9" s="956">
        <f>'9. sz. mell'!F12</f>
        <v>1592</v>
      </c>
      <c r="E9" s="956">
        <v>0</v>
      </c>
      <c r="F9" s="955">
        <v>0</v>
      </c>
    </row>
    <row r="10" spans="1:6" ht="15.75" thickBot="1" x14ac:dyDescent="0.3">
      <c r="A10" s="203" t="s">
        <v>908</v>
      </c>
      <c r="B10" s="948" t="s">
        <v>196</v>
      </c>
      <c r="C10" s="957">
        <v>0</v>
      </c>
      <c r="D10" s="958"/>
      <c r="E10" s="958"/>
      <c r="F10" s="959">
        <v>0</v>
      </c>
    </row>
    <row r="11" spans="1:6" ht="15.75" thickBot="1" x14ac:dyDescent="0.3">
      <c r="A11" s="1340" t="s">
        <v>202</v>
      </c>
      <c r="B11" s="1341"/>
      <c r="C11" s="960">
        <v>90930</v>
      </c>
      <c r="D11" s="961">
        <v>88114</v>
      </c>
      <c r="E11" s="961">
        <v>88114</v>
      </c>
      <c r="F11" s="962">
        <f>SUM(F5:F10)</f>
        <v>110982</v>
      </c>
    </row>
    <row r="12" spans="1:6" ht="23.25" customHeight="1" x14ac:dyDescent="0.25">
      <c r="A12" s="1342" t="s">
        <v>239</v>
      </c>
      <c r="B12" s="1342"/>
      <c r="C12" s="1342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az 1/2015. (II.13.)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A32"/>
  <sheetViews>
    <sheetView view="pageLayout" topLeftCell="B1" zoomScaleNormal="120" zoomScaleSheetLayoutView="115" workbookViewId="0">
      <selection activeCell="P3" sqref="P3"/>
    </sheetView>
  </sheetViews>
  <sheetFormatPr defaultColWidth="9.33203125" defaultRowHeight="15" x14ac:dyDescent="0.25"/>
  <cols>
    <col min="1" max="1" width="5.6640625" style="160" customWidth="1"/>
    <col min="2" max="2" width="51.6640625" style="160" customWidth="1"/>
    <col min="3" max="4" width="13.1640625" style="1" hidden="1" customWidth="1"/>
    <col min="5" max="5" width="13.1640625" style="872" customWidth="1"/>
    <col min="6" max="8" width="13.33203125" style="1" hidden="1" customWidth="1"/>
    <col min="9" max="9" width="13.1640625" style="872" customWidth="1"/>
    <col min="10" max="16384" width="9.33203125" style="160"/>
  </cols>
  <sheetData>
    <row r="1" spans="1:27" ht="33" customHeight="1" x14ac:dyDescent="0.25">
      <c r="A1" s="1331" t="s">
        <v>1133</v>
      </c>
      <c r="B1" s="1331"/>
      <c r="C1" s="1331"/>
      <c r="D1" s="1331"/>
      <c r="E1" s="1331"/>
      <c r="F1" s="1331"/>
      <c r="G1" s="1331"/>
      <c r="H1" s="1331"/>
      <c r="I1" s="1331"/>
    </row>
    <row r="2" spans="1:27" ht="15.95" customHeight="1" thickBot="1" x14ac:dyDescent="0.3">
      <c r="A2" s="540"/>
      <c r="B2" s="540"/>
      <c r="C2" s="758"/>
      <c r="D2" s="758"/>
      <c r="E2" s="758"/>
      <c r="F2" s="758"/>
      <c r="G2" s="758"/>
      <c r="I2" s="758" t="s">
        <v>942</v>
      </c>
    </row>
    <row r="3" spans="1:27" ht="39" thickBot="1" x14ac:dyDescent="0.3">
      <c r="A3" s="198" t="s">
        <v>901</v>
      </c>
      <c r="B3" s="538" t="s">
        <v>685</v>
      </c>
      <c r="C3" s="759" t="s">
        <v>1134</v>
      </c>
      <c r="D3" s="639" t="s">
        <v>1135</v>
      </c>
      <c r="E3" s="1215" t="s">
        <v>1204</v>
      </c>
      <c r="F3" s="1216" t="s">
        <v>1136</v>
      </c>
      <c r="G3" s="639" t="s">
        <v>1137</v>
      </c>
      <c r="H3" s="1216" t="s">
        <v>1138</v>
      </c>
      <c r="I3" s="1217" t="s">
        <v>1205</v>
      </c>
    </row>
    <row r="4" spans="1:27" ht="15.75" thickBot="1" x14ac:dyDescent="0.3">
      <c r="A4" s="199">
        <v>1</v>
      </c>
      <c r="B4" s="539">
        <v>2</v>
      </c>
      <c r="C4" s="760">
        <v>3</v>
      </c>
      <c r="D4" s="1218">
        <v>4</v>
      </c>
      <c r="E4" s="1219">
        <v>3</v>
      </c>
      <c r="F4" s="1218">
        <v>6</v>
      </c>
      <c r="G4" s="1218">
        <v>7</v>
      </c>
      <c r="H4" s="1218">
        <v>8</v>
      </c>
      <c r="I4" s="865">
        <v>4</v>
      </c>
    </row>
    <row r="5" spans="1:27" x14ac:dyDescent="0.25">
      <c r="A5" s="202" t="s">
        <v>903</v>
      </c>
      <c r="B5" s="594" t="s">
        <v>680</v>
      </c>
      <c r="C5" s="761">
        <v>2484</v>
      </c>
      <c r="D5" s="1220">
        <v>2974</v>
      </c>
      <c r="E5" s="1221">
        <v>100</v>
      </c>
      <c r="F5" s="1220">
        <f>C5*0.9</f>
        <v>2235.6</v>
      </c>
      <c r="G5" s="1220">
        <f>D5*0.9</f>
        <v>2676.6</v>
      </c>
      <c r="H5" s="1220">
        <f>E5*0.9</f>
        <v>90</v>
      </c>
      <c r="I5" s="866">
        <v>834</v>
      </c>
    </row>
    <row r="6" spans="1:27" x14ac:dyDescent="0.25">
      <c r="A6" s="203" t="s">
        <v>904</v>
      </c>
      <c r="B6" s="595" t="s">
        <v>687</v>
      </c>
      <c r="C6" s="762">
        <v>7546</v>
      </c>
      <c r="D6" s="195">
        <v>4220</v>
      </c>
      <c r="E6" s="1222">
        <v>180</v>
      </c>
      <c r="F6" s="195">
        <f>C6*0.8</f>
        <v>6036.8</v>
      </c>
      <c r="G6" s="195">
        <f>D6*0.8</f>
        <v>3376</v>
      </c>
      <c r="H6" s="193">
        <f>E6*0.9</f>
        <v>162</v>
      </c>
      <c r="I6" s="867">
        <v>576</v>
      </c>
    </row>
    <row r="7" spans="1:27" x14ac:dyDescent="0.25">
      <c r="A7" s="204" t="s">
        <v>905</v>
      </c>
      <c r="B7" s="596" t="s">
        <v>688</v>
      </c>
      <c r="C7" s="763">
        <v>2431</v>
      </c>
      <c r="D7" s="197">
        <v>2221</v>
      </c>
      <c r="E7" s="1223">
        <v>80</v>
      </c>
      <c r="F7" s="197">
        <f>C7*0.9</f>
        <v>2187.9</v>
      </c>
      <c r="G7" s="197">
        <f>D7*0.9</f>
        <v>1998.9</v>
      </c>
      <c r="H7" s="195">
        <f>E7*0.9</f>
        <v>72</v>
      </c>
      <c r="I7" s="868">
        <v>658</v>
      </c>
    </row>
    <row r="8" spans="1:27" x14ac:dyDescent="0.25">
      <c r="A8" s="204" t="s">
        <v>906</v>
      </c>
      <c r="B8" s="596" t="s">
        <v>684</v>
      </c>
      <c r="C8" s="763">
        <v>144</v>
      </c>
      <c r="D8" s="197">
        <v>0</v>
      </c>
      <c r="E8" s="1223">
        <v>30</v>
      </c>
      <c r="F8" s="197"/>
      <c r="G8" s="197"/>
      <c r="H8" s="1224"/>
      <c r="I8" s="868">
        <v>30</v>
      </c>
    </row>
    <row r="9" spans="1:27" x14ac:dyDescent="0.25">
      <c r="A9" s="203" t="s">
        <v>907</v>
      </c>
      <c r="B9" s="596" t="s">
        <v>694</v>
      </c>
      <c r="C9" s="763"/>
      <c r="D9" s="197">
        <v>1937</v>
      </c>
      <c r="E9" s="1223">
        <v>0</v>
      </c>
      <c r="F9" s="197">
        <v>2488</v>
      </c>
      <c r="G9" s="197">
        <v>2100</v>
      </c>
      <c r="H9" s="197"/>
      <c r="I9" s="868">
        <v>0</v>
      </c>
    </row>
    <row r="10" spans="1:27" x14ac:dyDescent="0.25">
      <c r="A10" s="204" t="s">
        <v>908</v>
      </c>
      <c r="B10" s="596" t="s">
        <v>681</v>
      </c>
      <c r="C10" s="763"/>
      <c r="D10" s="197">
        <v>0</v>
      </c>
      <c r="E10" s="1223">
        <v>0</v>
      </c>
      <c r="F10" s="197">
        <v>133</v>
      </c>
      <c r="G10" s="197"/>
      <c r="H10" s="197"/>
      <c r="I10" s="868">
        <v>0</v>
      </c>
    </row>
    <row r="11" spans="1:27" x14ac:dyDescent="0.25">
      <c r="A11" s="204" t="s">
        <v>909</v>
      </c>
      <c r="B11" s="596" t="s">
        <v>682</v>
      </c>
      <c r="C11" s="763">
        <v>390</v>
      </c>
      <c r="D11" s="197">
        <v>190</v>
      </c>
      <c r="E11" s="1223">
        <v>0</v>
      </c>
      <c r="F11" s="197">
        <v>360</v>
      </c>
      <c r="G11" s="197">
        <v>160</v>
      </c>
      <c r="H11" s="197"/>
      <c r="I11" s="868">
        <v>0</v>
      </c>
    </row>
    <row r="12" spans="1:27" ht="15.75" thickBot="1" x14ac:dyDescent="0.3">
      <c r="A12" s="203" t="s">
        <v>910</v>
      </c>
      <c r="B12" s="596"/>
      <c r="C12" s="763"/>
      <c r="D12" s="197"/>
      <c r="E12" s="1223"/>
      <c r="F12" s="197"/>
      <c r="G12" s="197"/>
      <c r="H12" s="197"/>
      <c r="I12" s="868"/>
    </row>
    <row r="13" spans="1:27" ht="17.25" customHeight="1" thickBot="1" x14ac:dyDescent="0.3">
      <c r="A13" s="199"/>
      <c r="B13" s="597" t="s">
        <v>686</v>
      </c>
      <c r="C13" s="764">
        <f t="shared" ref="C13:H13" si="0">SUM(C5:C12)</f>
        <v>12995</v>
      </c>
      <c r="D13" s="1225">
        <f t="shared" si="0"/>
        <v>11542</v>
      </c>
      <c r="E13" s="1226">
        <f t="shared" si="0"/>
        <v>390</v>
      </c>
      <c r="F13" s="1225">
        <f t="shared" si="0"/>
        <v>13441.3</v>
      </c>
      <c r="G13" s="1225">
        <f t="shared" si="0"/>
        <v>10311.5</v>
      </c>
      <c r="H13" s="1225">
        <f t="shared" si="0"/>
        <v>324</v>
      </c>
      <c r="I13" s="869">
        <f t="shared" ref="I13" si="1">SUM(I5:I12)</f>
        <v>2098</v>
      </c>
    </row>
    <row r="15" spans="1:27" ht="15.75" thickBot="1" x14ac:dyDescent="0.3">
      <c r="A15" s="540"/>
      <c r="B15" s="540"/>
      <c r="C15" s="758"/>
      <c r="D15" s="758"/>
      <c r="E15" s="864"/>
      <c r="F15" s="758"/>
      <c r="G15" s="758"/>
      <c r="H15" s="758" t="s">
        <v>942</v>
      </c>
      <c r="I15" s="864"/>
      <c r="J15" s="498"/>
      <c r="K15" s="535"/>
      <c r="L15" s="436"/>
      <c r="M15" s="437"/>
      <c r="N15" s="437"/>
      <c r="O15" s="437"/>
      <c r="P15" s="437"/>
      <c r="Q15" s="437"/>
      <c r="R15" s="498"/>
      <c r="S15" s="498"/>
      <c r="T15" s="498"/>
      <c r="U15" s="535"/>
      <c r="V15" s="498"/>
      <c r="W15" s="498"/>
      <c r="X15" s="498"/>
      <c r="Y15" s="535"/>
      <c r="Z15" s="437"/>
      <c r="AA15" s="437"/>
    </row>
    <row r="16" spans="1:27" ht="39" thickBot="1" x14ac:dyDescent="0.3">
      <c r="A16" s="198" t="s">
        <v>901</v>
      </c>
      <c r="B16" s="538" t="s">
        <v>685</v>
      </c>
      <c r="C16" s="759" t="s">
        <v>1134</v>
      </c>
      <c r="D16" s="639" t="s">
        <v>1135</v>
      </c>
      <c r="E16" s="1215" t="s">
        <v>1204</v>
      </c>
      <c r="F16" s="1216" t="s">
        <v>1136</v>
      </c>
      <c r="G16" s="639" t="s">
        <v>1137</v>
      </c>
      <c r="H16" s="1216" t="s">
        <v>1138</v>
      </c>
      <c r="I16" s="1217" t="s">
        <v>1205</v>
      </c>
      <c r="J16" s="498"/>
      <c r="K16" s="535"/>
      <c r="L16" s="436"/>
      <c r="M16" s="437"/>
      <c r="N16" s="437"/>
      <c r="O16" s="537"/>
      <c r="P16" s="437"/>
      <c r="Q16" s="437"/>
      <c r="R16" s="498"/>
      <c r="S16" s="498"/>
      <c r="T16" s="498"/>
      <c r="U16" s="535"/>
      <c r="V16" s="498"/>
      <c r="W16" s="498"/>
      <c r="X16" s="498"/>
      <c r="Y16" s="535"/>
      <c r="Z16" s="437"/>
      <c r="AA16" s="437"/>
    </row>
    <row r="17" spans="1:9" ht="15.75" thickBot="1" x14ac:dyDescent="0.3">
      <c r="A17" s="199">
        <v>1</v>
      </c>
      <c r="B17" s="539">
        <v>2</v>
      </c>
      <c r="C17" s="760">
        <v>3</v>
      </c>
      <c r="D17" s="1218">
        <v>4</v>
      </c>
      <c r="E17" s="1219">
        <v>3</v>
      </c>
      <c r="F17" s="1218">
        <v>6</v>
      </c>
      <c r="G17" s="1218">
        <v>7</v>
      </c>
      <c r="H17" s="1218">
        <v>8</v>
      </c>
      <c r="I17" s="865">
        <v>4</v>
      </c>
    </row>
    <row r="18" spans="1:9" x14ac:dyDescent="0.25">
      <c r="A18" s="202" t="s">
        <v>903</v>
      </c>
      <c r="B18" s="594" t="s">
        <v>463</v>
      </c>
      <c r="C18" s="761">
        <v>74</v>
      </c>
      <c r="D18" s="1220">
        <v>0</v>
      </c>
      <c r="E18" s="1221">
        <v>0</v>
      </c>
      <c r="F18" s="1220">
        <f>C18*0.9</f>
        <v>66.600000000000009</v>
      </c>
      <c r="G18" s="1220">
        <f>D18*0.9</f>
        <v>0</v>
      </c>
      <c r="H18" s="1220">
        <v>0</v>
      </c>
      <c r="I18" s="866">
        <v>0</v>
      </c>
    </row>
    <row r="19" spans="1:9" x14ac:dyDescent="0.25">
      <c r="A19" s="203" t="s">
        <v>904</v>
      </c>
      <c r="B19" s="595" t="s">
        <v>689</v>
      </c>
      <c r="C19" s="762">
        <v>304</v>
      </c>
      <c r="D19" s="195">
        <v>0</v>
      </c>
      <c r="E19" s="1222">
        <v>0</v>
      </c>
      <c r="F19" s="195">
        <f>C19*0.75</f>
        <v>228</v>
      </c>
      <c r="G19" s="195">
        <f>D19*0.75</f>
        <v>0</v>
      </c>
      <c r="H19" s="195">
        <v>0</v>
      </c>
      <c r="I19" s="867">
        <v>0</v>
      </c>
    </row>
    <row r="20" spans="1:9" x14ac:dyDescent="0.25">
      <c r="A20" s="204" t="s">
        <v>905</v>
      </c>
      <c r="B20" s="596" t="s">
        <v>690</v>
      </c>
      <c r="C20" s="763">
        <v>630</v>
      </c>
      <c r="D20" s="197">
        <v>1200</v>
      </c>
      <c r="E20" s="1223">
        <v>200</v>
      </c>
      <c r="F20" s="197"/>
      <c r="G20" s="197"/>
      <c r="H20" s="1227"/>
      <c r="I20" s="868">
        <v>200</v>
      </c>
    </row>
    <row r="21" spans="1:9" x14ac:dyDescent="0.25">
      <c r="A21" s="204" t="s">
        <v>906</v>
      </c>
      <c r="B21" s="596" t="s">
        <v>691</v>
      </c>
      <c r="C21" s="763">
        <v>513</v>
      </c>
      <c r="D21" s="197">
        <v>410</v>
      </c>
      <c r="E21" s="1223"/>
      <c r="F21" s="197"/>
      <c r="G21" s="197"/>
      <c r="H21" s="1227"/>
      <c r="I21" s="868"/>
    </row>
    <row r="22" spans="1:9" x14ac:dyDescent="0.25">
      <c r="A22" s="204" t="s">
        <v>907</v>
      </c>
      <c r="B22" s="596" t="s">
        <v>979</v>
      </c>
      <c r="C22" s="763"/>
      <c r="D22" s="197">
        <v>0</v>
      </c>
      <c r="E22" s="1223">
        <v>0</v>
      </c>
      <c r="F22" s="197"/>
      <c r="G22" s="197"/>
      <c r="H22" s="1227"/>
      <c r="I22" s="868">
        <v>0</v>
      </c>
    </row>
    <row r="23" spans="1:9" x14ac:dyDescent="0.25">
      <c r="A23" s="204" t="s">
        <v>908</v>
      </c>
      <c r="B23" s="596" t="s">
        <v>692</v>
      </c>
      <c r="C23" s="763">
        <v>60</v>
      </c>
      <c r="D23" s="197">
        <v>60</v>
      </c>
      <c r="E23" s="1223"/>
      <c r="F23" s="197"/>
      <c r="G23" s="197"/>
      <c r="H23" s="1227"/>
      <c r="I23" s="868"/>
    </row>
    <row r="24" spans="1:9" x14ac:dyDescent="0.25">
      <c r="A24" s="204" t="s">
        <v>909</v>
      </c>
      <c r="B24" s="596" t="s">
        <v>693</v>
      </c>
      <c r="C24" s="763">
        <v>161</v>
      </c>
      <c r="D24" s="197">
        <v>270</v>
      </c>
      <c r="E24" s="1223"/>
      <c r="F24" s="197"/>
      <c r="G24" s="197"/>
      <c r="H24" s="1227"/>
      <c r="I24" s="868"/>
    </row>
    <row r="25" spans="1:9" x14ac:dyDescent="0.25">
      <c r="A25" s="204" t="s">
        <v>910</v>
      </c>
      <c r="B25" s="596" t="s">
        <v>1140</v>
      </c>
      <c r="C25" s="763">
        <v>182</v>
      </c>
      <c r="D25" s="197"/>
      <c r="E25" s="1223">
        <v>70</v>
      </c>
      <c r="F25" s="197"/>
      <c r="G25" s="197"/>
      <c r="H25" s="1227"/>
      <c r="I25" s="868">
        <v>70</v>
      </c>
    </row>
    <row r="26" spans="1:9" x14ac:dyDescent="0.25">
      <c r="A26" s="204" t="s">
        <v>911</v>
      </c>
      <c r="B26" s="596" t="s">
        <v>962</v>
      </c>
      <c r="C26" s="763">
        <v>500</v>
      </c>
      <c r="D26" s="197"/>
      <c r="E26" s="1223"/>
      <c r="F26" s="197"/>
      <c r="G26" s="197"/>
      <c r="H26" s="1227"/>
      <c r="I26" s="868"/>
    </row>
    <row r="27" spans="1:9" x14ac:dyDescent="0.25">
      <c r="A27" s="203" t="s">
        <v>912</v>
      </c>
      <c r="B27" s="595" t="s">
        <v>684</v>
      </c>
      <c r="C27" s="762"/>
      <c r="D27" s="195">
        <v>144</v>
      </c>
      <c r="E27" s="1222">
        <v>0</v>
      </c>
      <c r="F27" s="195"/>
      <c r="G27" s="195"/>
      <c r="H27" s="1224"/>
      <c r="I27" s="867">
        <v>0</v>
      </c>
    </row>
    <row r="28" spans="1:9" x14ac:dyDescent="0.25">
      <c r="A28" s="203" t="s">
        <v>913</v>
      </c>
      <c r="B28" s="595" t="s">
        <v>1141</v>
      </c>
      <c r="C28" s="762"/>
      <c r="D28" s="195"/>
      <c r="E28" s="1222">
        <f>9194-270</f>
        <v>8924</v>
      </c>
      <c r="F28" s="1228"/>
      <c r="G28" s="1228"/>
      <c r="H28" s="1229"/>
      <c r="I28" s="867">
        <f>9194-270</f>
        <v>8924</v>
      </c>
    </row>
    <row r="29" spans="1:9" ht="15.75" thickBot="1" x14ac:dyDescent="0.3">
      <c r="A29" s="1113" t="s">
        <v>914</v>
      </c>
      <c r="B29" s="1114" t="s">
        <v>694</v>
      </c>
      <c r="C29" s="1115">
        <v>2100</v>
      </c>
      <c r="D29" s="1228"/>
      <c r="E29" s="1230"/>
      <c r="F29" s="1228"/>
      <c r="G29" s="1228"/>
      <c r="H29" s="1229"/>
      <c r="I29" s="1116"/>
    </row>
    <row r="30" spans="1:9" ht="15.75" thickBot="1" x14ac:dyDescent="0.3">
      <c r="A30" s="199"/>
      <c r="B30" s="597" t="s">
        <v>1139</v>
      </c>
      <c r="C30" s="764">
        <f>SUM(C18:C29)</f>
        <v>4524</v>
      </c>
      <c r="D30" s="1225">
        <v>2084</v>
      </c>
      <c r="E30" s="1226">
        <f>SUM(E18:E28)</f>
        <v>9194</v>
      </c>
      <c r="F30" s="1225">
        <f>SUM(F18:F27)</f>
        <v>294.60000000000002</v>
      </c>
      <c r="G30" s="1225">
        <f>SUM(G18:G27)</f>
        <v>0</v>
      </c>
      <c r="H30" s="1225">
        <f>SUM(H18:H27)</f>
        <v>0</v>
      </c>
      <c r="I30" s="869">
        <f>SUM(I18:I28)</f>
        <v>9194</v>
      </c>
    </row>
    <row r="31" spans="1:9" ht="15.75" thickBot="1" x14ac:dyDescent="0.3">
      <c r="C31" s="768"/>
      <c r="D31" s="768"/>
      <c r="E31" s="870"/>
      <c r="F31" s="768"/>
      <c r="G31" s="768"/>
      <c r="H31" s="768"/>
      <c r="I31" s="870"/>
    </row>
    <row r="32" spans="1:9" ht="15.75" thickBot="1" x14ac:dyDescent="0.3">
      <c r="A32" s="541"/>
      <c r="B32" s="141" t="s">
        <v>936</v>
      </c>
      <c r="C32" s="765">
        <f>C13+C30</f>
        <v>17519</v>
      </c>
      <c r="D32" s="765">
        <v>13747</v>
      </c>
      <c r="E32" s="871">
        <f>E30+E13</f>
        <v>9584</v>
      </c>
      <c r="F32" s="766">
        <f>F30+F13</f>
        <v>13735.9</v>
      </c>
      <c r="G32" s="765">
        <f>G30+G13</f>
        <v>10311.5</v>
      </c>
      <c r="H32" s="767">
        <f>H30+H13</f>
        <v>324</v>
      </c>
      <c r="I32" s="871">
        <f>I30+I13</f>
        <v>11292</v>
      </c>
    </row>
  </sheetData>
  <mergeCells count="1">
    <mergeCell ref="A1:I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orientation="portrait" r:id="rId1"/>
  <headerFooter alignWithMargins="0">
    <oddHeader>&amp;R&amp;"Times New Roman CE,Félkövér"&amp;11 5. melléklet az 1/2015. (II.13.)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26"/>
  <sheetViews>
    <sheetView view="pageLayout" topLeftCell="F1" zoomScaleNormal="100" zoomScaleSheetLayoutView="100" workbookViewId="0">
      <selection activeCell="L21" sqref="L21"/>
    </sheetView>
  </sheetViews>
  <sheetFormatPr defaultColWidth="9.33203125" defaultRowHeight="12.75" x14ac:dyDescent="0.2"/>
  <cols>
    <col min="1" max="1" width="50" style="1078" bestFit="1" customWidth="1"/>
    <col min="2" max="2" width="28.83203125" style="1077" customWidth="1"/>
    <col min="3" max="3" width="17.1640625" style="45" hidden="1" customWidth="1"/>
    <col min="4" max="4" width="17.1640625" style="1112" customWidth="1"/>
    <col min="5" max="5" width="17.1640625" style="826" hidden="1" customWidth="1"/>
    <col min="6" max="6" width="16.83203125" style="826" customWidth="1"/>
    <col min="7" max="7" width="17.1640625" style="45" hidden="1" customWidth="1"/>
    <col min="8" max="8" width="16" style="826" customWidth="1"/>
    <col min="9" max="9" width="12.83203125" style="45" customWidth="1"/>
    <col min="10" max="10" width="13.83203125" style="45" customWidth="1"/>
    <col min="11" max="16384" width="9.33203125" style="45"/>
  </cols>
  <sheetData>
    <row r="1" spans="1:8" ht="24.75" customHeight="1" x14ac:dyDescent="0.2">
      <c r="A1" s="1346" t="s">
        <v>1130</v>
      </c>
      <c r="B1" s="1346"/>
      <c r="C1" s="1346"/>
      <c r="D1" s="1346"/>
      <c r="E1" s="1346"/>
      <c r="F1" s="1346"/>
      <c r="G1" s="1346"/>
      <c r="H1" s="1346"/>
    </row>
    <row r="2" spans="1:8" ht="23.25" customHeight="1" thickBot="1" x14ac:dyDescent="0.3">
      <c r="B2" s="1074"/>
      <c r="C2" s="56"/>
      <c r="D2" s="1106"/>
      <c r="E2" s="729"/>
      <c r="F2" s="1347" t="s">
        <v>1197</v>
      </c>
      <c r="G2" s="1347"/>
      <c r="H2" s="1347"/>
    </row>
    <row r="3" spans="1:8" s="48" customFormat="1" ht="48.75" customHeight="1" thickBot="1" x14ac:dyDescent="0.25">
      <c r="A3" s="1343" t="s">
        <v>14</v>
      </c>
      <c r="B3" s="1344"/>
      <c r="C3" s="207" t="s">
        <v>392</v>
      </c>
      <c r="D3" s="1085" t="s">
        <v>1124</v>
      </c>
      <c r="E3" s="723" t="s">
        <v>965</v>
      </c>
      <c r="F3" s="723" t="s">
        <v>998</v>
      </c>
      <c r="G3" s="53" t="s">
        <v>966</v>
      </c>
      <c r="H3" s="723" t="s">
        <v>1203</v>
      </c>
    </row>
    <row r="4" spans="1:8" s="56" customFormat="1" ht="15" customHeight="1" thickBot="1" x14ac:dyDescent="0.25">
      <c r="A4" s="1345">
        <v>1</v>
      </c>
      <c r="B4" s="1344"/>
      <c r="C4" s="54">
        <v>2</v>
      </c>
      <c r="D4" s="1086" t="s">
        <v>1126</v>
      </c>
      <c r="E4" s="1087">
        <v>4</v>
      </c>
      <c r="F4" s="1087">
        <v>3</v>
      </c>
      <c r="G4" s="55">
        <v>6</v>
      </c>
      <c r="H4" s="1087">
        <v>4</v>
      </c>
    </row>
    <row r="5" spans="1:8" x14ac:dyDescent="0.2">
      <c r="A5" s="1079" t="s">
        <v>1064</v>
      </c>
      <c r="B5" s="1082" t="s">
        <v>1065</v>
      </c>
      <c r="C5" s="1069"/>
      <c r="D5" s="1107" t="s">
        <v>1125</v>
      </c>
      <c r="E5" s="1088">
        <v>0</v>
      </c>
      <c r="F5" s="1088">
        <v>4000000</v>
      </c>
      <c r="G5" s="58">
        <f t="shared" ref="G5:G22" si="0">C5-E5-F5</f>
        <v>-4000000</v>
      </c>
      <c r="H5" s="1088">
        <v>4000000</v>
      </c>
    </row>
    <row r="6" spans="1:8" x14ac:dyDescent="0.2">
      <c r="A6" s="1080" t="s">
        <v>1022</v>
      </c>
      <c r="B6" s="1083" t="s">
        <v>1029</v>
      </c>
      <c r="C6" s="1070"/>
      <c r="D6" s="1107" t="s">
        <v>1125</v>
      </c>
      <c r="E6" s="1088"/>
      <c r="F6" s="1088">
        <v>250000</v>
      </c>
      <c r="G6" s="58">
        <f t="shared" si="0"/>
        <v>-250000</v>
      </c>
      <c r="H6" s="1088">
        <v>250000</v>
      </c>
    </row>
    <row r="7" spans="1:8" x14ac:dyDescent="0.2">
      <c r="A7" s="1080" t="s">
        <v>1066</v>
      </c>
      <c r="B7" s="1083" t="s">
        <v>1065</v>
      </c>
      <c r="C7" s="1070"/>
      <c r="D7" s="1107" t="s">
        <v>1125</v>
      </c>
      <c r="E7" s="1088"/>
      <c r="F7" s="1088">
        <v>2500000</v>
      </c>
      <c r="G7" s="58">
        <f t="shared" si="0"/>
        <v>-2500000</v>
      </c>
      <c r="H7" s="1088">
        <v>2500000</v>
      </c>
    </row>
    <row r="8" spans="1:8" x14ac:dyDescent="0.2">
      <c r="A8" s="1080" t="s">
        <v>1057</v>
      </c>
      <c r="B8" s="1083" t="s">
        <v>1060</v>
      </c>
      <c r="C8" s="1070"/>
      <c r="D8" s="1107" t="s">
        <v>1125</v>
      </c>
      <c r="E8" s="1088"/>
      <c r="F8" s="1088">
        <v>1000000</v>
      </c>
      <c r="G8" s="58">
        <f t="shared" si="0"/>
        <v>-1000000</v>
      </c>
      <c r="H8" s="1088">
        <v>1000000</v>
      </c>
    </row>
    <row r="9" spans="1:8" x14ac:dyDescent="0.2">
      <c r="A9" s="1080" t="s">
        <v>1057</v>
      </c>
      <c r="B9" s="1083" t="s">
        <v>1061</v>
      </c>
      <c r="C9" s="1070"/>
      <c r="D9" s="1107" t="s">
        <v>1125</v>
      </c>
      <c r="E9" s="1088"/>
      <c r="F9" s="1088">
        <v>3900000</v>
      </c>
      <c r="G9" s="58">
        <f t="shared" si="0"/>
        <v>-3900000</v>
      </c>
      <c r="H9" s="1088">
        <v>3900000</v>
      </c>
    </row>
    <row r="10" spans="1:8" s="634" customFormat="1" ht="25.5" x14ac:dyDescent="0.2">
      <c r="A10" s="1080" t="s">
        <v>1062</v>
      </c>
      <c r="B10" s="1083" t="s">
        <v>1063</v>
      </c>
      <c r="C10" s="1070"/>
      <c r="D10" s="1107" t="s">
        <v>1125</v>
      </c>
      <c r="E10" s="1088"/>
      <c r="F10" s="1088">
        <v>100000</v>
      </c>
      <c r="G10" s="58">
        <f t="shared" si="0"/>
        <v>-100000</v>
      </c>
      <c r="H10" s="1088">
        <v>100000</v>
      </c>
    </row>
    <row r="11" spans="1:8" s="634" customFormat="1" x14ac:dyDescent="0.2">
      <c r="A11" s="1080" t="s">
        <v>1032</v>
      </c>
      <c r="B11" s="1083" t="s">
        <v>1033</v>
      </c>
      <c r="C11" s="1070"/>
      <c r="D11" s="1107" t="s">
        <v>1125</v>
      </c>
      <c r="E11" s="1088"/>
      <c r="F11" s="1088">
        <v>300000</v>
      </c>
      <c r="G11" s="58">
        <f t="shared" si="0"/>
        <v>-300000</v>
      </c>
      <c r="H11" s="1088">
        <v>300000</v>
      </c>
    </row>
    <row r="12" spans="1:8" s="634" customFormat="1" x14ac:dyDescent="0.2">
      <c r="A12" s="1080" t="s">
        <v>1051</v>
      </c>
      <c r="B12" s="1083" t="s">
        <v>1054</v>
      </c>
      <c r="C12" s="1070"/>
      <c r="D12" s="1107" t="s">
        <v>1125</v>
      </c>
      <c r="E12" s="1088"/>
      <c r="F12" s="1088">
        <v>100000</v>
      </c>
      <c r="G12" s="58">
        <f t="shared" si="0"/>
        <v>-100000</v>
      </c>
      <c r="H12" s="1088">
        <v>100000</v>
      </c>
    </row>
    <row r="13" spans="1:8" s="634" customFormat="1" x14ac:dyDescent="0.2">
      <c r="A13" s="1080" t="s">
        <v>1051</v>
      </c>
      <c r="B13" s="1083" t="s">
        <v>1056</v>
      </c>
      <c r="C13" s="1070"/>
      <c r="D13" s="1107" t="s">
        <v>1125</v>
      </c>
      <c r="E13" s="1088"/>
      <c r="F13" s="1088">
        <v>100000</v>
      </c>
      <c r="G13" s="58">
        <f t="shared" si="0"/>
        <v>-100000</v>
      </c>
      <c r="H13" s="1088">
        <v>100000</v>
      </c>
    </row>
    <row r="14" spans="1:8" s="634" customFormat="1" x14ac:dyDescent="0.2">
      <c r="A14" s="1080" t="s">
        <v>1103</v>
      </c>
      <c r="B14" s="1083" t="s">
        <v>1069</v>
      </c>
      <c r="C14" s="1070"/>
      <c r="D14" s="1107" t="s">
        <v>1125</v>
      </c>
      <c r="E14" s="1088"/>
      <c r="F14" s="1088">
        <v>250000</v>
      </c>
      <c r="G14" s="58">
        <f t="shared" si="0"/>
        <v>-250000</v>
      </c>
      <c r="H14" s="1088">
        <v>250000</v>
      </c>
    </row>
    <row r="15" spans="1:8" s="634" customFormat="1" x14ac:dyDescent="0.2">
      <c r="A15" s="1080" t="s">
        <v>1103</v>
      </c>
      <c r="B15" s="1083" t="s">
        <v>1071</v>
      </c>
      <c r="C15" s="1070"/>
      <c r="D15" s="1107" t="s">
        <v>1125</v>
      </c>
      <c r="E15" s="1088"/>
      <c r="F15" s="1088">
        <v>1205000</v>
      </c>
      <c r="G15" s="58">
        <f t="shared" si="0"/>
        <v>-1205000</v>
      </c>
      <c r="H15" s="1088">
        <v>1205000</v>
      </c>
    </row>
    <row r="16" spans="1:8" s="634" customFormat="1" x14ac:dyDescent="0.2">
      <c r="A16" s="1080" t="s">
        <v>1103</v>
      </c>
      <c r="B16" s="1083" t="s">
        <v>1072</v>
      </c>
      <c r="C16" s="1070"/>
      <c r="D16" s="1107" t="s">
        <v>1125</v>
      </c>
      <c r="E16" s="1088"/>
      <c r="F16" s="1088">
        <v>723000</v>
      </c>
      <c r="G16" s="58">
        <f t="shared" si="0"/>
        <v>-723000</v>
      </c>
      <c r="H16" s="1088">
        <v>723000</v>
      </c>
    </row>
    <row r="17" spans="1:8" s="634" customFormat="1" x14ac:dyDescent="0.2">
      <c r="A17" s="1080" t="s">
        <v>1103</v>
      </c>
      <c r="B17" s="1083" t="s">
        <v>1073</v>
      </c>
      <c r="C17" s="1070"/>
      <c r="D17" s="1107" t="s">
        <v>1125</v>
      </c>
      <c r="E17" s="1088"/>
      <c r="F17" s="1088">
        <v>800000</v>
      </c>
      <c r="G17" s="58">
        <f t="shared" si="0"/>
        <v>-800000</v>
      </c>
      <c r="H17" s="1088">
        <v>800000</v>
      </c>
    </row>
    <row r="18" spans="1:8" ht="25.5" x14ac:dyDescent="0.2">
      <c r="A18" s="1080" t="s">
        <v>1103</v>
      </c>
      <c r="B18" s="1083" t="s">
        <v>1074</v>
      </c>
      <c r="C18" s="1070"/>
      <c r="D18" s="1107" t="s">
        <v>1125</v>
      </c>
      <c r="E18" s="1088"/>
      <c r="F18" s="1088">
        <v>50000</v>
      </c>
      <c r="G18" s="58">
        <f t="shared" si="0"/>
        <v>-50000</v>
      </c>
      <c r="H18" s="1088">
        <v>50000</v>
      </c>
    </row>
    <row r="19" spans="1:8" x14ac:dyDescent="0.2">
      <c r="A19" s="1080" t="s">
        <v>1103</v>
      </c>
      <c r="B19" s="1083" t="s">
        <v>1094</v>
      </c>
      <c r="C19" s="1070"/>
      <c r="D19" s="1107" t="s">
        <v>1125</v>
      </c>
      <c r="E19" s="1088"/>
      <c r="F19" s="1088">
        <v>3600000</v>
      </c>
      <c r="G19" s="58">
        <f t="shared" si="0"/>
        <v>-3600000</v>
      </c>
      <c r="H19" s="1088">
        <v>3600000</v>
      </c>
    </row>
    <row r="20" spans="1:8" ht="25.5" x14ac:dyDescent="0.2">
      <c r="A20" s="1080" t="s">
        <v>1103</v>
      </c>
      <c r="B20" s="1083" t="s">
        <v>1096</v>
      </c>
      <c r="C20" s="1070"/>
      <c r="D20" s="1107" t="s">
        <v>1125</v>
      </c>
      <c r="E20" s="1088"/>
      <c r="F20" s="1088">
        <v>190000</v>
      </c>
      <c r="G20" s="58">
        <f t="shared" si="0"/>
        <v>-190000</v>
      </c>
      <c r="H20" s="1088">
        <v>190000</v>
      </c>
    </row>
    <row r="21" spans="1:8" ht="25.5" x14ac:dyDescent="0.2">
      <c r="A21" s="1080" t="s">
        <v>1103</v>
      </c>
      <c r="B21" s="1083" t="s">
        <v>1100</v>
      </c>
      <c r="C21" s="1070"/>
      <c r="D21" s="1107" t="s">
        <v>1125</v>
      </c>
      <c r="E21" s="1088"/>
      <c r="F21" s="1088">
        <v>250000</v>
      </c>
      <c r="G21" s="58">
        <f t="shared" si="0"/>
        <v>-250000</v>
      </c>
      <c r="H21" s="1088">
        <v>250000</v>
      </c>
    </row>
    <row r="22" spans="1:8" ht="25.5" x14ac:dyDescent="0.2">
      <c r="A22" s="1080" t="s">
        <v>1103</v>
      </c>
      <c r="B22" s="1083" t="s">
        <v>1098</v>
      </c>
      <c r="C22" s="1070"/>
      <c r="D22" s="1107" t="s">
        <v>1125</v>
      </c>
      <c r="E22" s="1088"/>
      <c r="F22" s="1088">
        <v>620000</v>
      </c>
      <c r="G22" s="58">
        <f t="shared" si="0"/>
        <v>-620000</v>
      </c>
      <c r="H22" s="1088">
        <v>620000</v>
      </c>
    </row>
    <row r="23" spans="1:8" ht="26.25" thickBot="1" x14ac:dyDescent="0.25">
      <c r="A23" s="1080" t="s">
        <v>1103</v>
      </c>
      <c r="B23" s="1083" t="s">
        <v>1099</v>
      </c>
      <c r="C23" s="1071"/>
      <c r="D23" s="1107" t="s">
        <v>1125</v>
      </c>
      <c r="E23" s="1089"/>
      <c r="F23" s="1089">
        <v>200000</v>
      </c>
      <c r="G23" s="59"/>
      <c r="H23" s="1089">
        <v>200000</v>
      </c>
    </row>
    <row r="24" spans="1:8" ht="13.5" thickBot="1" x14ac:dyDescent="0.25">
      <c r="A24" s="1099" t="s">
        <v>1131</v>
      </c>
      <c r="B24" s="1100"/>
      <c r="C24" s="1101"/>
      <c r="D24" s="1109"/>
      <c r="E24" s="1092">
        <f>SUM(E5:E23)</f>
        <v>0</v>
      </c>
      <c r="F24" s="1102">
        <f>SUM(F5:F23)</f>
        <v>20138000</v>
      </c>
      <c r="G24" s="1096">
        <f>SUM(G5:G23)</f>
        <v>-19938000</v>
      </c>
      <c r="H24" s="1102">
        <f>SUM(H5:H23)</f>
        <v>20138000</v>
      </c>
    </row>
    <row r="25" spans="1:8" ht="13.5" thickBot="1" x14ac:dyDescent="0.25">
      <c r="A25" s="1090" t="s">
        <v>1128</v>
      </c>
      <c r="B25" s="1091"/>
      <c r="C25" s="1093"/>
      <c r="D25" s="1110"/>
      <c r="E25" s="1094">
        <f>SUM(E6:E24)</f>
        <v>0</v>
      </c>
      <c r="F25" s="1103">
        <f>F24*0.27</f>
        <v>5437260</v>
      </c>
      <c r="G25" s="1096">
        <f>SUM(G6:G24)</f>
        <v>-35876000</v>
      </c>
      <c r="H25" s="1103">
        <f>H24*0.27</f>
        <v>5437260</v>
      </c>
    </row>
    <row r="26" spans="1:8" ht="13.5" thickBot="1" x14ac:dyDescent="0.25">
      <c r="A26" s="1081" t="s">
        <v>1132</v>
      </c>
      <c r="B26" s="1076"/>
      <c r="C26" s="1104"/>
      <c r="D26" s="1111"/>
      <c r="E26" s="1095">
        <f>SUM(E7:E25)</f>
        <v>0</v>
      </c>
      <c r="F26" s="1105">
        <f>F24+F25</f>
        <v>25575260</v>
      </c>
      <c r="G26" s="1096">
        <f>SUM(G7:G25)</f>
        <v>-71502000</v>
      </c>
      <c r="H26" s="1105">
        <f>H24+H25</f>
        <v>25575260</v>
      </c>
    </row>
  </sheetData>
  <mergeCells count="4">
    <mergeCell ref="A3:B3"/>
    <mergeCell ref="A4:B4"/>
    <mergeCell ref="A1:H1"/>
    <mergeCell ref="F2:H2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orientation="landscape" horizontalDpi="300" verticalDpi="300" r:id="rId1"/>
  <headerFooter alignWithMargins="0">
    <oddHeader>&amp;R&amp;"Times New Roman CE,Félkövér dőlt"&amp;11 &amp;"Times New Roman CE,Félkövér"6. melléklet az 1/2015. (II.13.)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9"/>
  <sheetViews>
    <sheetView view="pageLayout" topLeftCell="B1" zoomScaleNormal="100" zoomScaleSheetLayoutView="85" workbookViewId="0">
      <selection activeCell="B34" sqref="B34"/>
    </sheetView>
  </sheetViews>
  <sheetFormatPr defaultColWidth="9.33203125" defaultRowHeight="12.75" x14ac:dyDescent="0.2"/>
  <cols>
    <col min="1" max="1" width="50" style="1078" bestFit="1" customWidth="1"/>
    <col min="2" max="2" width="28.83203125" style="1077" customWidth="1"/>
    <col min="3" max="3" width="17.1640625" style="45" hidden="1" customWidth="1"/>
    <col min="4" max="4" width="17.1640625" style="1112" customWidth="1"/>
    <col min="5" max="5" width="17.1640625" style="826" hidden="1" customWidth="1"/>
    <col min="6" max="6" width="17.1640625" style="826" customWidth="1"/>
    <col min="7" max="7" width="17.1640625" style="45" hidden="1" customWidth="1"/>
    <col min="8" max="8" width="17.1640625" style="45" customWidth="1"/>
    <col min="9" max="10" width="12.83203125" style="45" customWidth="1"/>
    <col min="11" max="11" width="13.83203125" style="45" customWidth="1"/>
    <col min="12" max="16384" width="9.33203125" style="45"/>
  </cols>
  <sheetData>
    <row r="1" spans="1:8" ht="24.75" customHeight="1" x14ac:dyDescent="0.2">
      <c r="A1" s="1346" t="s">
        <v>835</v>
      </c>
      <c r="B1" s="1346"/>
      <c r="C1" s="1346"/>
      <c r="D1" s="1346"/>
      <c r="E1" s="1346"/>
      <c r="F1" s="1346"/>
      <c r="G1" s="1346"/>
      <c r="H1" s="1346"/>
    </row>
    <row r="2" spans="1:8" ht="23.25" customHeight="1" thickBot="1" x14ac:dyDescent="0.25">
      <c r="B2" s="1074"/>
      <c r="C2" s="56"/>
      <c r="D2" s="1106"/>
      <c r="E2" s="729"/>
      <c r="F2" s="1348" t="s">
        <v>1197</v>
      </c>
      <c r="G2" s="1348"/>
      <c r="H2" s="1348"/>
    </row>
    <row r="3" spans="1:8" s="48" customFormat="1" ht="48.75" customHeight="1" thickBot="1" x14ac:dyDescent="0.25">
      <c r="A3" s="1345" t="s">
        <v>15</v>
      </c>
      <c r="B3" s="1344"/>
      <c r="C3" s="207" t="s">
        <v>392</v>
      </c>
      <c r="D3" s="1085" t="s">
        <v>1124</v>
      </c>
      <c r="E3" s="723" t="s">
        <v>965</v>
      </c>
      <c r="F3" s="723" t="s">
        <v>998</v>
      </c>
      <c r="G3" s="53" t="s">
        <v>966</v>
      </c>
      <c r="H3" s="1210" t="s">
        <v>1198</v>
      </c>
    </row>
    <row r="4" spans="1:8" s="56" customFormat="1" ht="15" customHeight="1" thickBot="1" x14ac:dyDescent="0.25">
      <c r="A4" s="1345">
        <v>1</v>
      </c>
      <c r="B4" s="1344"/>
      <c r="C4" s="54">
        <v>2</v>
      </c>
      <c r="D4" s="1086" t="s">
        <v>1126</v>
      </c>
      <c r="E4" s="1087">
        <v>4</v>
      </c>
      <c r="F4" s="1087">
        <v>3</v>
      </c>
      <c r="G4" s="55">
        <v>6</v>
      </c>
      <c r="H4" s="1211">
        <v>4</v>
      </c>
    </row>
    <row r="5" spans="1:8" ht="15.95" customHeight="1" x14ac:dyDescent="0.2">
      <c r="A5" s="1079" t="s">
        <v>1043</v>
      </c>
      <c r="B5" s="1082" t="s">
        <v>983</v>
      </c>
      <c r="C5" s="1069"/>
      <c r="D5" s="1107" t="s">
        <v>1125</v>
      </c>
      <c r="E5" s="1088">
        <v>0</v>
      </c>
      <c r="F5" s="1088">
        <v>1000000</v>
      </c>
      <c r="G5" s="58">
        <f t="shared" ref="G5:G22" si="0">C5-E5-F5</f>
        <v>-1000000</v>
      </c>
      <c r="H5" s="1212">
        <v>1000000</v>
      </c>
    </row>
    <row r="6" spans="1:8" ht="15.95" customHeight="1" x14ac:dyDescent="0.2">
      <c r="A6" s="1080" t="s">
        <v>1022</v>
      </c>
      <c r="B6" s="1083" t="s">
        <v>988</v>
      </c>
      <c r="C6" s="1070"/>
      <c r="D6" s="1107" t="s">
        <v>1125</v>
      </c>
      <c r="E6" s="1088"/>
      <c r="F6" s="1088">
        <v>50000</v>
      </c>
      <c r="G6" s="58">
        <f t="shared" si="0"/>
        <v>-50000</v>
      </c>
      <c r="H6" s="1212">
        <v>50000</v>
      </c>
    </row>
    <row r="7" spans="1:8" ht="15.95" customHeight="1" x14ac:dyDescent="0.2">
      <c r="A7" s="1080" t="s">
        <v>1022</v>
      </c>
      <c r="B7" s="1083" t="s">
        <v>1023</v>
      </c>
      <c r="C7" s="1070"/>
      <c r="D7" s="1107" t="s">
        <v>1125</v>
      </c>
      <c r="E7" s="1088"/>
      <c r="F7" s="1088">
        <v>100000</v>
      </c>
      <c r="G7" s="58">
        <f t="shared" si="0"/>
        <v>-100000</v>
      </c>
      <c r="H7" s="1212">
        <v>100000</v>
      </c>
    </row>
    <row r="8" spans="1:8" ht="15.95" customHeight="1" x14ac:dyDescent="0.2">
      <c r="A8" s="1080" t="s">
        <v>1022</v>
      </c>
      <c r="B8" s="1083" t="s">
        <v>1024</v>
      </c>
      <c r="C8" s="1070"/>
      <c r="D8" s="1107" t="s">
        <v>1125</v>
      </c>
      <c r="E8" s="1088"/>
      <c r="F8" s="1088">
        <v>80000</v>
      </c>
      <c r="G8" s="58">
        <f t="shared" si="0"/>
        <v>-80000</v>
      </c>
      <c r="H8" s="1212">
        <v>80000</v>
      </c>
    </row>
    <row r="9" spans="1:8" ht="15.95" customHeight="1" x14ac:dyDescent="0.2">
      <c r="A9" s="1080" t="s">
        <v>1022</v>
      </c>
      <c r="B9" s="1083" t="s">
        <v>1025</v>
      </c>
      <c r="C9" s="1070"/>
      <c r="D9" s="1107" t="s">
        <v>1125</v>
      </c>
      <c r="E9" s="1088"/>
      <c r="F9" s="1088">
        <v>30000</v>
      </c>
      <c r="G9" s="58">
        <f t="shared" si="0"/>
        <v>-30000</v>
      </c>
      <c r="H9" s="1212">
        <v>30000</v>
      </c>
    </row>
    <row r="10" spans="1:8" s="634" customFormat="1" ht="15.95" customHeight="1" x14ac:dyDescent="0.2">
      <c r="A10" s="1080" t="s">
        <v>1022</v>
      </c>
      <c r="B10" s="1083" t="s">
        <v>1026</v>
      </c>
      <c r="C10" s="1070"/>
      <c r="D10" s="1107" t="s">
        <v>1125</v>
      </c>
      <c r="E10" s="1088"/>
      <c r="F10" s="1088">
        <v>75000</v>
      </c>
      <c r="G10" s="58">
        <f t="shared" si="0"/>
        <v>-75000</v>
      </c>
      <c r="H10" s="1212">
        <v>75000</v>
      </c>
    </row>
    <row r="11" spans="1:8" s="634" customFormat="1" ht="15.95" customHeight="1" x14ac:dyDescent="0.2">
      <c r="A11" s="1080" t="s">
        <v>1022</v>
      </c>
      <c r="B11" s="1083" t="s">
        <v>1027</v>
      </c>
      <c r="C11" s="1070"/>
      <c r="D11" s="1107" t="s">
        <v>1125</v>
      </c>
      <c r="E11" s="1088"/>
      <c r="F11" s="1088">
        <v>150000</v>
      </c>
      <c r="G11" s="58">
        <f t="shared" si="0"/>
        <v>-150000</v>
      </c>
      <c r="H11" s="1212">
        <v>150000</v>
      </c>
    </row>
    <row r="12" spans="1:8" s="634" customFormat="1" ht="15.95" customHeight="1" x14ac:dyDescent="0.2">
      <c r="A12" s="1080" t="s">
        <v>1022</v>
      </c>
      <c r="B12" s="1083" t="s">
        <v>1028</v>
      </c>
      <c r="C12" s="1070"/>
      <c r="D12" s="1107" t="s">
        <v>1125</v>
      </c>
      <c r="E12" s="1088"/>
      <c r="F12" s="1088">
        <v>200000</v>
      </c>
      <c r="G12" s="58">
        <f t="shared" si="0"/>
        <v>-200000</v>
      </c>
      <c r="H12" s="1212">
        <v>200000</v>
      </c>
    </row>
    <row r="13" spans="1:8" s="634" customFormat="1" ht="15.95" customHeight="1" x14ac:dyDescent="0.2">
      <c r="A13" s="1080" t="s">
        <v>1022</v>
      </c>
      <c r="B13" s="1083" t="s">
        <v>1031</v>
      </c>
      <c r="C13" s="1070"/>
      <c r="D13" s="1107" t="s">
        <v>1125</v>
      </c>
      <c r="E13" s="1088"/>
      <c r="F13" s="1088">
        <v>80000</v>
      </c>
      <c r="G13" s="58">
        <f t="shared" si="0"/>
        <v>-80000</v>
      </c>
      <c r="H13" s="1212">
        <v>80000</v>
      </c>
    </row>
    <row r="14" spans="1:8" s="634" customFormat="1" ht="15.95" customHeight="1" x14ac:dyDescent="0.2">
      <c r="A14" s="1080" t="s">
        <v>1041</v>
      </c>
      <c r="B14" s="1083" t="s">
        <v>985</v>
      </c>
      <c r="C14" s="1070"/>
      <c r="D14" s="1107" t="s">
        <v>1125</v>
      </c>
      <c r="E14" s="1088"/>
      <c r="F14" s="1088">
        <v>150000</v>
      </c>
      <c r="G14" s="58">
        <f t="shared" si="0"/>
        <v>-150000</v>
      </c>
      <c r="H14" s="1212">
        <v>150000</v>
      </c>
    </row>
    <row r="15" spans="1:8" s="634" customFormat="1" ht="15.95" customHeight="1" x14ac:dyDescent="0.2">
      <c r="A15" s="1080" t="s">
        <v>1034</v>
      </c>
      <c r="B15" s="1083" t="s">
        <v>983</v>
      </c>
      <c r="C15" s="1070"/>
      <c r="D15" s="1107" t="s">
        <v>1125</v>
      </c>
      <c r="E15" s="1088"/>
      <c r="F15" s="1088">
        <v>1000000</v>
      </c>
      <c r="G15" s="58">
        <f t="shared" si="0"/>
        <v>-1000000</v>
      </c>
      <c r="H15" s="1212">
        <v>1000000</v>
      </c>
    </row>
    <row r="16" spans="1:8" s="634" customFormat="1" ht="15.95" customHeight="1" x14ac:dyDescent="0.2">
      <c r="A16" s="1080" t="s">
        <v>1034</v>
      </c>
      <c r="B16" s="1083" t="s">
        <v>986</v>
      </c>
      <c r="C16" s="1070"/>
      <c r="D16" s="1107" t="s">
        <v>1125</v>
      </c>
      <c r="E16" s="1088"/>
      <c r="F16" s="1088">
        <v>1000000</v>
      </c>
      <c r="G16" s="58">
        <f t="shared" si="0"/>
        <v>-1000000</v>
      </c>
      <c r="H16" s="1212">
        <v>1000000</v>
      </c>
    </row>
    <row r="17" spans="1:8" s="634" customFormat="1" ht="15.95" customHeight="1" x14ac:dyDescent="0.2">
      <c r="A17" s="1080" t="s">
        <v>1034</v>
      </c>
      <c r="B17" s="1083" t="s">
        <v>1035</v>
      </c>
      <c r="C17" s="1070"/>
      <c r="D17" s="1107" t="s">
        <v>1125</v>
      </c>
      <c r="E17" s="1088"/>
      <c r="F17" s="1088">
        <v>2000000</v>
      </c>
      <c r="G17" s="58">
        <f t="shared" si="0"/>
        <v>-2000000</v>
      </c>
      <c r="H17" s="1212">
        <v>2000000</v>
      </c>
    </row>
    <row r="18" spans="1:8" ht="15.95" customHeight="1" x14ac:dyDescent="0.2">
      <c r="A18" s="1080" t="s">
        <v>1034</v>
      </c>
      <c r="B18" s="1083" t="s">
        <v>1036</v>
      </c>
      <c r="C18" s="1070"/>
      <c r="D18" s="1107" t="s">
        <v>1125</v>
      </c>
      <c r="E18" s="1088"/>
      <c r="F18" s="1088">
        <v>100000</v>
      </c>
      <c r="G18" s="58">
        <f t="shared" si="0"/>
        <v>-100000</v>
      </c>
      <c r="H18" s="1212">
        <v>100000</v>
      </c>
    </row>
    <row r="19" spans="1:8" ht="15.95" customHeight="1" x14ac:dyDescent="0.2">
      <c r="A19" s="1080" t="s">
        <v>1034</v>
      </c>
      <c r="B19" s="1083" t="s">
        <v>987</v>
      </c>
      <c r="C19" s="1070"/>
      <c r="D19" s="1107" t="s">
        <v>1125</v>
      </c>
      <c r="E19" s="1088"/>
      <c r="F19" s="1088">
        <v>250000</v>
      </c>
      <c r="G19" s="58">
        <f t="shared" si="0"/>
        <v>-250000</v>
      </c>
      <c r="H19" s="1212">
        <v>250000</v>
      </c>
    </row>
    <row r="20" spans="1:8" ht="15.95" customHeight="1" x14ac:dyDescent="0.2">
      <c r="A20" s="1080" t="s">
        <v>1034</v>
      </c>
      <c r="B20" s="1083" t="s">
        <v>1037</v>
      </c>
      <c r="C20" s="1070"/>
      <c r="D20" s="1107" t="s">
        <v>1125</v>
      </c>
      <c r="E20" s="1088"/>
      <c r="F20" s="1088">
        <v>70000</v>
      </c>
      <c r="G20" s="58">
        <f t="shared" si="0"/>
        <v>-70000</v>
      </c>
      <c r="H20" s="1212">
        <v>70000</v>
      </c>
    </row>
    <row r="21" spans="1:8" ht="30" customHeight="1" x14ac:dyDescent="0.2">
      <c r="A21" s="1080" t="s">
        <v>1034</v>
      </c>
      <c r="B21" s="1083" t="s">
        <v>1038</v>
      </c>
      <c r="C21" s="1070"/>
      <c r="D21" s="1107" t="s">
        <v>1125</v>
      </c>
      <c r="E21" s="1088"/>
      <c r="F21" s="1088">
        <v>230000</v>
      </c>
      <c r="G21" s="58">
        <f t="shared" si="0"/>
        <v>-230000</v>
      </c>
      <c r="H21" s="1212">
        <v>230000</v>
      </c>
    </row>
    <row r="22" spans="1:8" ht="15.95" customHeight="1" x14ac:dyDescent="0.2">
      <c r="A22" s="1080" t="s">
        <v>1034</v>
      </c>
      <c r="B22" s="1083" t="s">
        <v>1039</v>
      </c>
      <c r="C22" s="1070"/>
      <c r="D22" s="1107" t="s">
        <v>1125</v>
      </c>
      <c r="E22" s="1088"/>
      <c r="F22" s="1088">
        <v>110000</v>
      </c>
      <c r="G22" s="58">
        <f t="shared" si="0"/>
        <v>-110000</v>
      </c>
      <c r="H22" s="1212">
        <v>110000</v>
      </c>
    </row>
    <row r="23" spans="1:8" ht="15.95" customHeight="1" thickBot="1" x14ac:dyDescent="0.25">
      <c r="A23" s="1080" t="s">
        <v>1034</v>
      </c>
      <c r="B23" s="1083" t="s">
        <v>1040</v>
      </c>
      <c r="C23" s="1071"/>
      <c r="D23" s="1107" t="s">
        <v>1125</v>
      </c>
      <c r="E23" s="1089"/>
      <c r="F23" s="1089">
        <v>100000</v>
      </c>
      <c r="G23" s="59"/>
      <c r="H23" s="1213">
        <v>100000</v>
      </c>
    </row>
    <row r="24" spans="1:8" s="826" customFormat="1" ht="30" customHeight="1" thickBot="1" x14ac:dyDescent="0.25">
      <c r="A24" s="1080" t="s">
        <v>1057</v>
      </c>
      <c r="B24" s="1084" t="s">
        <v>1038</v>
      </c>
      <c r="C24" s="1072"/>
      <c r="D24" s="1107" t="s">
        <v>1125</v>
      </c>
      <c r="E24" s="1089"/>
      <c r="F24" s="1089">
        <v>102000</v>
      </c>
      <c r="G24" s="1073"/>
      <c r="H24" s="1213">
        <v>102000</v>
      </c>
    </row>
    <row r="25" spans="1:8" x14ac:dyDescent="0.2">
      <c r="A25" s="1080" t="s">
        <v>1067</v>
      </c>
      <c r="B25" s="1075" t="s">
        <v>1068</v>
      </c>
      <c r="C25" s="1214"/>
      <c r="D25" s="1107" t="s">
        <v>1125</v>
      </c>
      <c r="E25" s="1089"/>
      <c r="F25" s="1089">
        <v>200000</v>
      </c>
      <c r="G25" s="59"/>
      <c r="H25" s="1213">
        <v>200000</v>
      </c>
    </row>
    <row r="26" spans="1:8" x14ac:dyDescent="0.2">
      <c r="A26" s="1080" t="s">
        <v>1042</v>
      </c>
      <c r="B26" s="1075" t="s">
        <v>985</v>
      </c>
      <c r="C26" s="1214"/>
      <c r="D26" s="1107" t="s">
        <v>1125</v>
      </c>
      <c r="E26" s="1089"/>
      <c r="F26" s="1089">
        <v>150000</v>
      </c>
      <c r="G26" s="59"/>
      <c r="H26" s="1213">
        <v>150000</v>
      </c>
    </row>
    <row r="27" spans="1:8" x14ac:dyDescent="0.2">
      <c r="A27" s="1080" t="s">
        <v>1103</v>
      </c>
      <c r="B27" s="1075" t="s">
        <v>1102</v>
      </c>
      <c r="C27" s="1214"/>
      <c r="D27" s="1107" t="s">
        <v>1125</v>
      </c>
      <c r="E27" s="1089"/>
      <c r="F27" s="1089">
        <v>2020000</v>
      </c>
      <c r="G27" s="59"/>
      <c r="H27" s="1213">
        <v>2020000</v>
      </c>
    </row>
    <row r="28" spans="1:8" x14ac:dyDescent="0.2">
      <c r="A28" s="1097" t="s">
        <v>1103</v>
      </c>
      <c r="B28" s="1098" t="s">
        <v>1101</v>
      </c>
      <c r="C28" s="1214"/>
      <c r="D28" s="1108" t="s">
        <v>1123</v>
      </c>
      <c r="E28" s="1089"/>
      <c r="F28" s="1089">
        <v>7204000</v>
      </c>
      <c r="G28" s="59">
        <f>C23-E28-F28</f>
        <v>-7204000</v>
      </c>
      <c r="H28" s="1213">
        <v>7204000</v>
      </c>
    </row>
    <row r="29" spans="1:8" ht="25.5" x14ac:dyDescent="0.2">
      <c r="A29" s="1097" t="s">
        <v>1103</v>
      </c>
      <c r="B29" s="1098" t="s">
        <v>1211</v>
      </c>
      <c r="C29" s="1214"/>
      <c r="D29" s="1298" t="s">
        <v>1125</v>
      </c>
      <c r="E29" s="1089"/>
      <c r="F29" s="1089"/>
      <c r="G29" s="59"/>
      <c r="H29" s="1213">
        <f>2649000/1.27</f>
        <v>2085826.7716535432</v>
      </c>
    </row>
    <row r="30" spans="1:8" x14ac:dyDescent="0.2">
      <c r="A30" s="1080" t="s">
        <v>1103</v>
      </c>
      <c r="B30" s="1075" t="s">
        <v>1212</v>
      </c>
      <c r="C30" s="1290"/>
      <c r="D30" s="1299" t="s">
        <v>1125</v>
      </c>
      <c r="E30" s="1088"/>
      <c r="F30" s="1088"/>
      <c r="G30" s="1291"/>
      <c r="H30" s="1212">
        <f>2978139/1.27</f>
        <v>2344991.3385826773</v>
      </c>
    </row>
    <row r="31" spans="1:8" ht="26.25" thickBot="1" x14ac:dyDescent="0.25">
      <c r="A31" s="1292" t="s">
        <v>1057</v>
      </c>
      <c r="B31" s="1293" t="s">
        <v>1213</v>
      </c>
      <c r="C31" s="1294"/>
      <c r="D31" s="1300" t="s">
        <v>1125</v>
      </c>
      <c r="E31" s="1295"/>
      <c r="F31" s="1295"/>
      <c r="G31" s="1296"/>
      <c r="H31" s="1297">
        <f>150000/1.27</f>
        <v>118110.23622047243</v>
      </c>
    </row>
    <row r="32" spans="1:8" ht="13.5" thickBot="1" x14ac:dyDescent="0.25">
      <c r="A32" s="1099" t="s">
        <v>1127</v>
      </c>
      <c r="B32" s="1100"/>
      <c r="C32" s="1101"/>
      <c r="D32" s="1109"/>
      <c r="E32" s="1092">
        <f>SUM(E5:E28)</f>
        <v>0</v>
      </c>
      <c r="F32" s="1102">
        <f>SUM(F5:F28)</f>
        <v>16451000</v>
      </c>
      <c r="G32" s="1096">
        <f>SUM(G5:G28)</f>
        <v>-13879000</v>
      </c>
      <c r="H32" s="1102">
        <f>SUM(H5:H31)</f>
        <v>20999928.346456692</v>
      </c>
    </row>
    <row r="33" spans="1:8" ht="13.5" thickBot="1" x14ac:dyDescent="0.25">
      <c r="A33" s="1090" t="s">
        <v>1128</v>
      </c>
      <c r="B33" s="1091"/>
      <c r="C33" s="1093"/>
      <c r="D33" s="1110"/>
      <c r="E33" s="1094">
        <f>SUM(E6:E32)</f>
        <v>0</v>
      </c>
      <c r="F33" s="1103">
        <f>F32*0.27</f>
        <v>4441770</v>
      </c>
      <c r="G33" s="1096">
        <f>SUM(G6:G32)</f>
        <v>-26758000</v>
      </c>
      <c r="H33" s="1103">
        <f>H32*0.27</f>
        <v>5669980.6535433074</v>
      </c>
    </row>
    <row r="34" spans="1:8" ht="13.5" thickBot="1" x14ac:dyDescent="0.25">
      <c r="A34" s="1081" t="s">
        <v>1129</v>
      </c>
      <c r="B34" s="1076"/>
      <c r="C34" s="1104"/>
      <c r="D34" s="1111"/>
      <c r="E34" s="1095">
        <f>SUM(E7:E33)</f>
        <v>0</v>
      </c>
      <c r="F34" s="1105">
        <f>F32+F33</f>
        <v>20892770</v>
      </c>
      <c r="G34" s="1096">
        <f>SUM(G7:G33)</f>
        <v>-53466000</v>
      </c>
      <c r="H34" s="1105">
        <f>H32+H33</f>
        <v>26669909</v>
      </c>
    </row>
    <row r="36" spans="1:8" ht="13.5" thickBot="1" x14ac:dyDescent="0.25">
      <c r="A36" s="1301" t="s">
        <v>1208</v>
      </c>
    </row>
    <row r="37" spans="1:8" ht="13.5" thickBot="1" x14ac:dyDescent="0.25">
      <c r="A37" s="1099"/>
      <c r="B37" s="1100" t="s">
        <v>1102</v>
      </c>
      <c r="C37" s="1101"/>
      <c r="D37" s="1109"/>
      <c r="E37" s="1092"/>
      <c r="F37" s="1102"/>
      <c r="G37" s="1096"/>
      <c r="H37" s="1102">
        <f>20199000-2020000</f>
        <v>18179000</v>
      </c>
    </row>
    <row r="38" spans="1:8" ht="13.5" thickBot="1" x14ac:dyDescent="0.25">
      <c r="A38" s="1081"/>
      <c r="B38" s="1076" t="s">
        <v>1214</v>
      </c>
      <c r="C38" s="1104"/>
      <c r="D38" s="1111"/>
      <c r="E38" s="1095"/>
      <c r="F38" s="1105"/>
      <c r="G38" s="1096"/>
      <c r="H38" s="1105">
        <v>3246000</v>
      </c>
    </row>
    <row r="39" spans="1:8" ht="13.5" thickBot="1" x14ac:dyDescent="0.25">
      <c r="A39" s="1302" t="s">
        <v>1208</v>
      </c>
      <c r="B39" s="1303" t="s">
        <v>936</v>
      </c>
      <c r="C39" s="1304"/>
      <c r="D39" s="1305"/>
      <c r="E39" s="1306"/>
      <c r="F39" s="1307"/>
      <c r="G39" s="1096"/>
      <c r="H39" s="1307">
        <f>H37+H38</f>
        <v>21425000</v>
      </c>
    </row>
  </sheetData>
  <mergeCells count="4">
    <mergeCell ref="A3:B3"/>
    <mergeCell ref="A4:B4"/>
    <mergeCell ref="F2:H2"/>
    <mergeCell ref="A1:H1"/>
  </mergeCells>
  <phoneticPr fontId="0" type="noConversion"/>
  <printOptions horizontalCentered="1"/>
  <pageMargins left="0.25" right="0.25" top="0.75" bottom="0.75" header="0.3" footer="0.3"/>
  <pageSetup paperSize="9" scale="71" orientation="landscape" horizontalDpi="300" verticalDpi="300" r:id="rId1"/>
  <headerFooter alignWithMargins="0">
    <oddHeader>&amp;R&amp;"Times New Roman CE,Félkövér dőlt"&amp;12 &amp;11 &amp;"Times New Roman CE,Félkövér"7. melléklet az 1/2015. (II.13.)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G25"/>
  <sheetViews>
    <sheetView view="pageLayout" zoomScaleNormal="100" zoomScaleSheetLayoutView="85" workbookViewId="0">
      <selection activeCell="O33" sqref="O33"/>
    </sheetView>
  </sheetViews>
  <sheetFormatPr defaultColWidth="9.33203125" defaultRowHeight="12.75" x14ac:dyDescent="0.2"/>
  <cols>
    <col min="1" max="1" width="75" style="1058" customWidth="1"/>
    <col min="2" max="2" width="15.1640625" style="1058" customWidth="1"/>
    <col min="3" max="3" width="12.6640625" style="1058" hidden="1" customWidth="1"/>
    <col min="4" max="4" width="14.5" style="1058" hidden="1" customWidth="1"/>
    <col min="5" max="5" width="17" style="1058" customWidth="1"/>
    <col min="6" max="6" width="10.83203125" style="1062" hidden="1" customWidth="1"/>
    <col min="7" max="7" width="10.83203125" style="1058" bestFit="1" customWidth="1"/>
    <col min="8" max="16384" width="9.33203125" style="1058"/>
  </cols>
  <sheetData>
    <row r="1" spans="1:6" x14ac:dyDescent="0.2">
      <c r="A1" s="1349"/>
      <c r="B1" s="1349"/>
      <c r="C1" s="1349"/>
      <c r="D1" s="1349"/>
      <c r="E1" s="1146"/>
    </row>
    <row r="2" spans="1:6" x14ac:dyDescent="0.2">
      <c r="A2" s="1350" t="s">
        <v>950</v>
      </c>
      <c r="B2" s="1350"/>
      <c r="C2" s="1350"/>
      <c r="D2" s="1350"/>
      <c r="E2" s="1350"/>
    </row>
    <row r="3" spans="1:6" x14ac:dyDescent="0.2">
      <c r="A3" s="1350" t="s">
        <v>1104</v>
      </c>
      <c r="B3" s="1350"/>
      <c r="C3" s="1350"/>
      <c r="D3" s="1350"/>
      <c r="E3" s="1350"/>
    </row>
    <row r="4" spans="1:6" x14ac:dyDescent="0.2">
      <c r="A4" s="1350" t="s">
        <v>1105</v>
      </c>
      <c r="B4" s="1350"/>
      <c r="C4" s="1350"/>
      <c r="D4" s="1350"/>
      <c r="E4" s="1350"/>
    </row>
    <row r="5" spans="1:6" ht="13.5" thickBot="1" x14ac:dyDescent="0.25">
      <c r="E5" s="1058" t="s">
        <v>1197</v>
      </c>
    </row>
    <row r="6" spans="1:6" ht="26.25" thickBot="1" x14ac:dyDescent="0.25">
      <c r="A6" s="1067" t="s">
        <v>390</v>
      </c>
      <c r="B6" s="1068" t="s">
        <v>948</v>
      </c>
      <c r="E6" s="1068" t="s">
        <v>1199</v>
      </c>
    </row>
    <row r="7" spans="1:6" x14ac:dyDescent="0.2">
      <c r="A7" s="1059" t="s">
        <v>1106</v>
      </c>
      <c r="B7" s="1060">
        <v>0</v>
      </c>
      <c r="E7" s="1060">
        <v>0</v>
      </c>
      <c r="F7" s="1062">
        <v>500000</v>
      </c>
    </row>
    <row r="8" spans="1:6" x14ac:dyDescent="0.2">
      <c r="A8" s="1061" t="s">
        <v>391</v>
      </c>
      <c r="B8" s="1004">
        <v>150000</v>
      </c>
      <c r="E8" s="1004">
        <v>150000</v>
      </c>
    </row>
    <row r="9" spans="1:6" x14ac:dyDescent="0.2">
      <c r="A9" s="1061" t="s">
        <v>1107</v>
      </c>
      <c r="B9" s="1004">
        <v>0</v>
      </c>
      <c r="C9" s="1004" t="e">
        <f>'2.sz tájékoztató t.'!F15+'2.sz tájékoztató t.'!F18+'2.sz tájékoztató t.'!F19+'2.sz tájékoztató t.'!F27+'2.sz tájékoztató t.'!F28+'2.sz tájékoztató t.'!F29+'2.sz tájékoztató t.'!F30+'2.sz tájékoztató t.'!F31+'2.sz tájékoztató t.'!F32+'2.sz tájékoztató t.'!F55+'2.sz tájékoztató t.'!F56+'2.sz tájékoztató t.'!F66</f>
        <v>#VALUE!</v>
      </c>
      <c r="D9" s="1004">
        <f>'2.sz tájékoztató t.'!G15+'2.sz tájékoztató t.'!G18+'2.sz tájékoztató t.'!G19+'2.sz tájékoztató t.'!G27+'2.sz tájékoztató t.'!G28+'2.sz tájékoztató t.'!G29+'2.sz tájékoztató t.'!G30+'2.sz tájékoztató t.'!G31+'2.sz tájékoztató t.'!G32+'2.sz tájékoztató t.'!G55+'2.sz tájékoztató t.'!G56+'2.sz tájékoztató t.'!G66</f>
        <v>0</v>
      </c>
      <c r="E9" s="1004">
        <v>0</v>
      </c>
      <c r="F9" s="1063">
        <v>3140000</v>
      </c>
    </row>
    <row r="10" spans="1:6" x14ac:dyDescent="0.2">
      <c r="A10" s="1061" t="s">
        <v>1108</v>
      </c>
      <c r="B10" s="1004">
        <v>300000</v>
      </c>
      <c r="E10" s="1004">
        <f>300000+1324418</f>
        <v>1624418</v>
      </c>
    </row>
    <row r="11" spans="1:6" x14ac:dyDescent="0.2">
      <c r="A11" s="1061" t="s">
        <v>1109</v>
      </c>
      <c r="B11" s="1004">
        <v>0</v>
      </c>
      <c r="E11" s="1004">
        <v>0</v>
      </c>
      <c r="F11" s="1062">
        <v>200000</v>
      </c>
    </row>
    <row r="12" spans="1:6" x14ac:dyDescent="0.2">
      <c r="A12" s="1061" t="s">
        <v>1110</v>
      </c>
      <c r="B12" s="1004">
        <v>200000</v>
      </c>
      <c r="E12" s="1004">
        <v>200000</v>
      </c>
    </row>
    <row r="13" spans="1:6" x14ac:dyDescent="0.2">
      <c r="A13" s="1061" t="s">
        <v>1121</v>
      </c>
      <c r="B13" s="1004">
        <v>0</v>
      </c>
      <c r="E13" s="1004">
        <v>0</v>
      </c>
      <c r="F13" s="1062">
        <v>350000</v>
      </c>
    </row>
    <row r="14" spans="1:6" ht="25.5" x14ac:dyDescent="0.2">
      <c r="A14" s="1061" t="s">
        <v>1111</v>
      </c>
      <c r="B14" s="1004">
        <v>0</v>
      </c>
      <c r="E14" s="1004">
        <v>0</v>
      </c>
      <c r="F14" s="1062">
        <v>500000</v>
      </c>
    </row>
    <row r="15" spans="1:6" x14ac:dyDescent="0.2">
      <c r="A15" s="1061" t="s">
        <v>1112</v>
      </c>
      <c r="B15" s="1004">
        <v>50000</v>
      </c>
      <c r="E15" s="1004">
        <v>50000</v>
      </c>
    </row>
    <row r="16" spans="1:6" x14ac:dyDescent="0.2">
      <c r="A16" s="1061" t="s">
        <v>1113</v>
      </c>
      <c r="B16" s="1004">
        <v>0</v>
      </c>
      <c r="E16" s="1004">
        <v>0</v>
      </c>
      <c r="F16" s="1062">
        <v>100000</v>
      </c>
    </row>
    <row r="17" spans="1:7" ht="25.5" x14ac:dyDescent="0.2">
      <c r="A17" s="1061" t="s">
        <v>1114</v>
      </c>
      <c r="B17" s="1004">
        <v>0</v>
      </c>
      <c r="E17" s="1004">
        <v>0</v>
      </c>
      <c r="F17" s="1062">
        <v>100000</v>
      </c>
    </row>
    <row r="18" spans="1:7" x14ac:dyDescent="0.2">
      <c r="A18" s="1061" t="s">
        <v>1000</v>
      </c>
      <c r="B18" s="1004">
        <v>0</v>
      </c>
      <c r="E18" s="1004">
        <v>0</v>
      </c>
      <c r="F18" s="1062">
        <v>50000</v>
      </c>
    </row>
    <row r="19" spans="1:7" x14ac:dyDescent="0.2">
      <c r="A19" s="1061" t="s">
        <v>1115</v>
      </c>
      <c r="B19" s="1004">
        <v>20000</v>
      </c>
      <c r="E19" s="1004">
        <v>20000</v>
      </c>
    </row>
    <row r="20" spans="1:7" ht="25.5" x14ac:dyDescent="0.2">
      <c r="A20" s="1061" t="s">
        <v>1116</v>
      </c>
      <c r="B20" s="1004">
        <v>50000</v>
      </c>
      <c r="E20" s="1004">
        <v>50000</v>
      </c>
    </row>
    <row r="21" spans="1:7" x14ac:dyDescent="0.2">
      <c r="A21" s="1061" t="s">
        <v>1117</v>
      </c>
      <c r="B21" s="1004">
        <v>120000</v>
      </c>
      <c r="E21" s="1004">
        <v>120000</v>
      </c>
    </row>
    <row r="22" spans="1:7" x14ac:dyDescent="0.2">
      <c r="A22" s="1061" t="s">
        <v>1118</v>
      </c>
      <c r="B22" s="1004">
        <v>100000</v>
      </c>
      <c r="E22" s="1004">
        <v>100000</v>
      </c>
    </row>
    <row r="23" spans="1:7" ht="25.5" x14ac:dyDescent="0.2">
      <c r="A23" s="1061" t="s">
        <v>1119</v>
      </c>
      <c r="B23" s="1004">
        <v>120000</v>
      </c>
      <c r="E23" s="1004">
        <v>120000</v>
      </c>
    </row>
    <row r="24" spans="1:7" ht="13.5" thickBot="1" x14ac:dyDescent="0.25">
      <c r="A24" s="1064" t="s">
        <v>1120</v>
      </c>
      <c r="B24" s="1017">
        <v>480000</v>
      </c>
      <c r="E24" s="1017">
        <v>480000</v>
      </c>
    </row>
    <row r="25" spans="1:7" ht="13.5" thickBot="1" x14ac:dyDescent="0.25">
      <c r="A25" s="1065" t="s">
        <v>1191</v>
      </c>
      <c r="B25" s="1066">
        <f>SUM(B7:B24)</f>
        <v>1590000</v>
      </c>
      <c r="E25" s="1066">
        <f>SUM(E7:E24)</f>
        <v>2914418</v>
      </c>
      <c r="G25" s="1151"/>
    </row>
  </sheetData>
  <mergeCells count="4">
    <mergeCell ref="A1:D1"/>
    <mergeCell ref="A4:E4"/>
    <mergeCell ref="A3:E3"/>
    <mergeCell ref="A2:E2"/>
  </mergeCells>
  <phoneticPr fontId="30" type="noConversion"/>
  <pageMargins left="0.39370078740157483" right="0.15748031496062992" top="0.59055118110236227" bottom="0.43307086614173229" header="0.31496062992125984" footer="0.31496062992125984"/>
  <pageSetup paperSize="9" orientation="portrait" r:id="rId1"/>
  <headerFooter>
    <oddHeader>&amp;R&amp;"Times New Roman CE,Félkövér"&amp;11 8. melléklet az 1/2015. (II.13.)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 tint="0.79998168889431442"/>
  </sheetPr>
  <dimension ref="A1:I104"/>
  <sheetViews>
    <sheetView view="pageLayout" topLeftCell="C53" zoomScaleNormal="115" zoomScaleSheetLayoutView="115" workbookViewId="0">
      <selection activeCell="N72" sqref="N72"/>
    </sheetView>
  </sheetViews>
  <sheetFormatPr defaultColWidth="9.33203125" defaultRowHeight="12.75" x14ac:dyDescent="0.2"/>
  <cols>
    <col min="1" max="1" width="4.6640625" style="599" customWidth="1"/>
    <col min="2" max="2" width="9.6640625" style="600" customWidth="1"/>
    <col min="3" max="3" width="71.83203125" style="600" customWidth="1"/>
    <col min="4" max="5" width="11.33203125" style="601" hidden="1" customWidth="1"/>
    <col min="6" max="7" width="11.33203125" style="601" customWidth="1"/>
    <col min="8" max="16384" width="9.33203125" style="598"/>
  </cols>
  <sheetData>
    <row r="1" spans="1:7" s="2" customFormat="1" ht="16.5" customHeight="1" thickBot="1" x14ac:dyDescent="0.25">
      <c r="A1" s="225"/>
      <c r="B1" s="226"/>
      <c r="C1" s="227"/>
      <c r="D1" s="828"/>
      <c r="E1" s="828"/>
      <c r="F1" s="828"/>
      <c r="G1" s="828"/>
    </row>
    <row r="2" spans="1:7" s="102" customFormat="1" ht="25.5" customHeight="1" thickBot="1" x14ac:dyDescent="0.25">
      <c r="A2" s="1351" t="s">
        <v>234</v>
      </c>
      <c r="B2" s="1352"/>
      <c r="C2" s="1187" t="s">
        <v>664</v>
      </c>
      <c r="D2" s="1160"/>
      <c r="E2" s="1161" t="s">
        <v>939</v>
      </c>
      <c r="F2" s="1161"/>
      <c r="G2" s="1162" t="s">
        <v>939</v>
      </c>
    </row>
    <row r="3" spans="1:7" s="102" customFormat="1" ht="16.5" hidden="1" thickBot="1" x14ac:dyDescent="0.25">
      <c r="A3" s="1156" t="s">
        <v>203</v>
      </c>
      <c r="B3" s="1157"/>
      <c r="C3" s="1186" t="s">
        <v>940</v>
      </c>
      <c r="D3" s="772" t="s">
        <v>941</v>
      </c>
      <c r="E3" s="772" t="s">
        <v>941</v>
      </c>
      <c r="F3" s="772" t="s">
        <v>941</v>
      </c>
      <c r="G3" s="772" t="s">
        <v>941</v>
      </c>
    </row>
    <row r="4" spans="1:7" s="10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351" t="s">
        <v>205</v>
      </c>
      <c r="B5" s="1352"/>
      <c r="C5" s="232" t="s">
        <v>943</v>
      </c>
      <c r="D5" s="1163" t="s">
        <v>1087</v>
      </c>
      <c r="E5" s="879" t="s">
        <v>1088</v>
      </c>
      <c r="F5" s="879" t="s">
        <v>1001</v>
      </c>
      <c r="G5" s="774" t="s">
        <v>1196</v>
      </c>
    </row>
    <row r="6" spans="1:7" s="60" customFormat="1" ht="12.95" customHeight="1" thickBot="1" x14ac:dyDescent="0.25">
      <c r="A6" s="211">
        <v>1</v>
      </c>
      <c r="B6" s="212">
        <v>2</v>
      </c>
      <c r="C6" s="212">
        <v>3</v>
      </c>
      <c r="D6" s="1164">
        <v>4</v>
      </c>
      <c r="E6" s="880">
        <v>5</v>
      </c>
      <c r="F6" s="880">
        <v>6</v>
      </c>
      <c r="G6" s="776">
        <v>6</v>
      </c>
    </row>
    <row r="7" spans="1:7" s="60" customFormat="1" ht="15.95" customHeight="1" thickBot="1" x14ac:dyDescent="0.25">
      <c r="A7" s="234"/>
      <c r="B7" s="235"/>
      <c r="C7" s="1194" t="s">
        <v>945</v>
      </c>
      <c r="D7" s="777"/>
      <c r="E7" s="891"/>
      <c r="F7" s="891"/>
      <c r="G7" s="778"/>
    </row>
    <row r="8" spans="1:7" s="60" customFormat="1" ht="12" customHeight="1" thickBot="1" x14ac:dyDescent="0.25">
      <c r="A8" s="211" t="s">
        <v>903</v>
      </c>
      <c r="B8" s="237"/>
      <c r="C8" s="836" t="s">
        <v>206</v>
      </c>
      <c r="D8" s="591">
        <v>102887</v>
      </c>
      <c r="E8" s="593">
        <f>+E9+E14</f>
        <v>86508</v>
      </c>
      <c r="F8" s="593">
        <f>+F9+F14</f>
        <v>116064</v>
      </c>
      <c r="G8" s="368">
        <f>+G9+G14</f>
        <v>105879</v>
      </c>
    </row>
    <row r="9" spans="1:7" s="104" customFormat="1" ht="12" customHeight="1" thickBot="1" x14ac:dyDescent="0.25">
      <c r="A9" s="211" t="s">
        <v>904</v>
      </c>
      <c r="B9" s="237"/>
      <c r="C9" s="905" t="s">
        <v>836</v>
      </c>
      <c r="D9" s="591">
        <v>95825</v>
      </c>
      <c r="E9" s="593">
        <f>SUM(E10:E13)</f>
        <v>79070</v>
      </c>
      <c r="F9" s="593">
        <f>SUM(F10:F13)</f>
        <v>98689</v>
      </c>
      <c r="G9" s="368">
        <f>SUM(G10:G13)</f>
        <v>88219</v>
      </c>
    </row>
    <row r="10" spans="1:7" s="105" customFormat="1" ht="12" customHeight="1" x14ac:dyDescent="0.2">
      <c r="A10" s="239"/>
      <c r="B10" s="240" t="s">
        <v>63</v>
      </c>
      <c r="C10" s="840" t="s">
        <v>947</v>
      </c>
      <c r="D10" s="1166">
        <v>92782</v>
      </c>
      <c r="E10" s="883">
        <v>76570</v>
      </c>
      <c r="F10" s="883">
        <v>96496</v>
      </c>
      <c r="G10" s="779">
        <f>96496-10470</f>
        <v>86026</v>
      </c>
    </row>
    <row r="11" spans="1:7" s="105" customFormat="1" ht="12" customHeight="1" x14ac:dyDescent="0.2">
      <c r="A11" s="239"/>
      <c r="B11" s="240" t="s">
        <v>64</v>
      </c>
      <c r="C11" s="832" t="s">
        <v>33</v>
      </c>
      <c r="D11" s="1166"/>
      <c r="E11" s="883"/>
      <c r="F11" s="883"/>
      <c r="G11" s="779"/>
    </row>
    <row r="12" spans="1:7" s="105" customFormat="1" ht="12" customHeight="1" x14ac:dyDescent="0.2">
      <c r="A12" s="239"/>
      <c r="B12" s="240" t="s">
        <v>65</v>
      </c>
      <c r="C12" s="832" t="s">
        <v>126</v>
      </c>
      <c r="D12" s="1166">
        <v>2094</v>
      </c>
      <c r="E12" s="883">
        <v>2000</v>
      </c>
      <c r="F12" s="883">
        <v>1592</v>
      </c>
      <c r="G12" s="779">
        <v>1592</v>
      </c>
    </row>
    <row r="13" spans="1:7" s="105" customFormat="1" ht="12" customHeight="1" thickBot="1" x14ac:dyDescent="0.25">
      <c r="A13" s="239"/>
      <c r="B13" s="240" t="s">
        <v>66</v>
      </c>
      <c r="C13" s="904" t="s">
        <v>127</v>
      </c>
      <c r="D13" s="1166">
        <v>949</v>
      </c>
      <c r="E13" s="883">
        <v>500</v>
      </c>
      <c r="F13" s="883">
        <v>601</v>
      </c>
      <c r="G13" s="779">
        <v>601</v>
      </c>
    </row>
    <row r="14" spans="1:7" s="104" customFormat="1" ht="12" customHeight="1" thickBot="1" x14ac:dyDescent="0.25">
      <c r="A14" s="211" t="s">
        <v>905</v>
      </c>
      <c r="B14" s="237"/>
      <c r="C14" s="905" t="s">
        <v>128</v>
      </c>
      <c r="D14" s="591">
        <v>7060</v>
      </c>
      <c r="E14" s="593">
        <v>7438</v>
      </c>
      <c r="F14" s="593">
        <f>SUM(F15:F22)</f>
        <v>17375</v>
      </c>
      <c r="G14" s="368">
        <f>SUM(G15:G22)</f>
        <v>17660</v>
      </c>
    </row>
    <row r="15" spans="1:7" s="104" customFormat="1" ht="12" customHeight="1" x14ac:dyDescent="0.2">
      <c r="A15" s="241"/>
      <c r="B15" s="240" t="s">
        <v>37</v>
      </c>
      <c r="C15" s="840" t="s">
        <v>1093</v>
      </c>
      <c r="D15" s="1165">
        <v>0</v>
      </c>
      <c r="E15" s="882">
        <v>0</v>
      </c>
      <c r="F15" s="882">
        <v>696</v>
      </c>
      <c r="G15" s="780">
        <v>696</v>
      </c>
    </row>
    <row r="16" spans="1:7" s="104" customFormat="1" ht="12" customHeight="1" x14ac:dyDescent="0.2">
      <c r="A16" s="239"/>
      <c r="B16" s="240" t="s">
        <v>38</v>
      </c>
      <c r="C16" s="832" t="s">
        <v>134</v>
      </c>
      <c r="D16" s="1166">
        <v>102</v>
      </c>
      <c r="E16" s="883">
        <v>0</v>
      </c>
      <c r="F16" s="883">
        <v>511</v>
      </c>
      <c r="G16" s="779">
        <v>511</v>
      </c>
    </row>
    <row r="17" spans="1:7" s="104" customFormat="1" ht="12" customHeight="1" x14ac:dyDescent="0.2">
      <c r="A17" s="239"/>
      <c r="B17" s="240" t="s">
        <v>39</v>
      </c>
      <c r="C17" s="832" t="s">
        <v>135</v>
      </c>
      <c r="D17" s="1166">
        <v>6330</v>
      </c>
      <c r="E17" s="883">
        <v>7223</v>
      </c>
      <c r="F17" s="883">
        <v>16098</v>
      </c>
      <c r="G17" s="779">
        <v>16098</v>
      </c>
    </row>
    <row r="18" spans="1:7" s="104" customFormat="1" ht="12" customHeight="1" x14ac:dyDescent="0.2">
      <c r="A18" s="239"/>
      <c r="B18" s="240" t="s">
        <v>40</v>
      </c>
      <c r="C18" s="832" t="s">
        <v>136</v>
      </c>
      <c r="D18" s="1166">
        <v>153</v>
      </c>
      <c r="E18" s="883">
        <v>215</v>
      </c>
      <c r="F18" s="883">
        <v>70</v>
      </c>
      <c r="G18" s="779">
        <v>70</v>
      </c>
    </row>
    <row r="19" spans="1:7" s="104" customFormat="1" ht="12" customHeight="1" x14ac:dyDescent="0.2">
      <c r="A19" s="239"/>
      <c r="B19" s="240" t="s">
        <v>129</v>
      </c>
      <c r="C19" s="832" t="s">
        <v>137</v>
      </c>
      <c r="D19" s="1166"/>
      <c r="E19" s="883">
        <v>0</v>
      </c>
      <c r="F19" s="883"/>
      <c r="G19" s="779"/>
    </row>
    <row r="20" spans="1:7" s="104" customFormat="1" ht="12" customHeight="1" x14ac:dyDescent="0.2">
      <c r="A20" s="242"/>
      <c r="B20" s="240" t="s">
        <v>130</v>
      </c>
      <c r="C20" s="832" t="s">
        <v>240</v>
      </c>
      <c r="D20" s="847">
        <v>0</v>
      </c>
      <c r="E20" s="884">
        <v>0</v>
      </c>
      <c r="F20" s="884">
        <v>0</v>
      </c>
      <c r="G20" s="781">
        <v>0</v>
      </c>
    </row>
    <row r="21" spans="1:7" s="105" customFormat="1" ht="12" customHeight="1" x14ac:dyDescent="0.2">
      <c r="A21" s="239"/>
      <c r="B21" s="240" t="s">
        <v>131</v>
      </c>
      <c r="C21" s="832" t="s">
        <v>139</v>
      </c>
      <c r="D21" s="1166">
        <v>216</v>
      </c>
      <c r="E21" s="883">
        <v>0</v>
      </c>
      <c r="F21" s="883">
        <v>0</v>
      </c>
      <c r="G21" s="779">
        <v>0</v>
      </c>
    </row>
    <row r="22" spans="1:7" s="105" customFormat="1" ht="12" customHeight="1" thickBot="1" x14ac:dyDescent="0.25">
      <c r="A22" s="243"/>
      <c r="B22" s="244" t="s">
        <v>132</v>
      </c>
      <c r="C22" s="904" t="s">
        <v>140</v>
      </c>
      <c r="D22" s="1167">
        <v>259</v>
      </c>
      <c r="E22" s="885">
        <v>0</v>
      </c>
      <c r="F22" s="885">
        <v>0</v>
      </c>
      <c r="G22" s="782">
        <f>128+157</f>
        <v>285</v>
      </c>
    </row>
    <row r="23" spans="1:7" s="105" customFormat="1" ht="12" customHeight="1" thickBot="1" x14ac:dyDescent="0.25">
      <c r="A23" s="211" t="s">
        <v>906</v>
      </c>
      <c r="B23" s="245"/>
      <c r="C23" s="905" t="s">
        <v>241</v>
      </c>
      <c r="D23" s="787">
        <v>7832</v>
      </c>
      <c r="E23" s="743">
        <v>8000</v>
      </c>
      <c r="F23" s="743">
        <v>8132</v>
      </c>
      <c r="G23" s="753">
        <v>8132</v>
      </c>
    </row>
    <row r="24" spans="1:7" s="104" customFormat="1" ht="12" customHeight="1" thickBot="1" x14ac:dyDescent="0.25">
      <c r="A24" s="211" t="s">
        <v>907</v>
      </c>
      <c r="B24" s="237"/>
      <c r="C24" s="905" t="s">
        <v>837</v>
      </c>
      <c r="D24" s="591">
        <v>136964</v>
      </c>
      <c r="E24" s="593">
        <f>SUM(E25:E32)</f>
        <v>154410</v>
      </c>
      <c r="F24" s="593">
        <f>SUM(F25:F32)</f>
        <v>166940</v>
      </c>
      <c r="G24" s="368">
        <f>SUM(G25:G32)</f>
        <v>169349</v>
      </c>
    </row>
    <row r="25" spans="1:7" s="105" customFormat="1" ht="12" customHeight="1" x14ac:dyDescent="0.2">
      <c r="A25" s="239"/>
      <c r="B25" s="240" t="s">
        <v>41</v>
      </c>
      <c r="C25" s="840" t="s">
        <v>838</v>
      </c>
      <c r="D25" s="1149">
        <v>122087</v>
      </c>
      <c r="E25" s="735">
        <v>149564</v>
      </c>
      <c r="F25" s="735">
        <f>77154+59520+26553+3713</f>
        <v>166940</v>
      </c>
      <c r="G25" s="750">
        <f>77154+59520+26553+3713+260+81+2068</f>
        <v>169349</v>
      </c>
    </row>
    <row r="26" spans="1:7" s="105" customFormat="1" ht="12" customHeight="1" x14ac:dyDescent="0.2">
      <c r="A26" s="239"/>
      <c r="B26" s="240" t="s">
        <v>42</v>
      </c>
      <c r="C26" s="832" t="s">
        <v>149</v>
      </c>
      <c r="D26" s="1149">
        <v>5457</v>
      </c>
      <c r="E26" s="735">
        <v>1943</v>
      </c>
      <c r="F26" s="735"/>
      <c r="G26" s="750"/>
    </row>
    <row r="27" spans="1:7" s="105" customFormat="1" ht="12" customHeight="1" x14ac:dyDescent="0.2">
      <c r="A27" s="239"/>
      <c r="B27" s="240" t="s">
        <v>43</v>
      </c>
      <c r="C27" s="832" t="s">
        <v>46</v>
      </c>
      <c r="D27" s="1149">
        <v>0</v>
      </c>
      <c r="E27" s="735">
        <v>966</v>
      </c>
      <c r="F27" s="735"/>
      <c r="G27" s="750"/>
    </row>
    <row r="28" spans="1:7" s="105" customFormat="1" ht="12" customHeight="1" x14ac:dyDescent="0.2">
      <c r="A28" s="239"/>
      <c r="B28" s="240" t="s">
        <v>144</v>
      </c>
      <c r="C28" s="832" t="s">
        <v>952</v>
      </c>
      <c r="D28" s="1149">
        <v>9420</v>
      </c>
      <c r="E28" s="735">
        <v>0</v>
      </c>
      <c r="F28" s="735"/>
      <c r="G28" s="750"/>
    </row>
    <row r="29" spans="1:7" s="105" customFormat="1" ht="12" customHeight="1" x14ac:dyDescent="0.2">
      <c r="A29" s="239"/>
      <c r="B29" s="240" t="s">
        <v>145</v>
      </c>
      <c r="C29" s="832" t="s">
        <v>151</v>
      </c>
      <c r="D29" s="1149">
        <v>0</v>
      </c>
      <c r="E29" s="735">
        <v>0</v>
      </c>
      <c r="F29" s="735">
        <v>0</v>
      </c>
      <c r="G29" s="750">
        <v>0</v>
      </c>
    </row>
    <row r="30" spans="1:7" s="105" customFormat="1" ht="12" customHeight="1" x14ac:dyDescent="0.2">
      <c r="A30" s="239"/>
      <c r="B30" s="240" t="s">
        <v>146</v>
      </c>
      <c r="C30" s="832" t="s">
        <v>152</v>
      </c>
      <c r="D30" s="1149">
        <v>0</v>
      </c>
      <c r="E30" s="735">
        <v>0</v>
      </c>
      <c r="F30" s="735">
        <v>0</v>
      </c>
      <c r="G30" s="750">
        <v>0</v>
      </c>
    </row>
    <row r="31" spans="1:7" s="105" customFormat="1" ht="12" customHeight="1" x14ac:dyDescent="0.2">
      <c r="A31" s="239"/>
      <c r="B31" s="240" t="s">
        <v>147</v>
      </c>
      <c r="C31" s="832" t="s">
        <v>242</v>
      </c>
      <c r="D31" s="1149">
        <v>0</v>
      </c>
      <c r="E31" s="735">
        <v>0</v>
      </c>
      <c r="F31" s="735"/>
      <c r="G31" s="750"/>
    </row>
    <row r="32" spans="1:7" s="105" customFormat="1" ht="12" customHeight="1" thickBot="1" x14ac:dyDescent="0.25">
      <c r="A32" s="243"/>
      <c r="B32" s="244" t="s">
        <v>148</v>
      </c>
      <c r="C32" s="843" t="s">
        <v>207</v>
      </c>
      <c r="D32" s="1189"/>
      <c r="E32" s="738">
        <v>1937</v>
      </c>
      <c r="F32" s="738">
        <v>0</v>
      </c>
      <c r="G32" s="751">
        <v>0</v>
      </c>
    </row>
    <row r="33" spans="1:7" s="105" customFormat="1" ht="12" customHeight="1" thickBot="1" x14ac:dyDescent="0.25">
      <c r="A33" s="219" t="s">
        <v>908</v>
      </c>
      <c r="B33" s="134"/>
      <c r="C33" s="836" t="s">
        <v>393</v>
      </c>
      <c r="D33" s="591">
        <v>16051</v>
      </c>
      <c r="E33" s="593">
        <f>+E34+E40</f>
        <v>37895</v>
      </c>
      <c r="F33" s="593">
        <f>+F34+F40</f>
        <v>22434</v>
      </c>
      <c r="G33" s="368">
        <f>+G34+G40</f>
        <v>22434</v>
      </c>
    </row>
    <row r="34" spans="1:7" s="105" customFormat="1" ht="12" customHeight="1" x14ac:dyDescent="0.2">
      <c r="A34" s="241"/>
      <c r="B34" s="176" t="s">
        <v>44</v>
      </c>
      <c r="C34" s="899" t="s">
        <v>378</v>
      </c>
      <c r="D34" s="1190">
        <v>14598</v>
      </c>
      <c r="E34" s="933">
        <f>SUM(E35:E39)</f>
        <v>22134</v>
      </c>
      <c r="F34" s="933">
        <f>SUM(F35:F39)</f>
        <v>10419</v>
      </c>
      <c r="G34" s="783">
        <f>SUM(G35:G39)</f>
        <v>10419</v>
      </c>
    </row>
    <row r="35" spans="1:7" s="105" customFormat="1" ht="12" customHeight="1" x14ac:dyDescent="0.2">
      <c r="A35" s="239"/>
      <c r="B35" s="159" t="s">
        <v>47</v>
      </c>
      <c r="C35" s="832" t="s">
        <v>243</v>
      </c>
      <c r="D35" s="1166">
        <v>4192</v>
      </c>
      <c r="E35" s="883">
        <v>3996</v>
      </c>
      <c r="F35" s="883">
        <v>4696</v>
      </c>
      <c r="G35" s="779">
        <v>4696</v>
      </c>
    </row>
    <row r="36" spans="1:7" s="105" customFormat="1" ht="12" customHeight="1" x14ac:dyDescent="0.2">
      <c r="A36" s="239"/>
      <c r="B36" s="159" t="s">
        <v>48</v>
      </c>
      <c r="C36" s="832" t="s">
        <v>951</v>
      </c>
      <c r="D36" s="1166"/>
      <c r="E36" s="883"/>
      <c r="F36" s="883"/>
      <c r="G36" s="779"/>
    </row>
    <row r="37" spans="1:7" s="105" customFormat="1" ht="12" customHeight="1" x14ac:dyDescent="0.2">
      <c r="A37" s="239"/>
      <c r="B37" s="159" t="s">
        <v>49</v>
      </c>
      <c r="C37" s="832" t="s">
        <v>245</v>
      </c>
      <c r="D37" s="1166"/>
      <c r="E37" s="883"/>
      <c r="F37" s="883"/>
      <c r="G37" s="779"/>
    </row>
    <row r="38" spans="1:7" s="105" customFormat="1" ht="12" customHeight="1" x14ac:dyDescent="0.2">
      <c r="A38" s="239"/>
      <c r="B38" s="159" t="s">
        <v>50</v>
      </c>
      <c r="C38" s="832" t="s">
        <v>246</v>
      </c>
      <c r="D38" s="1166"/>
      <c r="E38" s="883"/>
      <c r="F38" s="883"/>
      <c r="G38" s="779"/>
    </row>
    <row r="39" spans="1:7" s="105" customFormat="1" ht="12" customHeight="1" x14ac:dyDescent="0.2">
      <c r="A39" s="239"/>
      <c r="B39" s="159" t="s">
        <v>154</v>
      </c>
      <c r="C39" s="832" t="s">
        <v>379</v>
      </c>
      <c r="D39" s="1166">
        <v>10406</v>
      </c>
      <c r="E39" s="883">
        <v>18138</v>
      </c>
      <c r="F39" s="883">
        <v>5723</v>
      </c>
      <c r="G39" s="779">
        <v>5723</v>
      </c>
    </row>
    <row r="40" spans="1:7" s="105" customFormat="1" ht="12" customHeight="1" x14ac:dyDescent="0.2">
      <c r="A40" s="239"/>
      <c r="B40" s="159" t="s">
        <v>45</v>
      </c>
      <c r="C40" s="900" t="s">
        <v>380</v>
      </c>
      <c r="D40" s="1191">
        <v>1453</v>
      </c>
      <c r="E40" s="741">
        <v>15761</v>
      </c>
      <c r="F40" s="741">
        <f>SUM(F41:F45)</f>
        <v>12015</v>
      </c>
      <c r="G40" s="784">
        <f>SUM(G41:G45)</f>
        <v>12015</v>
      </c>
    </row>
    <row r="41" spans="1:7" s="105" customFormat="1" ht="12" customHeight="1" x14ac:dyDescent="0.2">
      <c r="A41" s="239"/>
      <c r="B41" s="159" t="s">
        <v>53</v>
      </c>
      <c r="C41" s="832" t="s">
        <v>243</v>
      </c>
      <c r="D41" s="1166"/>
      <c r="E41" s="883"/>
      <c r="F41" s="883"/>
      <c r="G41" s="779"/>
    </row>
    <row r="42" spans="1:7" s="105" customFormat="1" ht="12" customHeight="1" x14ac:dyDescent="0.2">
      <c r="A42" s="239"/>
      <c r="B42" s="159" t="s">
        <v>54</v>
      </c>
      <c r="C42" s="832" t="s">
        <v>244</v>
      </c>
      <c r="D42" s="1166"/>
      <c r="E42" s="883"/>
      <c r="F42" s="883"/>
      <c r="G42" s="779"/>
    </row>
    <row r="43" spans="1:7" s="105" customFormat="1" ht="12" customHeight="1" x14ac:dyDescent="0.2">
      <c r="A43" s="239"/>
      <c r="B43" s="159" t="s">
        <v>55</v>
      </c>
      <c r="C43" s="832" t="s">
        <v>245</v>
      </c>
      <c r="D43" s="1166"/>
      <c r="E43" s="883"/>
      <c r="F43" s="883"/>
      <c r="G43" s="779"/>
    </row>
    <row r="44" spans="1:7" s="105" customFormat="1" ht="12" customHeight="1" x14ac:dyDescent="0.2">
      <c r="A44" s="239"/>
      <c r="B44" s="159" t="s">
        <v>56</v>
      </c>
      <c r="C44" s="832" t="s">
        <v>246</v>
      </c>
      <c r="D44" s="1166">
        <v>1453</v>
      </c>
      <c r="E44" s="883">
        <v>15111</v>
      </c>
      <c r="F44" s="883">
        <v>5532</v>
      </c>
      <c r="G44" s="779">
        <v>5532</v>
      </c>
    </row>
    <row r="45" spans="1:7" s="105" customFormat="1" ht="12" customHeight="1" thickBot="1" x14ac:dyDescent="0.25">
      <c r="A45" s="246"/>
      <c r="B45" s="177" t="s">
        <v>155</v>
      </c>
      <c r="C45" s="904" t="s">
        <v>1185</v>
      </c>
      <c r="D45" s="1192">
        <v>0</v>
      </c>
      <c r="E45" s="892">
        <v>650</v>
      </c>
      <c r="F45" s="892">
        <v>6483</v>
      </c>
      <c r="G45" s="785">
        <v>6483</v>
      </c>
    </row>
    <row r="46" spans="1:7" s="104" customFormat="1" ht="12" customHeight="1" thickBot="1" x14ac:dyDescent="0.25">
      <c r="A46" s="219" t="s">
        <v>909</v>
      </c>
      <c r="B46" s="237"/>
      <c r="C46" s="905" t="s">
        <v>247</v>
      </c>
      <c r="D46" s="591">
        <v>1037</v>
      </c>
      <c r="E46" s="593"/>
      <c r="F46" s="593">
        <f>+F47+F48</f>
        <v>209</v>
      </c>
      <c r="G46" s="368">
        <f>+G47+G48</f>
        <v>209</v>
      </c>
    </row>
    <row r="47" spans="1:7" s="105" customFormat="1" ht="12" customHeight="1" x14ac:dyDescent="0.2">
      <c r="A47" s="239"/>
      <c r="B47" s="159" t="s">
        <v>51</v>
      </c>
      <c r="C47" s="840" t="s">
        <v>89</v>
      </c>
      <c r="D47" s="1166">
        <v>1037</v>
      </c>
      <c r="E47" s="883"/>
      <c r="F47" s="883">
        <v>209</v>
      </c>
      <c r="G47" s="779">
        <v>209</v>
      </c>
    </row>
    <row r="48" spans="1:7" s="105" customFormat="1" ht="12" customHeight="1" thickBot="1" x14ac:dyDescent="0.25">
      <c r="A48" s="239"/>
      <c r="B48" s="159" t="s">
        <v>52</v>
      </c>
      <c r="C48" s="904" t="s">
        <v>840</v>
      </c>
      <c r="D48" s="1166">
        <v>0</v>
      </c>
      <c r="E48" s="883">
        <v>0</v>
      </c>
      <c r="F48" s="883">
        <v>0</v>
      </c>
      <c r="G48" s="779">
        <v>0</v>
      </c>
    </row>
    <row r="49" spans="1:9" s="105" customFormat="1" ht="12" customHeight="1" thickBot="1" x14ac:dyDescent="0.25">
      <c r="A49" s="211" t="s">
        <v>910</v>
      </c>
      <c r="B49" s="237"/>
      <c r="C49" s="905" t="s">
        <v>839</v>
      </c>
      <c r="D49" s="591">
        <v>7184</v>
      </c>
      <c r="E49" s="593">
        <v>414</v>
      </c>
      <c r="F49" s="593">
        <f>+F50+F51+F52</f>
        <v>0</v>
      </c>
      <c r="G49" s="368">
        <f>+G50+G51+G52</f>
        <v>0</v>
      </c>
    </row>
    <row r="50" spans="1:9" s="105" customFormat="1" ht="12" customHeight="1" x14ac:dyDescent="0.2">
      <c r="A50" s="247"/>
      <c r="B50" s="159" t="s">
        <v>159</v>
      </c>
      <c r="C50" s="840" t="s">
        <v>157</v>
      </c>
      <c r="D50" s="1193"/>
      <c r="E50" s="893"/>
      <c r="F50" s="893"/>
      <c r="G50" s="786"/>
    </row>
    <row r="51" spans="1:9" s="105" customFormat="1" ht="12" customHeight="1" x14ac:dyDescent="0.2">
      <c r="A51" s="247"/>
      <c r="B51" s="159" t="s">
        <v>160</v>
      </c>
      <c r="C51" s="832" t="s">
        <v>158</v>
      </c>
      <c r="D51" s="1193">
        <v>7184</v>
      </c>
      <c r="E51" s="893">
        <v>414</v>
      </c>
      <c r="F51" s="893"/>
      <c r="G51" s="786"/>
    </row>
    <row r="52" spans="1:9" s="105" customFormat="1" ht="12" customHeight="1" thickBot="1" x14ac:dyDescent="0.25">
      <c r="A52" s="239"/>
      <c r="B52" s="159" t="s">
        <v>309</v>
      </c>
      <c r="C52" s="843" t="s">
        <v>249</v>
      </c>
      <c r="D52" s="1166"/>
      <c r="E52" s="883"/>
      <c r="F52" s="883"/>
      <c r="G52" s="779"/>
    </row>
    <row r="53" spans="1:9" s="105" customFormat="1" ht="12" customHeight="1" thickBot="1" x14ac:dyDescent="0.25">
      <c r="A53" s="219" t="s">
        <v>911</v>
      </c>
      <c r="B53" s="248"/>
      <c r="C53" s="836" t="s">
        <v>250</v>
      </c>
      <c r="D53" s="787"/>
      <c r="E53" s="743"/>
      <c r="F53" s="743"/>
      <c r="G53" s="753"/>
    </row>
    <row r="54" spans="1:9" s="104" customFormat="1" ht="12" customHeight="1" thickBot="1" x14ac:dyDescent="0.25">
      <c r="A54" s="249" t="s">
        <v>912</v>
      </c>
      <c r="B54" s="250"/>
      <c r="C54" s="836" t="s">
        <v>394</v>
      </c>
      <c r="D54" s="788">
        <v>271954</v>
      </c>
      <c r="E54" s="1136">
        <f>+E9+E14+E23+E24+E33+E46+E49+E53</f>
        <v>287227</v>
      </c>
      <c r="F54" s="1188">
        <f>+F9+F14+F23+F24+F33+F46+F49+F53</f>
        <v>313779</v>
      </c>
      <c r="G54" s="789">
        <f>+G9+G14+G23+G24+G33+G46+G49+G53</f>
        <v>306003</v>
      </c>
    </row>
    <row r="55" spans="1:9" s="104" customFormat="1" ht="12" customHeight="1" thickBot="1" x14ac:dyDescent="0.25">
      <c r="A55" s="211" t="s">
        <v>913</v>
      </c>
      <c r="B55" s="178"/>
      <c r="C55" s="836" t="s">
        <v>253</v>
      </c>
      <c r="D55" s="591">
        <v>51718</v>
      </c>
      <c r="E55" s="593">
        <v>34801</v>
      </c>
      <c r="F55" s="593">
        <f>+F56+F57</f>
        <v>0</v>
      </c>
      <c r="G55" s="368">
        <f>+G56+G57</f>
        <v>41688</v>
      </c>
    </row>
    <row r="56" spans="1:9" s="104" customFormat="1" ht="12" customHeight="1" x14ac:dyDescent="0.2">
      <c r="A56" s="241"/>
      <c r="B56" s="176" t="s">
        <v>92</v>
      </c>
      <c r="C56" s="896" t="s">
        <v>954</v>
      </c>
      <c r="D56" s="790">
        <v>51718</v>
      </c>
      <c r="E56" s="934">
        <v>34801</v>
      </c>
      <c r="F56" s="934"/>
      <c r="G56" s="791">
        <v>41688</v>
      </c>
    </row>
    <row r="57" spans="1:9" s="104" customFormat="1" ht="12" customHeight="1" thickBot="1" x14ac:dyDescent="0.25">
      <c r="A57" s="246"/>
      <c r="B57" s="177" t="s">
        <v>93</v>
      </c>
      <c r="C57" s="897" t="s">
        <v>841</v>
      </c>
      <c r="D57" s="1169"/>
      <c r="E57" s="889"/>
      <c r="F57" s="889"/>
      <c r="G57" s="792"/>
    </row>
    <row r="58" spans="1:9" s="105" customFormat="1" ht="15" customHeight="1" thickBot="1" x14ac:dyDescent="0.25">
      <c r="A58" s="251" t="s">
        <v>914</v>
      </c>
      <c r="B58" s="829"/>
      <c r="C58" s="844" t="s">
        <v>267</v>
      </c>
      <c r="D58" s="591">
        <v>341</v>
      </c>
      <c r="E58" s="593"/>
      <c r="F58" s="593"/>
      <c r="G58" s="368"/>
    </row>
    <row r="59" spans="1:9" s="105" customFormat="1" ht="12" customHeight="1" thickBot="1" x14ac:dyDescent="0.25">
      <c r="A59" s="251" t="s">
        <v>915</v>
      </c>
      <c r="B59" s="829"/>
      <c r="C59" s="844" t="s">
        <v>956</v>
      </c>
      <c r="D59" s="591">
        <v>324013</v>
      </c>
      <c r="E59" s="593">
        <f>+E54+E55+E58</f>
        <v>322028</v>
      </c>
      <c r="F59" s="593">
        <f>+F54+F55+F58</f>
        <v>313779</v>
      </c>
      <c r="G59" s="591">
        <f>+G54+G55+G58</f>
        <v>347691</v>
      </c>
      <c r="H59" s="825"/>
      <c r="I59" s="825"/>
    </row>
    <row r="60" spans="1:9" s="105" customFormat="1" ht="15" customHeight="1" thickBot="1" x14ac:dyDescent="0.25">
      <c r="A60" s="254"/>
      <c r="B60" s="830"/>
      <c r="C60" s="831"/>
      <c r="D60" s="793"/>
      <c r="E60" s="794"/>
      <c r="F60" s="794"/>
      <c r="G60" s="794"/>
    </row>
    <row r="61" spans="1:9" s="102" customFormat="1" ht="25.5" customHeight="1" x14ac:dyDescent="0.2">
      <c r="A61" s="1353" t="s">
        <v>234</v>
      </c>
      <c r="B61" s="1354"/>
      <c r="C61" s="385" t="s">
        <v>664</v>
      </c>
      <c r="D61" s="770"/>
      <c r="E61" s="771" t="s">
        <v>939</v>
      </c>
      <c r="F61" s="771"/>
      <c r="G61" s="771"/>
    </row>
    <row r="62" spans="1:9" ht="13.5" thickBot="1" x14ac:dyDescent="0.25">
      <c r="A62" s="256"/>
      <c r="B62" s="257"/>
      <c r="C62" s="257"/>
      <c r="D62" s="795"/>
      <c r="E62" s="795"/>
      <c r="F62" s="795"/>
      <c r="G62" s="795"/>
    </row>
    <row r="63" spans="1:9" s="60" customFormat="1" ht="26.25" thickBot="1" x14ac:dyDescent="0.25">
      <c r="A63" s="258"/>
      <c r="B63" s="259"/>
      <c r="C63" s="1147" t="s">
        <v>1</v>
      </c>
      <c r="D63" s="1163" t="s">
        <v>1085</v>
      </c>
      <c r="E63" s="879" t="s">
        <v>1086</v>
      </c>
      <c r="F63" s="1163" t="s">
        <v>1001</v>
      </c>
      <c r="G63" s="1170" t="s">
        <v>1196</v>
      </c>
    </row>
    <row r="64" spans="1:9" s="106" customFormat="1" ht="12" customHeight="1" thickBot="1" x14ac:dyDescent="0.25">
      <c r="A64" s="219" t="s">
        <v>903</v>
      </c>
      <c r="B64" s="24"/>
      <c r="C64" s="134" t="s">
        <v>858</v>
      </c>
      <c r="D64" s="591">
        <v>119551</v>
      </c>
      <c r="E64" s="593">
        <f>SUM(E65:E69)</f>
        <v>141178</v>
      </c>
      <c r="F64" s="591">
        <f>SUM(F65:F69)</f>
        <v>122458</v>
      </c>
      <c r="G64" s="592">
        <f>SUM(G65:G69)</f>
        <v>132247</v>
      </c>
    </row>
    <row r="65" spans="1:7" ht="12" customHeight="1" x14ac:dyDescent="0.2">
      <c r="A65" s="261"/>
      <c r="B65" s="175" t="s">
        <v>57</v>
      </c>
      <c r="C65" s="12" t="s">
        <v>934</v>
      </c>
      <c r="D65" s="1193">
        <v>29336</v>
      </c>
      <c r="E65" s="893">
        <v>46577</v>
      </c>
      <c r="F65" s="1193">
        <v>35320</v>
      </c>
      <c r="G65" s="1205">
        <f>35320+103+64</f>
        <v>35487</v>
      </c>
    </row>
    <row r="66" spans="1:7" ht="12" customHeight="1" x14ac:dyDescent="0.2">
      <c r="A66" s="262"/>
      <c r="B66" s="159" t="s">
        <v>58</v>
      </c>
      <c r="C66" s="9" t="s">
        <v>164</v>
      </c>
      <c r="D66" s="1149">
        <v>6100</v>
      </c>
      <c r="E66" s="735">
        <v>12302</v>
      </c>
      <c r="F66" s="1149">
        <v>7861</v>
      </c>
      <c r="G66" s="726">
        <f>7861+17+23</f>
        <v>7901</v>
      </c>
    </row>
    <row r="67" spans="1:7" ht="12" customHeight="1" x14ac:dyDescent="0.2">
      <c r="A67" s="262"/>
      <c r="B67" s="159" t="s">
        <v>59</v>
      </c>
      <c r="C67" s="9" t="s">
        <v>88</v>
      </c>
      <c r="D67" s="1166">
        <v>70898</v>
      </c>
      <c r="E67" s="883">
        <v>72655</v>
      </c>
      <c r="F67" s="1166">
        <v>63796</v>
      </c>
      <c r="G67" s="1174">
        <f>63796+446+1324+900</f>
        <v>66466</v>
      </c>
    </row>
    <row r="68" spans="1:7" ht="12" customHeight="1" x14ac:dyDescent="0.2">
      <c r="A68" s="262"/>
      <c r="B68" s="159" t="s">
        <v>60</v>
      </c>
      <c r="C68" s="9" t="s">
        <v>165</v>
      </c>
      <c r="D68" s="1166">
        <v>4824</v>
      </c>
      <c r="E68" s="883">
        <v>2084</v>
      </c>
      <c r="F68" s="1166">
        <v>9194</v>
      </c>
      <c r="G68" s="1174">
        <v>9194</v>
      </c>
    </row>
    <row r="69" spans="1:7" ht="12" customHeight="1" x14ac:dyDescent="0.2">
      <c r="A69" s="262"/>
      <c r="B69" s="159" t="s">
        <v>71</v>
      </c>
      <c r="C69" s="9" t="s">
        <v>166</v>
      </c>
      <c r="D69" s="1166">
        <v>8393</v>
      </c>
      <c r="E69" s="883">
        <v>7560</v>
      </c>
      <c r="F69" s="1166">
        <f>SUM(F71:F77)</f>
        <v>6287</v>
      </c>
      <c r="G69" s="1174">
        <f>SUM(G71:G77)</f>
        <v>13199</v>
      </c>
    </row>
    <row r="70" spans="1:7" ht="12" customHeight="1" x14ac:dyDescent="0.2">
      <c r="A70" s="262"/>
      <c r="B70" s="159" t="s">
        <v>61</v>
      </c>
      <c r="C70" s="9" t="s">
        <v>188</v>
      </c>
      <c r="D70" s="1149"/>
      <c r="E70" s="735"/>
      <c r="F70" s="1149"/>
      <c r="G70" s="726"/>
    </row>
    <row r="71" spans="1:7" ht="12" customHeight="1" x14ac:dyDescent="0.2">
      <c r="A71" s="262"/>
      <c r="B71" s="159" t="s">
        <v>62</v>
      </c>
      <c r="C71" s="1197" t="s">
        <v>842</v>
      </c>
      <c r="D71" s="1166"/>
      <c r="E71" s="883"/>
      <c r="F71" s="1166"/>
      <c r="G71" s="1174"/>
    </row>
    <row r="72" spans="1:7" ht="12" customHeight="1" x14ac:dyDescent="0.2">
      <c r="A72" s="262"/>
      <c r="B72" s="159" t="s">
        <v>72</v>
      </c>
      <c r="C72" s="1198" t="s">
        <v>395</v>
      </c>
      <c r="D72" s="1166"/>
      <c r="E72" s="883"/>
      <c r="F72" s="1166">
        <v>302</v>
      </c>
      <c r="G72" s="1174">
        <v>302</v>
      </c>
    </row>
    <row r="73" spans="1:7" ht="12" customHeight="1" x14ac:dyDescent="0.2">
      <c r="A73" s="262"/>
      <c r="B73" s="159" t="s">
        <v>73</v>
      </c>
      <c r="C73" s="1198" t="s">
        <v>843</v>
      </c>
      <c r="D73" s="1166">
        <v>6325</v>
      </c>
      <c r="E73" s="883">
        <v>4460</v>
      </c>
      <c r="F73" s="1166">
        <v>4679</v>
      </c>
      <c r="G73" s="1174">
        <f>4679+264</f>
        <v>4943</v>
      </c>
    </row>
    <row r="74" spans="1:7" ht="12" customHeight="1" x14ac:dyDescent="0.2">
      <c r="A74" s="262"/>
      <c r="B74" s="159" t="s">
        <v>74</v>
      </c>
      <c r="C74" s="1198" t="s">
        <v>995</v>
      </c>
      <c r="D74" s="1166"/>
      <c r="E74" s="883">
        <v>1500</v>
      </c>
      <c r="F74" s="1166">
        <v>1000</v>
      </c>
      <c r="G74" s="1174">
        <v>1000</v>
      </c>
    </row>
    <row r="75" spans="1:7" ht="12" customHeight="1" x14ac:dyDescent="0.2">
      <c r="A75" s="262"/>
      <c r="B75" s="159" t="s">
        <v>75</v>
      </c>
      <c r="C75" s="1199" t="s">
        <v>1202</v>
      </c>
      <c r="D75" s="1166">
        <v>130</v>
      </c>
      <c r="E75" s="883">
        <v>100</v>
      </c>
      <c r="F75" s="1166"/>
      <c r="G75" s="1174">
        <v>6548</v>
      </c>
    </row>
    <row r="76" spans="1:7" ht="12" customHeight="1" x14ac:dyDescent="0.2">
      <c r="A76" s="262"/>
      <c r="B76" s="159" t="s">
        <v>77</v>
      </c>
      <c r="C76" s="154" t="s">
        <v>844</v>
      </c>
      <c r="D76" s="1166">
        <v>1938</v>
      </c>
      <c r="E76" s="883"/>
      <c r="F76" s="1166"/>
      <c r="G76" s="1174">
        <v>100</v>
      </c>
    </row>
    <row r="77" spans="1:7" ht="12" customHeight="1" thickBot="1" x14ac:dyDescent="0.25">
      <c r="A77" s="263"/>
      <c r="B77" s="179" t="s">
        <v>167</v>
      </c>
      <c r="C77" s="156" t="s">
        <v>1089</v>
      </c>
      <c r="D77" s="1167"/>
      <c r="E77" s="885">
        <v>1500</v>
      </c>
      <c r="F77" s="1167">
        <v>306</v>
      </c>
      <c r="G77" s="1176">
        <v>306</v>
      </c>
    </row>
    <row r="78" spans="1:7" ht="12" customHeight="1" thickBot="1" x14ac:dyDescent="0.25">
      <c r="A78" s="219" t="s">
        <v>904</v>
      </c>
      <c r="B78" s="24"/>
      <c r="C78" s="134" t="s">
        <v>857</v>
      </c>
      <c r="D78" s="591">
        <v>17736</v>
      </c>
      <c r="E78" s="593">
        <f>SUM(E79:E88)</f>
        <v>18175</v>
      </c>
      <c r="F78" s="591">
        <f>SUM(F79:F88)</f>
        <v>46469</v>
      </c>
      <c r="G78" s="592">
        <f>SUM(G79:G88)-G81</f>
        <v>54299</v>
      </c>
    </row>
    <row r="79" spans="1:7" s="106" customFormat="1" ht="12" customHeight="1" x14ac:dyDescent="0.2">
      <c r="A79" s="261"/>
      <c r="B79" s="175" t="s">
        <v>63</v>
      </c>
      <c r="C79" s="896" t="s">
        <v>845</v>
      </c>
      <c r="D79" s="1182">
        <v>14406</v>
      </c>
      <c r="E79" s="733">
        <v>10099</v>
      </c>
      <c r="F79" s="1182">
        <v>9602</v>
      </c>
      <c r="G79" s="725">
        <v>25576</v>
      </c>
    </row>
    <row r="80" spans="1:7" ht="12" customHeight="1" x14ac:dyDescent="0.2">
      <c r="A80" s="262"/>
      <c r="B80" s="159" t="s">
        <v>64</v>
      </c>
      <c r="C80" s="832" t="s">
        <v>168</v>
      </c>
      <c r="D80" s="1149">
        <v>3307</v>
      </c>
      <c r="E80" s="735">
        <v>8076</v>
      </c>
      <c r="F80" s="1149">
        <v>36867</v>
      </c>
      <c r="G80" s="726">
        <v>26670</v>
      </c>
    </row>
    <row r="81" spans="1:8" ht="12" customHeight="1" x14ac:dyDescent="0.2">
      <c r="A81" s="262"/>
      <c r="B81" s="159" t="s">
        <v>65</v>
      </c>
      <c r="C81" s="832" t="s">
        <v>281</v>
      </c>
      <c r="D81" s="1149">
        <v>11</v>
      </c>
      <c r="E81" s="735"/>
      <c r="F81" s="1149"/>
      <c r="G81" s="726">
        <f>1844+209</f>
        <v>2053</v>
      </c>
    </row>
    <row r="82" spans="1:8" ht="12" customHeight="1" x14ac:dyDescent="0.2">
      <c r="A82" s="262"/>
      <c r="B82" s="159" t="s">
        <v>66</v>
      </c>
      <c r="C82" s="832" t="s">
        <v>846</v>
      </c>
      <c r="D82" s="1149"/>
      <c r="E82" s="735"/>
      <c r="F82" s="1149"/>
      <c r="G82" s="726">
        <v>209</v>
      </c>
    </row>
    <row r="83" spans="1:8" ht="12" customHeight="1" x14ac:dyDescent="0.2">
      <c r="A83" s="262"/>
      <c r="B83" s="159" t="s">
        <v>67</v>
      </c>
      <c r="C83" s="1198" t="s">
        <v>851</v>
      </c>
      <c r="D83" s="1149"/>
      <c r="E83" s="735"/>
      <c r="F83" s="1149"/>
      <c r="G83" s="726"/>
    </row>
    <row r="84" spans="1:8" ht="12" customHeight="1" x14ac:dyDescent="0.2">
      <c r="A84" s="262"/>
      <c r="B84" s="159" t="s">
        <v>76</v>
      </c>
      <c r="C84" s="1198" t="s">
        <v>850</v>
      </c>
      <c r="D84" s="1149">
        <v>11</v>
      </c>
      <c r="E84" s="735"/>
      <c r="F84" s="1149"/>
      <c r="G84" s="726"/>
    </row>
    <row r="85" spans="1:8" ht="12" customHeight="1" x14ac:dyDescent="0.2">
      <c r="A85" s="262"/>
      <c r="B85" s="159" t="s">
        <v>78</v>
      </c>
      <c r="C85" s="1198" t="s">
        <v>849</v>
      </c>
      <c r="D85" s="1149"/>
      <c r="E85" s="735"/>
      <c r="F85" s="1149"/>
      <c r="G85" s="726"/>
    </row>
    <row r="86" spans="1:8" s="106" customFormat="1" ht="12" customHeight="1" x14ac:dyDescent="0.2">
      <c r="A86" s="262"/>
      <c r="B86" s="159" t="s">
        <v>169</v>
      </c>
      <c r="C86" s="1198" t="s">
        <v>848</v>
      </c>
      <c r="D86" s="1149"/>
      <c r="E86" s="735"/>
      <c r="F86" s="1149"/>
      <c r="G86" s="726"/>
    </row>
    <row r="87" spans="1:8" ht="23.25" customHeight="1" x14ac:dyDescent="0.2">
      <c r="A87" s="262"/>
      <c r="B87" s="159" t="s">
        <v>170</v>
      </c>
      <c r="C87" s="1198" t="s">
        <v>847</v>
      </c>
      <c r="D87" s="1149"/>
      <c r="E87" s="735"/>
      <c r="F87" s="1149"/>
      <c r="G87" s="726">
        <v>1844</v>
      </c>
    </row>
    <row r="88" spans="1:8" ht="34.5" thickBot="1" x14ac:dyDescent="0.25">
      <c r="A88" s="262"/>
      <c r="B88" s="159" t="s">
        <v>171</v>
      </c>
      <c r="C88" s="1200" t="s">
        <v>852</v>
      </c>
      <c r="D88" s="1149"/>
      <c r="E88" s="735"/>
      <c r="F88" s="1149"/>
      <c r="G88" s="726"/>
    </row>
    <row r="89" spans="1:8" ht="12" customHeight="1" thickBot="1" x14ac:dyDescent="0.25">
      <c r="A89" s="382" t="s">
        <v>905</v>
      </c>
      <c r="B89" s="26"/>
      <c r="C89" s="1201" t="s">
        <v>853</v>
      </c>
      <c r="D89" s="794">
        <v>0</v>
      </c>
      <c r="E89" s="593">
        <f>+E90+E91</f>
        <v>15701</v>
      </c>
      <c r="F89" s="794">
        <f>+F90+F91</f>
        <v>6592</v>
      </c>
      <c r="G89" s="1179">
        <f>+G90+G91</f>
        <v>32633</v>
      </c>
    </row>
    <row r="90" spans="1:8" s="106" customFormat="1" ht="12" customHeight="1" x14ac:dyDescent="0.2">
      <c r="A90" s="383"/>
      <c r="B90" s="176" t="s">
        <v>37</v>
      </c>
      <c r="C90" s="1202" t="s">
        <v>3</v>
      </c>
      <c r="D90" s="1168"/>
      <c r="E90" s="886">
        <v>12884</v>
      </c>
      <c r="F90" s="1168">
        <v>3346</v>
      </c>
      <c r="G90" s="1177">
        <f>3346-2382+17655-264-318-6829</f>
        <v>11208</v>
      </c>
    </row>
    <row r="91" spans="1:8" s="106" customFormat="1" ht="12" customHeight="1" thickBot="1" x14ac:dyDescent="0.25">
      <c r="A91" s="384"/>
      <c r="B91" s="177" t="s">
        <v>38</v>
      </c>
      <c r="C91" s="1203" t="s">
        <v>1092</v>
      </c>
      <c r="D91" s="1192"/>
      <c r="E91" s="892">
        <v>2817</v>
      </c>
      <c r="F91" s="1192">
        <v>3246</v>
      </c>
      <c r="G91" s="1206">
        <f>3246+15797+2382</f>
        <v>21425</v>
      </c>
    </row>
    <row r="92" spans="1:8" s="106" customFormat="1" ht="12" customHeight="1" thickBot="1" x14ac:dyDescent="0.25">
      <c r="A92" s="386" t="s">
        <v>906</v>
      </c>
      <c r="B92" s="387"/>
      <c r="C92" s="905" t="s">
        <v>286</v>
      </c>
      <c r="D92" s="1195"/>
      <c r="E92" s="894"/>
      <c r="F92" s="1195"/>
      <c r="G92" s="1207"/>
    </row>
    <row r="93" spans="1:8" s="106" customFormat="1" ht="12" customHeight="1" thickBot="1" x14ac:dyDescent="0.25">
      <c r="A93" s="219" t="s">
        <v>907</v>
      </c>
      <c r="B93" s="191"/>
      <c r="C93" s="1204" t="s">
        <v>236</v>
      </c>
      <c r="D93" s="787">
        <v>136729</v>
      </c>
      <c r="E93" s="743">
        <v>146974</v>
      </c>
      <c r="F93" s="787">
        <f>'10. sz. mell.'!F25+'11. sz. mell.'!F25</f>
        <v>138260</v>
      </c>
      <c r="G93" s="728">
        <f>'10. sz. mell.'!G25+'11. sz. mell.'!G25</f>
        <v>122808</v>
      </c>
    </row>
    <row r="94" spans="1:8" s="106" customFormat="1" ht="12" customHeight="1" thickBot="1" x14ac:dyDescent="0.25">
      <c r="A94" s="219" t="s">
        <v>908</v>
      </c>
      <c r="B94" s="24"/>
      <c r="C94" s="836" t="s">
        <v>854</v>
      </c>
      <c r="D94" s="1196">
        <v>274004</v>
      </c>
      <c r="E94" s="895">
        <f>+E64+E78+E89+E92+E93</f>
        <v>322028</v>
      </c>
      <c r="F94" s="1196">
        <f>+F64+F78+F89+F92+F93</f>
        <v>313779</v>
      </c>
      <c r="G94" s="1208">
        <f>+G64+G78+G89+G92+G93</f>
        <v>341987</v>
      </c>
      <c r="H94" s="931"/>
    </row>
    <row r="95" spans="1:8" s="106" customFormat="1" ht="12" customHeight="1" thickBot="1" x14ac:dyDescent="0.25">
      <c r="A95" s="219" t="s">
        <v>909</v>
      </c>
      <c r="B95" s="24"/>
      <c r="C95" s="836" t="s">
        <v>856</v>
      </c>
      <c r="D95" s="591">
        <v>0</v>
      </c>
      <c r="E95" s="593">
        <f>+E96+E97</f>
        <v>0</v>
      </c>
      <c r="F95" s="591">
        <f>+F96+F97</f>
        <v>0</v>
      </c>
      <c r="G95" s="592">
        <f>+G96+G97</f>
        <v>5704</v>
      </c>
    </row>
    <row r="96" spans="1:8" ht="12.75" customHeight="1" x14ac:dyDescent="0.2">
      <c r="A96" s="261"/>
      <c r="B96" s="159" t="s">
        <v>235</v>
      </c>
      <c r="C96" s="896" t="s">
        <v>1201</v>
      </c>
      <c r="D96" s="1193"/>
      <c r="E96" s="893"/>
      <c r="F96" s="1193"/>
      <c r="G96" s="1205">
        <v>5704</v>
      </c>
    </row>
    <row r="97" spans="1:9" ht="12" customHeight="1" thickBot="1" x14ac:dyDescent="0.25">
      <c r="A97" s="263"/>
      <c r="B97" s="179" t="s">
        <v>52</v>
      </c>
      <c r="C97" s="897" t="s">
        <v>855</v>
      </c>
      <c r="D97" s="1167"/>
      <c r="E97" s="885"/>
      <c r="F97" s="1167"/>
      <c r="G97" s="1176"/>
    </row>
    <row r="98" spans="1:9" ht="13.5" thickBot="1" x14ac:dyDescent="0.25">
      <c r="A98" s="219" t="s">
        <v>910</v>
      </c>
      <c r="B98" s="248"/>
      <c r="C98" s="836" t="s">
        <v>297</v>
      </c>
      <c r="D98" s="1041">
        <v>5999</v>
      </c>
      <c r="E98" s="890"/>
      <c r="F98" s="1041"/>
      <c r="G98" s="1181"/>
    </row>
    <row r="99" spans="1:9" ht="15" customHeight="1" thickBot="1" x14ac:dyDescent="0.25">
      <c r="A99" s="219" t="s">
        <v>911</v>
      </c>
      <c r="B99" s="248"/>
      <c r="C99" s="836" t="s">
        <v>957</v>
      </c>
      <c r="D99" s="1041">
        <v>280003</v>
      </c>
      <c r="E99" s="890">
        <f>+E94+E95+E98</f>
        <v>322028</v>
      </c>
      <c r="F99" s="1041">
        <f>+F94+F95+F98</f>
        <v>313779</v>
      </c>
      <c r="G99" s="1209">
        <f>+G94+G95+G98</f>
        <v>347691</v>
      </c>
      <c r="H99" s="826"/>
      <c r="I99" s="826"/>
    </row>
    <row r="100" spans="1:9" ht="15" hidden="1" customHeight="1" thickBot="1" x14ac:dyDescent="0.25">
      <c r="A100" s="267" t="s">
        <v>208</v>
      </c>
      <c r="B100" s="268"/>
      <c r="C100" s="269"/>
      <c r="D100" s="132"/>
      <c r="E100" s="132"/>
      <c r="F100" s="132"/>
      <c r="G100" s="132"/>
    </row>
    <row r="101" spans="1:9" ht="14.25" hidden="1" customHeight="1" thickBot="1" x14ac:dyDescent="0.25">
      <c r="A101" s="267" t="s">
        <v>209</v>
      </c>
      <c r="B101" s="268"/>
      <c r="C101" s="269"/>
      <c r="D101" s="132"/>
      <c r="E101" s="132"/>
      <c r="F101" s="132"/>
      <c r="G101" s="132"/>
    </row>
    <row r="102" spans="1:9" hidden="1" x14ac:dyDescent="0.2"/>
    <row r="104" spans="1:9" x14ac:dyDescent="0.2">
      <c r="F104" s="602"/>
      <c r="G104" s="602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verticalDpi="300" r:id="rId1"/>
  <headerFooter alignWithMargins="0">
    <oddHeader>&amp;R&amp;"Times New Roman CE,Félkövér"&amp;11 9. melléklet az 1/2015. (II.13.) önkormányzati rendelethez</oddHeader>
  </headerFooter>
  <rowBreaks count="1" manualBreakCount="1">
    <brk id="60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5" customWidth="1"/>
    <col min="2" max="2" width="9.6640625" style="266" customWidth="1"/>
    <col min="3" max="3" width="72" style="266" customWidth="1"/>
    <col min="4" max="4" width="25" style="266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27"/>
      <c r="D1" s="272" t="s">
        <v>859</v>
      </c>
    </row>
    <row r="2" spans="1:4" s="102" customFormat="1" ht="25.5" customHeight="1" x14ac:dyDescent="0.2">
      <c r="A2" s="1353" t="s">
        <v>204</v>
      </c>
      <c r="B2" s="1354"/>
      <c r="C2" s="385" t="s">
        <v>211</v>
      </c>
      <c r="D2" s="405" t="s">
        <v>7</v>
      </c>
    </row>
    <row r="3" spans="1:4" s="102" customFormat="1" ht="16.5" hidden="1" thickBot="1" x14ac:dyDescent="0.25">
      <c r="A3" s="228" t="s">
        <v>203</v>
      </c>
      <c r="B3" s="229"/>
      <c r="C3" s="406" t="s">
        <v>213</v>
      </c>
      <c r="D3" s="407" t="s">
        <v>237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51" t="s">
        <v>205</v>
      </c>
      <c r="B5" s="1352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5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5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5" customFormat="1" ht="12" customHeight="1" thickBot="1" x14ac:dyDescent="0.25">
      <c r="A25" s="219" t="s">
        <v>906</v>
      </c>
      <c r="B25" s="134"/>
      <c r="C25" s="134" t="s">
        <v>238</v>
      </c>
      <c r="D25" s="369"/>
    </row>
    <row r="26" spans="1:4" s="104" customFormat="1" ht="12" customHeight="1" thickBot="1" x14ac:dyDescent="0.25">
      <c r="A26" s="219" t="s">
        <v>907</v>
      </c>
      <c r="B26" s="237"/>
      <c r="C26" s="134" t="s">
        <v>866</v>
      </c>
      <c r="D26" s="369"/>
    </row>
    <row r="27" spans="1:4" s="104" customFormat="1" ht="12" customHeight="1" thickBot="1" x14ac:dyDescent="0.25">
      <c r="A27" s="211" t="s">
        <v>908</v>
      </c>
      <c r="B27" s="178"/>
      <c r="C27" s="134" t="s">
        <v>871</v>
      </c>
      <c r="D27" s="391">
        <f>+D8+D17+D22+D25+D26</f>
        <v>0</v>
      </c>
    </row>
    <row r="28" spans="1:4" s="104" customFormat="1" ht="12" customHeight="1" thickBot="1" x14ac:dyDescent="0.25">
      <c r="A28" s="399" t="s">
        <v>909</v>
      </c>
      <c r="B28" s="408"/>
      <c r="C28" s="401" t="s">
        <v>867</v>
      </c>
      <c r="D28" s="412">
        <f>+D29+D30</f>
        <v>0</v>
      </c>
    </row>
    <row r="29" spans="1:4" s="104" customFormat="1" ht="12" customHeight="1" x14ac:dyDescent="0.2">
      <c r="A29" s="241"/>
      <c r="B29" s="176" t="s">
        <v>51</v>
      </c>
      <c r="C29" s="151" t="s">
        <v>355</v>
      </c>
      <c r="D29" s="410"/>
    </row>
    <row r="30" spans="1:4" s="105" customFormat="1" ht="12" customHeight="1" thickBot="1" x14ac:dyDescent="0.25">
      <c r="A30" s="409"/>
      <c r="B30" s="177" t="s">
        <v>52</v>
      </c>
      <c r="C30" s="400" t="s">
        <v>868</v>
      </c>
      <c r="D30" s="98"/>
    </row>
    <row r="31" spans="1:4" s="105" customFormat="1" ht="12" customHeight="1" thickBot="1" x14ac:dyDescent="0.25">
      <c r="A31" s="251" t="s">
        <v>910</v>
      </c>
      <c r="B31" s="397"/>
      <c r="C31" s="398" t="s">
        <v>869</v>
      </c>
      <c r="D31" s="390"/>
    </row>
    <row r="32" spans="1:4" s="105" customFormat="1" ht="15" customHeight="1" thickBot="1" x14ac:dyDescent="0.25">
      <c r="A32" s="251" t="s">
        <v>911</v>
      </c>
      <c r="B32" s="252"/>
      <c r="C32" s="253" t="s">
        <v>870</v>
      </c>
      <c r="D32" s="394">
        <f>+D27+D28+D31</f>
        <v>0</v>
      </c>
    </row>
    <row r="33" spans="1:4" s="105" customFormat="1" ht="15" customHeight="1" x14ac:dyDescent="0.2">
      <c r="A33" s="254"/>
      <c r="B33" s="254"/>
      <c r="C33" s="255"/>
      <c r="D33" s="392"/>
    </row>
    <row r="34" spans="1:4" ht="13.5" thickBot="1" x14ac:dyDescent="0.25">
      <c r="A34" s="256"/>
      <c r="B34" s="257"/>
      <c r="C34" s="257"/>
      <c r="D34" s="393"/>
    </row>
    <row r="35" spans="1:4" s="60" customFormat="1" ht="16.5" customHeight="1" thickBot="1" x14ac:dyDescent="0.25">
      <c r="A35" s="258"/>
      <c r="B35" s="259"/>
      <c r="C35" s="260" t="s">
        <v>1</v>
      </c>
      <c r="D35" s="394"/>
    </row>
    <row r="36" spans="1:4" s="106" customFormat="1" ht="12" customHeight="1" thickBot="1" x14ac:dyDescent="0.25">
      <c r="A36" s="219" t="s">
        <v>903</v>
      </c>
      <c r="B36" s="24"/>
      <c r="C36" s="134" t="s">
        <v>858</v>
      </c>
      <c r="D36" s="348">
        <f>SUM(D37:D41)</f>
        <v>0</v>
      </c>
    </row>
    <row r="37" spans="1:4" ht="12" customHeight="1" x14ac:dyDescent="0.2">
      <c r="A37" s="261"/>
      <c r="B37" s="175" t="s">
        <v>57</v>
      </c>
      <c r="C37" s="11" t="s">
        <v>934</v>
      </c>
      <c r="D37" s="91"/>
    </row>
    <row r="38" spans="1:4" ht="12" customHeight="1" x14ac:dyDescent="0.2">
      <c r="A38" s="262"/>
      <c r="B38" s="159" t="s">
        <v>58</v>
      </c>
      <c r="C38" s="9" t="s">
        <v>164</v>
      </c>
      <c r="D38" s="94"/>
    </row>
    <row r="39" spans="1:4" ht="12" customHeight="1" x14ac:dyDescent="0.2">
      <c r="A39" s="262"/>
      <c r="B39" s="159" t="s">
        <v>59</v>
      </c>
      <c r="C39" s="9" t="s">
        <v>88</v>
      </c>
      <c r="D39" s="94"/>
    </row>
    <row r="40" spans="1:4" ht="12" customHeight="1" x14ac:dyDescent="0.2">
      <c r="A40" s="262"/>
      <c r="B40" s="159" t="s">
        <v>60</v>
      </c>
      <c r="C40" s="9" t="s">
        <v>165</v>
      </c>
      <c r="D40" s="94"/>
    </row>
    <row r="41" spans="1:4" ht="12" customHeight="1" thickBot="1" x14ac:dyDescent="0.25">
      <c r="A41" s="262"/>
      <c r="B41" s="159" t="s">
        <v>71</v>
      </c>
      <c r="C41" s="9" t="s">
        <v>166</v>
      </c>
      <c r="D41" s="94"/>
    </row>
    <row r="42" spans="1:4" ht="12" customHeight="1" thickBot="1" x14ac:dyDescent="0.25">
      <c r="A42" s="219" t="s">
        <v>904</v>
      </c>
      <c r="B42" s="24"/>
      <c r="C42" s="134" t="s">
        <v>875</v>
      </c>
      <c r="D42" s="348">
        <f>SUM(D43:D46)</f>
        <v>0</v>
      </c>
    </row>
    <row r="43" spans="1:4" s="106" customFormat="1" ht="12" customHeight="1" x14ac:dyDescent="0.2">
      <c r="A43" s="261"/>
      <c r="B43" s="175" t="s">
        <v>63</v>
      </c>
      <c r="C43" s="11" t="s">
        <v>280</v>
      </c>
      <c r="D43" s="91"/>
    </row>
    <row r="44" spans="1:4" ht="12" customHeight="1" x14ac:dyDescent="0.2">
      <c r="A44" s="262"/>
      <c r="B44" s="159" t="s">
        <v>64</v>
      </c>
      <c r="C44" s="9" t="s">
        <v>168</v>
      </c>
      <c r="D44" s="94"/>
    </row>
    <row r="45" spans="1:4" ht="12" customHeight="1" x14ac:dyDescent="0.2">
      <c r="A45" s="262"/>
      <c r="B45" s="159" t="s">
        <v>67</v>
      </c>
      <c r="C45" s="9" t="s">
        <v>2</v>
      </c>
      <c r="D45" s="94"/>
    </row>
    <row r="46" spans="1:4" ht="12" customHeight="1" thickBot="1" x14ac:dyDescent="0.25">
      <c r="A46" s="262"/>
      <c r="B46" s="159" t="s">
        <v>78</v>
      </c>
      <c r="C46" s="9" t="s">
        <v>872</v>
      </c>
      <c r="D46" s="94"/>
    </row>
    <row r="47" spans="1:4" ht="12" customHeight="1" thickBot="1" x14ac:dyDescent="0.25">
      <c r="A47" s="219" t="s">
        <v>905</v>
      </c>
      <c r="B47" s="24"/>
      <c r="C47" s="24" t="s">
        <v>873</v>
      </c>
      <c r="D47" s="369"/>
    </row>
    <row r="48" spans="1:4" s="105" customFormat="1" ht="12" customHeight="1" thickBot="1" x14ac:dyDescent="0.25">
      <c r="A48" s="251" t="s">
        <v>906</v>
      </c>
      <c r="B48" s="397"/>
      <c r="C48" s="398" t="s">
        <v>876</v>
      </c>
      <c r="D48" s="390"/>
    </row>
    <row r="49" spans="1:4" ht="15" customHeight="1" thickBot="1" x14ac:dyDescent="0.25">
      <c r="A49" s="219" t="s">
        <v>907</v>
      </c>
      <c r="B49" s="248"/>
      <c r="C49" s="264" t="s">
        <v>874</v>
      </c>
      <c r="D49" s="395">
        <f>+D36+D42+D47+D48</f>
        <v>0</v>
      </c>
    </row>
    <row r="50" spans="1:4" ht="13.5" thickBot="1" x14ac:dyDescent="0.25">
      <c r="D50" s="396"/>
    </row>
    <row r="51" spans="1:4" ht="15" customHeight="1" thickBot="1" x14ac:dyDescent="0.25">
      <c r="A51" s="267" t="s">
        <v>208</v>
      </c>
      <c r="B51" s="268"/>
      <c r="C51" s="269"/>
      <c r="D51" s="132"/>
    </row>
    <row r="52" spans="1:4" ht="14.25" customHeight="1" thickBot="1" x14ac:dyDescent="0.25">
      <c r="A52" s="267" t="s">
        <v>209</v>
      </c>
      <c r="B52" s="268"/>
      <c r="C52" s="269"/>
      <c r="D52" s="132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403</v>
      </c>
    </row>
    <row r="2" spans="1:4" s="102" customFormat="1" ht="25.5" customHeight="1" x14ac:dyDescent="0.2">
      <c r="A2" s="1353" t="s">
        <v>204</v>
      </c>
      <c r="B2" s="1354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5</v>
      </c>
      <c r="D3" s="275" t="s">
        <v>939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51" t="s">
        <v>205</v>
      </c>
      <c r="B5" s="1352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5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5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ht="15.75" thickBot="1" x14ac:dyDescent="0.25">
      <c r="A29" s="409"/>
      <c r="B29" s="177" t="s">
        <v>45</v>
      </c>
      <c r="C29" s="400" t="s">
        <v>868</v>
      </c>
      <c r="D29" s="98"/>
    </row>
    <row r="30" spans="1:4" s="60" customFormat="1" ht="16.5" customHeight="1" thickBot="1" x14ac:dyDescent="0.25">
      <c r="A30" s="251" t="s">
        <v>909</v>
      </c>
      <c r="B30" s="397"/>
      <c r="C30" s="398" t="s">
        <v>881</v>
      </c>
      <c r="D30" s="390"/>
    </row>
    <row r="31" spans="1:4" s="106" customFormat="1" ht="12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s="106" customFormat="1" ht="12" customHeight="1" x14ac:dyDescent="0.2">
      <c r="A38" s="262"/>
      <c r="B38" s="159" t="s">
        <v>59</v>
      </c>
      <c r="C38" s="9" t="s">
        <v>88</v>
      </c>
      <c r="D38" s="94"/>
    </row>
    <row r="39" spans="1:4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5" customHeight="1" x14ac:dyDescent="0.2">
      <c r="A43" s="262"/>
      <c r="B43" s="159" t="s">
        <v>64</v>
      </c>
      <c r="C43" s="9" t="s">
        <v>168</v>
      </c>
      <c r="D43" s="94"/>
    </row>
    <row r="44" spans="1:4" x14ac:dyDescent="0.2">
      <c r="A44" s="262"/>
      <c r="B44" s="159" t="s">
        <v>67</v>
      </c>
      <c r="C44" s="9" t="s">
        <v>2</v>
      </c>
      <c r="D44" s="94"/>
    </row>
    <row r="45" spans="1:4" ht="15" customHeight="1" thickBot="1" x14ac:dyDescent="0.25">
      <c r="A45" s="262"/>
      <c r="B45" s="159" t="s">
        <v>78</v>
      </c>
      <c r="C45" s="9" t="s">
        <v>872</v>
      </c>
      <c r="D45" s="94"/>
    </row>
    <row r="46" spans="1:4" ht="14.25" customHeight="1" thickBot="1" x14ac:dyDescent="0.25">
      <c r="A46" s="219" t="s">
        <v>905</v>
      </c>
      <c r="B46" s="24"/>
      <c r="C46" s="24" t="s">
        <v>873</v>
      </c>
      <c r="D46" s="369"/>
    </row>
    <row r="47" spans="1:4" ht="13.5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46"/>
      <c r="B4" s="146"/>
    </row>
    <row r="5" spans="1:2" s="158" customFormat="1" ht="15.75" x14ac:dyDescent="0.25">
      <c r="A5" s="101" t="s">
        <v>398</v>
      </c>
      <c r="B5" s="157"/>
    </row>
    <row r="6" spans="1:2" x14ac:dyDescent="0.2">
      <c r="A6" s="146"/>
      <c r="B6" s="146"/>
    </row>
    <row r="7" spans="1:2" x14ac:dyDescent="0.2">
      <c r="A7" s="146" t="s">
        <v>194</v>
      </c>
      <c r="B7" s="146" t="s">
        <v>405</v>
      </c>
    </row>
    <row r="8" spans="1:2" x14ac:dyDescent="0.2">
      <c r="A8" s="146" t="s">
        <v>97</v>
      </c>
      <c r="B8" s="146" t="s">
        <v>406</v>
      </c>
    </row>
    <row r="9" spans="1:2" x14ac:dyDescent="0.2">
      <c r="A9" s="146" t="s">
        <v>396</v>
      </c>
      <c r="B9" s="146" t="s">
        <v>407</v>
      </c>
    </row>
    <row r="10" spans="1:2" x14ac:dyDescent="0.2">
      <c r="A10" s="146"/>
      <c r="B10" s="146"/>
    </row>
    <row r="11" spans="1:2" x14ac:dyDescent="0.2">
      <c r="A11" s="146"/>
      <c r="B11" s="146"/>
    </row>
    <row r="12" spans="1:2" s="158" customFormat="1" ht="15.75" x14ac:dyDescent="0.25">
      <c r="A12" s="101" t="s">
        <v>399</v>
      </c>
      <c r="B12" s="157"/>
    </row>
    <row r="13" spans="1:2" x14ac:dyDescent="0.2">
      <c r="A13" s="146"/>
      <c r="B13" s="146"/>
    </row>
    <row r="14" spans="1:2" x14ac:dyDescent="0.2">
      <c r="A14" s="146" t="s">
        <v>121</v>
      </c>
      <c r="B14" s="146" t="s">
        <v>408</v>
      </c>
    </row>
    <row r="15" spans="1:2" x14ac:dyDescent="0.2">
      <c r="A15" s="146" t="s">
        <v>98</v>
      </c>
      <c r="B15" s="146" t="s">
        <v>409</v>
      </c>
    </row>
    <row r="16" spans="1:2" x14ac:dyDescent="0.2">
      <c r="A16" s="146" t="s">
        <v>397</v>
      </c>
      <c r="B16" s="146" t="s">
        <v>410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402</v>
      </c>
    </row>
    <row r="2" spans="1:4" s="102" customFormat="1" ht="25.5" customHeight="1" x14ac:dyDescent="0.2">
      <c r="A2" s="1353" t="s">
        <v>204</v>
      </c>
      <c r="B2" s="1354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6</v>
      </c>
      <c r="D3" s="275" t="s">
        <v>7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51" t="s">
        <v>205</v>
      </c>
      <c r="B5" s="1352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2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s="105" customFormat="1" ht="15" customHeight="1" thickBot="1" x14ac:dyDescent="0.25">
      <c r="A29" s="409"/>
      <c r="B29" s="177" t="s">
        <v>45</v>
      </c>
      <c r="C29" s="400" t="s">
        <v>868</v>
      </c>
      <c r="D29" s="98"/>
    </row>
    <row r="30" spans="1:4" ht="13.5" thickBot="1" x14ac:dyDescent="0.25">
      <c r="A30" s="251" t="s">
        <v>909</v>
      </c>
      <c r="B30" s="397"/>
      <c r="C30" s="398" t="s">
        <v>881</v>
      </c>
      <c r="D30" s="390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s="106" customFormat="1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401</v>
      </c>
    </row>
    <row r="2" spans="1:4" s="102" customFormat="1" ht="25.5" customHeight="1" x14ac:dyDescent="0.2">
      <c r="A2" s="1353" t="s">
        <v>204</v>
      </c>
      <c r="B2" s="1354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9</v>
      </c>
      <c r="D3" s="275" t="s">
        <v>8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51" t="s">
        <v>205</v>
      </c>
      <c r="B5" s="1352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2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s="105" customFormat="1" ht="15" customHeight="1" thickBot="1" x14ac:dyDescent="0.25">
      <c r="A29" s="409"/>
      <c r="B29" s="177" t="s">
        <v>45</v>
      </c>
      <c r="C29" s="400" t="s">
        <v>868</v>
      </c>
      <c r="D29" s="98"/>
    </row>
    <row r="30" spans="1:4" ht="13.5" thickBot="1" x14ac:dyDescent="0.25">
      <c r="A30" s="251" t="s">
        <v>909</v>
      </c>
      <c r="B30" s="397"/>
      <c r="C30" s="398" t="s">
        <v>881</v>
      </c>
      <c r="D30" s="390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s="106" customFormat="1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877</v>
      </c>
    </row>
    <row r="2" spans="1:4" s="102" customFormat="1" ht="25.5" customHeight="1" x14ac:dyDescent="0.2">
      <c r="A2" s="1353" t="s">
        <v>204</v>
      </c>
      <c r="B2" s="1354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212</v>
      </c>
      <c r="D3" s="275" t="s">
        <v>10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351" t="s">
        <v>205</v>
      </c>
      <c r="B5" s="1352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8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9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4" t="s">
        <v>37</v>
      </c>
      <c r="C23" s="151" t="s">
        <v>248</v>
      </c>
      <c r="D23" s="410"/>
    </row>
    <row r="24" spans="1:4" s="104" customFormat="1" ht="12" customHeight="1" thickBot="1" x14ac:dyDescent="0.25">
      <c r="A24" s="402"/>
      <c r="B24" s="403" t="s">
        <v>38</v>
      </c>
      <c r="C24" s="152" t="s">
        <v>252</v>
      </c>
      <c r="D24" s="411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1"/>
    </row>
    <row r="27" spans="1:4" s="105" customFormat="1" ht="12" customHeight="1" thickBot="1" x14ac:dyDescent="0.25">
      <c r="A27" s="399" t="s">
        <v>908</v>
      </c>
      <c r="B27" s="408"/>
      <c r="C27" s="401" t="s">
        <v>880</v>
      </c>
      <c r="D27" s="412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10"/>
    </row>
    <row r="29" spans="1:4" s="105" customFormat="1" ht="15" customHeight="1" thickBot="1" x14ac:dyDescent="0.25">
      <c r="A29" s="409"/>
      <c r="B29" s="177" t="s">
        <v>45</v>
      </c>
      <c r="C29" s="400" t="s">
        <v>868</v>
      </c>
      <c r="D29" s="98"/>
    </row>
    <row r="30" spans="1:4" ht="13.5" thickBot="1" x14ac:dyDescent="0.25">
      <c r="A30" s="251" t="s">
        <v>909</v>
      </c>
      <c r="B30" s="397"/>
      <c r="C30" s="398" t="s">
        <v>881</v>
      </c>
      <c r="D30" s="390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4">
        <f>+D26+D27+D30</f>
        <v>0</v>
      </c>
    </row>
    <row r="32" spans="1:4" s="106" customFormat="1" ht="12" customHeight="1" x14ac:dyDescent="0.2">
      <c r="A32" s="254"/>
      <c r="B32" s="254"/>
      <c r="C32" s="255"/>
      <c r="D32" s="392"/>
    </row>
    <row r="33" spans="1:4" ht="12" customHeight="1" thickBot="1" x14ac:dyDescent="0.25">
      <c r="A33" s="256"/>
      <c r="B33" s="257"/>
      <c r="C33" s="257"/>
      <c r="D33" s="393"/>
    </row>
    <row r="34" spans="1:4" ht="12" customHeight="1" thickBot="1" x14ac:dyDescent="0.25">
      <c r="A34" s="258"/>
      <c r="B34" s="259"/>
      <c r="C34" s="260" t="s">
        <v>1</v>
      </c>
      <c r="D34" s="394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7"/>
      <c r="C47" s="398" t="s">
        <v>876</v>
      </c>
      <c r="D47" s="390"/>
    </row>
    <row r="48" spans="1:4" ht="13.5" thickBot="1" x14ac:dyDescent="0.25">
      <c r="A48" s="219" t="s">
        <v>907</v>
      </c>
      <c r="B48" s="248"/>
      <c r="C48" s="264" t="s">
        <v>874</v>
      </c>
      <c r="D48" s="395">
        <f>+D35+D41+D46+D47</f>
        <v>0</v>
      </c>
    </row>
    <row r="49" spans="1:4" ht="13.5" thickBot="1" x14ac:dyDescent="0.25">
      <c r="A49" s="265"/>
      <c r="B49" s="266"/>
      <c r="C49" s="266"/>
      <c r="D49" s="396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I54"/>
  <sheetViews>
    <sheetView view="pageLayout" zoomScaleNormal="100" zoomScaleSheetLayoutView="100" workbookViewId="0">
      <selection activeCell="G39" sqref="G39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5" width="11.33203125" style="598" hidden="1" customWidth="1"/>
    <col min="6" max="7" width="11.33203125" style="598" customWidth="1"/>
    <col min="8" max="16384" width="9.33203125" style="4"/>
  </cols>
  <sheetData>
    <row r="1" spans="1:7" s="2" customFormat="1" ht="21" customHeight="1" thickBot="1" x14ac:dyDescent="0.25">
      <c r="A1" s="225"/>
      <c r="B1" s="226"/>
      <c r="C1" s="273"/>
      <c r="D1" s="769"/>
      <c r="E1" s="769"/>
      <c r="F1" s="828"/>
      <c r="G1" s="828"/>
    </row>
    <row r="2" spans="1:7" s="102" customFormat="1" ht="39.75" customHeight="1" thickBot="1" x14ac:dyDescent="0.25">
      <c r="A2" s="1351" t="s">
        <v>204</v>
      </c>
      <c r="B2" s="1352"/>
      <c r="C2" s="1159" t="s">
        <v>679</v>
      </c>
      <c r="D2" s="1160"/>
      <c r="E2" s="1161" t="s">
        <v>7</v>
      </c>
      <c r="F2" s="1161"/>
      <c r="G2" s="1162" t="s">
        <v>7</v>
      </c>
    </row>
    <row r="3" spans="1:7" s="102" customFormat="1" ht="4.5" hidden="1" customHeight="1" thickBot="1" x14ac:dyDescent="0.25">
      <c r="A3" s="1156" t="s">
        <v>203</v>
      </c>
      <c r="B3" s="1157"/>
      <c r="C3" s="1158" t="s">
        <v>213</v>
      </c>
      <c r="D3" s="772" t="s">
        <v>941</v>
      </c>
      <c r="E3" s="772" t="s">
        <v>941</v>
      </c>
      <c r="F3" s="772" t="s">
        <v>941</v>
      </c>
      <c r="G3" s="772" t="s">
        <v>941</v>
      </c>
    </row>
    <row r="4" spans="1:7" s="10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351" t="s">
        <v>205</v>
      </c>
      <c r="B5" s="1352"/>
      <c r="C5" s="587" t="s">
        <v>943</v>
      </c>
      <c r="D5" s="773" t="s">
        <v>1085</v>
      </c>
      <c r="E5" s="879" t="s">
        <v>1086</v>
      </c>
      <c r="F5" s="1170" t="s">
        <v>1001</v>
      </c>
      <c r="G5" s="1170" t="s">
        <v>1196</v>
      </c>
    </row>
    <row r="6" spans="1:7" s="60" customFormat="1" ht="12.95" customHeight="1" thickBot="1" x14ac:dyDescent="0.25">
      <c r="A6" s="211">
        <v>1</v>
      </c>
      <c r="B6" s="212">
        <v>2</v>
      </c>
      <c r="C6" s="588">
        <v>3</v>
      </c>
      <c r="D6" s="775">
        <v>4</v>
      </c>
      <c r="E6" s="880">
        <v>5</v>
      </c>
      <c r="F6" s="1171">
        <v>6</v>
      </c>
      <c r="G6" s="776">
        <v>6</v>
      </c>
    </row>
    <row r="7" spans="1:7" s="60" customFormat="1" ht="15.95" customHeight="1" thickBot="1" x14ac:dyDescent="0.25">
      <c r="A7" s="234"/>
      <c r="B7" s="235"/>
      <c r="C7" s="235" t="s">
        <v>945</v>
      </c>
      <c r="D7" s="812"/>
      <c r="E7" s="881"/>
      <c r="F7" s="1172"/>
      <c r="G7" s="808"/>
    </row>
    <row r="8" spans="1:7" s="104" customFormat="1" ht="12" customHeight="1" thickBot="1" x14ac:dyDescent="0.25">
      <c r="A8" s="211" t="s">
        <v>903</v>
      </c>
      <c r="B8" s="237"/>
      <c r="C8" s="605" t="s">
        <v>210</v>
      </c>
      <c r="D8" s="796">
        <v>0</v>
      </c>
      <c r="E8" s="593">
        <v>50</v>
      </c>
      <c r="F8" s="592">
        <f>SUM(F9:F16)</f>
        <v>0</v>
      </c>
      <c r="G8" s="368">
        <f>SUM(G9:G16)</f>
        <v>50</v>
      </c>
    </row>
    <row r="9" spans="1:7" s="104" customFormat="1" ht="12" customHeight="1" x14ac:dyDescent="0.2">
      <c r="A9" s="241"/>
      <c r="B9" s="240" t="s">
        <v>57</v>
      </c>
      <c r="C9" s="606" t="s">
        <v>133</v>
      </c>
      <c r="D9" s="813"/>
      <c r="E9" s="882"/>
      <c r="F9" s="1173"/>
      <c r="G9" s="780"/>
    </row>
    <row r="10" spans="1:7" s="104" customFormat="1" ht="12" customHeight="1" x14ac:dyDescent="0.2">
      <c r="A10" s="239"/>
      <c r="B10" s="240" t="s">
        <v>58</v>
      </c>
      <c r="C10" s="607" t="s">
        <v>134</v>
      </c>
      <c r="D10" s="798">
        <v>155</v>
      </c>
      <c r="E10" s="883">
        <v>50</v>
      </c>
      <c r="F10" s="1174"/>
      <c r="G10" s="779">
        <v>50</v>
      </c>
    </row>
    <row r="11" spans="1:7" s="104" customFormat="1" ht="12" customHeight="1" x14ac:dyDescent="0.2">
      <c r="A11" s="239"/>
      <c r="B11" s="240" t="s">
        <v>59</v>
      </c>
      <c r="C11" s="607" t="s">
        <v>135</v>
      </c>
      <c r="D11" s="798"/>
      <c r="E11" s="883"/>
      <c r="F11" s="1174"/>
      <c r="G11" s="779"/>
    </row>
    <row r="12" spans="1:7" s="104" customFormat="1" ht="12" customHeight="1" x14ac:dyDescent="0.2">
      <c r="A12" s="239"/>
      <c r="B12" s="240" t="s">
        <v>60</v>
      </c>
      <c r="C12" s="607" t="s">
        <v>136</v>
      </c>
      <c r="D12" s="798"/>
      <c r="E12" s="883"/>
      <c r="F12" s="1174"/>
      <c r="G12" s="779"/>
    </row>
    <row r="13" spans="1:7" s="104" customFormat="1" ht="12" customHeight="1" x14ac:dyDescent="0.2">
      <c r="A13" s="239"/>
      <c r="B13" s="240" t="s">
        <v>91</v>
      </c>
      <c r="C13" s="608" t="s">
        <v>137</v>
      </c>
      <c r="D13" s="798"/>
      <c r="E13" s="883"/>
      <c r="F13" s="1174"/>
      <c r="G13" s="779"/>
    </row>
    <row r="14" spans="1:7" s="104" customFormat="1" ht="12" customHeight="1" x14ac:dyDescent="0.2">
      <c r="A14" s="242"/>
      <c r="B14" s="240" t="s">
        <v>61</v>
      </c>
      <c r="C14" s="607" t="s">
        <v>138</v>
      </c>
      <c r="D14" s="814"/>
      <c r="E14" s="884"/>
      <c r="F14" s="1175"/>
      <c r="G14" s="781"/>
    </row>
    <row r="15" spans="1:7" s="105" customFormat="1" ht="12" customHeight="1" x14ac:dyDescent="0.2">
      <c r="A15" s="239"/>
      <c r="B15" s="240" t="s">
        <v>62</v>
      </c>
      <c r="C15" s="607" t="s">
        <v>863</v>
      </c>
      <c r="D15" s="798"/>
      <c r="E15" s="883"/>
      <c r="F15" s="1174"/>
      <c r="G15" s="779"/>
    </row>
    <row r="16" spans="1:7" s="105" customFormat="1" ht="12" customHeight="1" thickBot="1" x14ac:dyDescent="0.25">
      <c r="A16" s="243"/>
      <c r="B16" s="244" t="s">
        <v>72</v>
      </c>
      <c r="C16" s="608" t="s">
        <v>197</v>
      </c>
      <c r="D16" s="799"/>
      <c r="E16" s="885"/>
      <c r="F16" s="1176"/>
      <c r="G16" s="782"/>
    </row>
    <row r="17" spans="1:9" s="104" customFormat="1" ht="12" customHeight="1" thickBot="1" x14ac:dyDescent="0.25">
      <c r="A17" s="211" t="s">
        <v>904</v>
      </c>
      <c r="B17" s="237"/>
      <c r="C17" s="605" t="s">
        <v>864</v>
      </c>
      <c r="D17" s="796">
        <v>0</v>
      </c>
      <c r="E17" s="593">
        <v>0</v>
      </c>
      <c r="F17" s="592">
        <f>SUM(F18:F21)</f>
        <v>0</v>
      </c>
      <c r="G17" s="368">
        <f>SUM(G18:G21)</f>
        <v>0</v>
      </c>
    </row>
    <row r="18" spans="1:9" s="105" customFormat="1" ht="12" customHeight="1" x14ac:dyDescent="0.2">
      <c r="A18" s="239"/>
      <c r="B18" s="240" t="s">
        <v>63</v>
      </c>
      <c r="C18" s="609" t="s">
        <v>860</v>
      </c>
      <c r="D18" s="798"/>
      <c r="E18" s="883"/>
      <c r="F18" s="1174"/>
      <c r="G18" s="779"/>
    </row>
    <row r="19" spans="1:9" s="105" customFormat="1" ht="12" customHeight="1" x14ac:dyDescent="0.2">
      <c r="A19" s="239"/>
      <c r="B19" s="240" t="s">
        <v>64</v>
      </c>
      <c r="C19" s="607" t="s">
        <v>861</v>
      </c>
      <c r="D19" s="798"/>
      <c r="E19" s="883"/>
      <c r="F19" s="1174"/>
      <c r="G19" s="779"/>
    </row>
    <row r="20" spans="1:9" s="105" customFormat="1" ht="12" customHeight="1" x14ac:dyDescent="0.2">
      <c r="A20" s="239"/>
      <c r="B20" s="240" t="s">
        <v>65</v>
      </c>
      <c r="C20" s="607" t="s">
        <v>862</v>
      </c>
      <c r="D20" s="798"/>
      <c r="E20" s="883"/>
      <c r="F20" s="1174"/>
      <c r="G20" s="779"/>
    </row>
    <row r="21" spans="1:9" s="105" customFormat="1" ht="12" customHeight="1" thickBot="1" x14ac:dyDescent="0.25">
      <c r="A21" s="239"/>
      <c r="B21" s="240" t="s">
        <v>66</v>
      </c>
      <c r="C21" s="607" t="s">
        <v>861</v>
      </c>
      <c r="D21" s="798"/>
      <c r="E21" s="883"/>
      <c r="F21" s="1174"/>
      <c r="G21" s="779"/>
    </row>
    <row r="22" spans="1:9" s="105" customFormat="1" ht="12" customHeight="1" thickBot="1" x14ac:dyDescent="0.25">
      <c r="A22" s="219" t="s">
        <v>905</v>
      </c>
      <c r="B22" s="134"/>
      <c r="C22" s="610" t="s">
        <v>865</v>
      </c>
      <c r="D22" s="796">
        <v>0</v>
      </c>
      <c r="E22" s="593">
        <v>0</v>
      </c>
      <c r="F22" s="592">
        <f>+F23+F24</f>
        <v>0</v>
      </c>
      <c r="G22" s="368">
        <f>+G23+G24</f>
        <v>0</v>
      </c>
    </row>
    <row r="23" spans="1:9" s="104" customFormat="1" ht="12" customHeight="1" x14ac:dyDescent="0.2">
      <c r="A23" s="383"/>
      <c r="B23" s="404" t="s">
        <v>37</v>
      </c>
      <c r="C23" s="611" t="s">
        <v>248</v>
      </c>
      <c r="D23" s="803"/>
      <c r="E23" s="886"/>
      <c r="F23" s="1177"/>
      <c r="G23" s="804"/>
    </row>
    <row r="24" spans="1:9" s="104" customFormat="1" ht="12" customHeight="1" thickBot="1" x14ac:dyDescent="0.25">
      <c r="A24" s="402"/>
      <c r="B24" s="403" t="s">
        <v>38</v>
      </c>
      <c r="C24" s="612" t="s">
        <v>252</v>
      </c>
      <c r="D24" s="815"/>
      <c r="E24" s="887"/>
      <c r="F24" s="1178"/>
      <c r="G24" s="811"/>
    </row>
    <row r="25" spans="1:9" s="104" customFormat="1" ht="12" customHeight="1" thickBot="1" x14ac:dyDescent="0.25">
      <c r="A25" s="219" t="s">
        <v>906</v>
      </c>
      <c r="B25" s="237"/>
      <c r="C25" s="610" t="s">
        <v>882</v>
      </c>
      <c r="D25" s="805">
        <v>72990</v>
      </c>
      <c r="E25" s="743">
        <v>72656</v>
      </c>
      <c r="F25" s="728">
        <v>61397</v>
      </c>
      <c r="G25" s="753">
        <f>61397-8622+2068+78</f>
        <v>54921</v>
      </c>
    </row>
    <row r="26" spans="1:9" s="104" customFormat="1" ht="12" customHeight="1" thickBot="1" x14ac:dyDescent="0.25">
      <c r="A26" s="211" t="s">
        <v>907</v>
      </c>
      <c r="B26" s="178"/>
      <c r="C26" s="610" t="s">
        <v>878</v>
      </c>
      <c r="D26" s="796">
        <v>73145</v>
      </c>
      <c r="E26" s="593">
        <f>+E8+E17+E22+E25</f>
        <v>72706</v>
      </c>
      <c r="F26" s="592">
        <f>+F8+F17+F22+F25</f>
        <v>61397</v>
      </c>
      <c r="G26" s="368">
        <f>+G8+G17+G22+G25</f>
        <v>54971</v>
      </c>
    </row>
    <row r="27" spans="1:9" s="105" customFormat="1" ht="12" customHeight="1" thickBot="1" x14ac:dyDescent="0.25">
      <c r="A27" s="399" t="s">
        <v>908</v>
      </c>
      <c r="B27" s="408"/>
      <c r="C27" s="613" t="s">
        <v>880</v>
      </c>
      <c r="D27" s="801">
        <v>414</v>
      </c>
      <c r="E27" s="888">
        <v>4312</v>
      </c>
      <c r="F27" s="1179">
        <f>+F28+F29+F30</f>
        <v>0</v>
      </c>
      <c r="G27" s="802">
        <f>+G28+G29+G30</f>
        <v>8622</v>
      </c>
    </row>
    <row r="28" spans="1:9" s="105" customFormat="1" ht="15" customHeight="1" x14ac:dyDescent="0.2">
      <c r="A28" s="241"/>
      <c r="B28" s="176" t="s">
        <v>44</v>
      </c>
      <c r="C28" s="611" t="s">
        <v>355</v>
      </c>
      <c r="D28" s="803">
        <v>414</v>
      </c>
      <c r="E28" s="886">
        <v>4312</v>
      </c>
      <c r="F28" s="1177"/>
      <c r="G28" s="804">
        <v>8622</v>
      </c>
    </row>
    <row r="29" spans="1:9" s="105" customFormat="1" ht="15" customHeight="1" x14ac:dyDescent="0.2">
      <c r="A29" s="603"/>
      <c r="B29" s="179" t="s">
        <v>45</v>
      </c>
      <c r="C29" s="614" t="s">
        <v>868</v>
      </c>
      <c r="D29" s="816"/>
      <c r="E29" s="738"/>
      <c r="F29" s="1185"/>
      <c r="G29" s="751"/>
    </row>
    <row r="30" spans="1:9" s="105" customFormat="1" ht="15" customHeight="1" thickBot="1" x14ac:dyDescent="0.25">
      <c r="A30" s="409"/>
      <c r="B30" s="604" t="s">
        <v>953</v>
      </c>
      <c r="C30" s="615" t="s">
        <v>955</v>
      </c>
      <c r="D30" s="817"/>
      <c r="E30" s="889"/>
      <c r="F30" s="1180"/>
      <c r="G30" s="792"/>
    </row>
    <row r="31" spans="1:9" ht="13.5" thickBot="1" x14ac:dyDescent="0.25">
      <c r="A31" s="251" t="s">
        <v>909</v>
      </c>
      <c r="B31" s="397"/>
      <c r="C31" s="616" t="s">
        <v>881</v>
      </c>
      <c r="D31" s="805"/>
      <c r="E31" s="743"/>
      <c r="F31" s="728"/>
      <c r="G31" s="753"/>
    </row>
    <row r="32" spans="1:9" s="60" customFormat="1" ht="16.5" customHeight="1" thickBot="1" x14ac:dyDescent="0.25">
      <c r="A32" s="251" t="s">
        <v>910</v>
      </c>
      <c r="B32" s="252"/>
      <c r="C32" s="617" t="s">
        <v>879</v>
      </c>
      <c r="D32" s="806">
        <v>73559</v>
      </c>
      <c r="E32" s="890">
        <f>+E26+E27+E31</f>
        <v>77018</v>
      </c>
      <c r="F32" s="1181">
        <f>+F26+F27+F31</f>
        <v>61397</v>
      </c>
      <c r="G32" s="807">
        <f>+G26+G27+G31</f>
        <v>63593</v>
      </c>
      <c r="H32" s="827"/>
      <c r="I32" s="827"/>
    </row>
    <row r="33" spans="1:7" s="106" customFormat="1" ht="12" customHeight="1" x14ac:dyDescent="0.2">
      <c r="A33" s="254"/>
      <c r="B33" s="254"/>
      <c r="C33" s="255"/>
      <c r="D33" s="809"/>
      <c r="E33" s="809"/>
      <c r="F33" s="809"/>
      <c r="G33" s="809"/>
    </row>
    <row r="34" spans="1:7" ht="12" customHeight="1" thickBot="1" x14ac:dyDescent="0.25">
      <c r="A34" s="256"/>
      <c r="B34" s="257"/>
      <c r="C34" s="257"/>
      <c r="D34" s="795"/>
      <c r="E34" s="795"/>
      <c r="F34" s="795"/>
      <c r="G34" s="795"/>
    </row>
    <row r="35" spans="1:7" ht="26.25" thickBot="1" x14ac:dyDescent="0.25">
      <c r="A35" s="258"/>
      <c r="B35" s="259"/>
      <c r="C35" s="260" t="s">
        <v>1</v>
      </c>
      <c r="D35" s="773" t="s">
        <v>1085</v>
      </c>
      <c r="E35" s="879" t="s">
        <v>1086</v>
      </c>
      <c r="F35" s="1170" t="s">
        <v>1001</v>
      </c>
      <c r="G35" s="1170" t="s">
        <v>1196</v>
      </c>
    </row>
    <row r="36" spans="1:7" ht="12" customHeight="1" thickBot="1" x14ac:dyDescent="0.25">
      <c r="A36" s="219" t="s">
        <v>903</v>
      </c>
      <c r="B36" s="24"/>
      <c r="C36" s="610" t="s">
        <v>858</v>
      </c>
      <c r="D36" s="796">
        <v>73410</v>
      </c>
      <c r="E36" s="593">
        <f>SUM(E37:E41)</f>
        <v>77018</v>
      </c>
      <c r="F36" s="592">
        <f>SUM(F37:F41)</f>
        <v>61397</v>
      </c>
      <c r="G36" s="368">
        <f>SUM(G37:G41)</f>
        <v>63593</v>
      </c>
    </row>
    <row r="37" spans="1:7" ht="12" customHeight="1" x14ac:dyDescent="0.2">
      <c r="A37" s="261"/>
      <c r="B37" s="175" t="s">
        <v>57</v>
      </c>
      <c r="C37" s="609" t="s">
        <v>934</v>
      </c>
      <c r="D37" s="800">
        <v>40051</v>
      </c>
      <c r="E37" s="733">
        <v>42488</v>
      </c>
      <c r="F37" s="725">
        <f>35716+1120+1541+901+510+220</f>
        <v>40008</v>
      </c>
      <c r="G37" s="749">
        <f>35716+1120+1541+901+510+220+63</f>
        <v>40071</v>
      </c>
    </row>
    <row r="38" spans="1:7" ht="12" customHeight="1" x14ac:dyDescent="0.2">
      <c r="A38" s="262"/>
      <c r="B38" s="159" t="s">
        <v>58</v>
      </c>
      <c r="C38" s="607" t="s">
        <v>164</v>
      </c>
      <c r="D38" s="797">
        <v>9939</v>
      </c>
      <c r="E38" s="735">
        <v>10997</v>
      </c>
      <c r="F38" s="726">
        <v>10893</v>
      </c>
      <c r="G38" s="750">
        <f>10893+15</f>
        <v>10908</v>
      </c>
    </row>
    <row r="39" spans="1:7" ht="12" customHeight="1" x14ac:dyDescent="0.2">
      <c r="A39" s="262"/>
      <c r="B39" s="159" t="s">
        <v>59</v>
      </c>
      <c r="C39" s="607" t="s">
        <v>88</v>
      </c>
      <c r="D39" s="797">
        <v>10404</v>
      </c>
      <c r="E39" s="735">
        <v>11961</v>
      </c>
      <c r="F39" s="726">
        <v>10106</v>
      </c>
      <c r="G39" s="750">
        <f>10106+50</f>
        <v>10156</v>
      </c>
    </row>
    <row r="40" spans="1:7" s="106" customFormat="1" ht="12" customHeight="1" x14ac:dyDescent="0.2">
      <c r="A40" s="262"/>
      <c r="B40" s="159" t="s">
        <v>60</v>
      </c>
      <c r="C40" s="607" t="s">
        <v>165</v>
      </c>
      <c r="D40" s="797">
        <v>12995</v>
      </c>
      <c r="E40" s="735">
        <v>11542</v>
      </c>
      <c r="F40" s="726">
        <v>390</v>
      </c>
      <c r="G40" s="750">
        <f>390+2068</f>
        <v>2458</v>
      </c>
    </row>
    <row r="41" spans="1:7" ht="12" customHeight="1" thickBot="1" x14ac:dyDescent="0.25">
      <c r="A41" s="262"/>
      <c r="B41" s="159" t="s">
        <v>71</v>
      </c>
      <c r="C41" s="607" t="s">
        <v>166</v>
      </c>
      <c r="D41" s="797">
        <v>21</v>
      </c>
      <c r="E41" s="735">
        <v>30</v>
      </c>
      <c r="F41" s="726"/>
      <c r="G41" s="750"/>
    </row>
    <row r="42" spans="1:7" ht="12" customHeight="1" thickBot="1" x14ac:dyDescent="0.25">
      <c r="A42" s="219" t="s">
        <v>904</v>
      </c>
      <c r="B42" s="24"/>
      <c r="C42" s="610" t="s">
        <v>875</v>
      </c>
      <c r="D42" s="796">
        <v>0</v>
      </c>
      <c r="E42" s="593">
        <v>0</v>
      </c>
      <c r="F42" s="592">
        <f>SUM(F43:F46)</f>
        <v>0</v>
      </c>
      <c r="G42" s="368">
        <f>SUM(G43:G46)</f>
        <v>0</v>
      </c>
    </row>
    <row r="43" spans="1:7" ht="12" customHeight="1" x14ac:dyDescent="0.2">
      <c r="A43" s="261"/>
      <c r="B43" s="175" t="s">
        <v>63</v>
      </c>
      <c r="C43" s="609" t="s">
        <v>280</v>
      </c>
      <c r="D43" s="800"/>
      <c r="E43" s="733"/>
      <c r="F43" s="725"/>
      <c r="G43" s="749"/>
    </row>
    <row r="44" spans="1:7" ht="12" customHeight="1" x14ac:dyDescent="0.2">
      <c r="A44" s="262"/>
      <c r="B44" s="159" t="s">
        <v>64</v>
      </c>
      <c r="C44" s="607" t="s">
        <v>168</v>
      </c>
      <c r="D44" s="797"/>
      <c r="E44" s="735"/>
      <c r="F44" s="726"/>
      <c r="G44" s="750"/>
    </row>
    <row r="45" spans="1:7" ht="15" customHeight="1" x14ac:dyDescent="0.2">
      <c r="A45" s="262"/>
      <c r="B45" s="159" t="s">
        <v>67</v>
      </c>
      <c r="C45" s="607" t="s">
        <v>2</v>
      </c>
      <c r="D45" s="797"/>
      <c r="E45" s="735"/>
      <c r="F45" s="726"/>
      <c r="G45" s="750"/>
    </row>
    <row r="46" spans="1:7" ht="13.5" thickBot="1" x14ac:dyDescent="0.25">
      <c r="A46" s="262"/>
      <c r="B46" s="159" t="s">
        <v>78</v>
      </c>
      <c r="C46" s="607" t="s">
        <v>872</v>
      </c>
      <c r="D46" s="797"/>
      <c r="E46" s="735"/>
      <c r="F46" s="726"/>
      <c r="G46" s="750"/>
    </row>
    <row r="47" spans="1:7" ht="15" customHeight="1" thickBot="1" x14ac:dyDescent="0.25">
      <c r="A47" s="219" t="s">
        <v>905</v>
      </c>
      <c r="B47" s="24"/>
      <c r="C47" s="618" t="s">
        <v>873</v>
      </c>
      <c r="D47" s="805"/>
      <c r="E47" s="743"/>
      <c r="F47" s="728"/>
      <c r="G47" s="753"/>
    </row>
    <row r="48" spans="1:7" ht="14.25" customHeight="1" thickBot="1" x14ac:dyDescent="0.25">
      <c r="A48" s="251" t="s">
        <v>906</v>
      </c>
      <c r="B48" s="397"/>
      <c r="C48" s="616" t="s">
        <v>876</v>
      </c>
      <c r="D48" s="805">
        <v>-312</v>
      </c>
      <c r="E48" s="743"/>
      <c r="F48" s="728"/>
      <c r="G48" s="753"/>
    </row>
    <row r="49" spans="1:9" ht="13.5" thickBot="1" x14ac:dyDescent="0.25">
      <c r="A49" s="219" t="s">
        <v>907</v>
      </c>
      <c r="B49" s="248"/>
      <c r="C49" s="619" t="s">
        <v>874</v>
      </c>
      <c r="D49" s="806">
        <v>73098</v>
      </c>
      <c r="E49" s="890">
        <f>+E36+E42+E47+E48</f>
        <v>77018</v>
      </c>
      <c r="F49" s="1181">
        <f>+F36+F42+F47+F48</f>
        <v>61397</v>
      </c>
      <c r="G49" s="807">
        <f>+G36+G42+G47+G48</f>
        <v>63593</v>
      </c>
      <c r="H49" s="45"/>
      <c r="I49" s="45"/>
    </row>
    <row r="50" spans="1:9" x14ac:dyDescent="0.2">
      <c r="A50" s="265"/>
      <c r="B50" s="266"/>
      <c r="C50" s="266"/>
      <c r="D50" s="601"/>
      <c r="E50" s="601"/>
      <c r="F50" s="601"/>
      <c r="G50" s="601"/>
    </row>
    <row r="51" spans="1:9" ht="13.5" hidden="1" thickBot="1" x14ac:dyDescent="0.25">
      <c r="A51" s="267" t="s">
        <v>208</v>
      </c>
      <c r="B51" s="268"/>
      <c r="C51" s="269"/>
      <c r="D51" s="132"/>
      <c r="E51" s="132"/>
      <c r="F51" s="132"/>
      <c r="G51" s="132"/>
    </row>
    <row r="52" spans="1:9" ht="13.5" hidden="1" thickBot="1" x14ac:dyDescent="0.25">
      <c r="A52" s="267" t="s">
        <v>209</v>
      </c>
      <c r="B52" s="268"/>
      <c r="C52" s="269"/>
      <c r="D52" s="132"/>
      <c r="E52" s="132"/>
      <c r="F52" s="132"/>
      <c r="G52" s="132"/>
    </row>
    <row r="54" spans="1:9" x14ac:dyDescent="0.2">
      <c r="E54" s="826"/>
    </row>
  </sheetData>
  <mergeCells count="2">
    <mergeCell ref="A2:B2"/>
    <mergeCell ref="A5:B5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&amp;R&amp;"Times New Roman CE,Félkövér"&amp;11 10. melléklet az 1/2015. (II.13.)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51"/>
  <sheetViews>
    <sheetView tabSelected="1" view="pageLayout" zoomScaleNormal="100" zoomScaleSheetLayoutView="100" workbookViewId="0">
      <selection activeCell="K11" sqref="K11"/>
    </sheetView>
  </sheetViews>
  <sheetFormatPr defaultColWidth="9.33203125" defaultRowHeight="12.75" x14ac:dyDescent="0.2"/>
  <cols>
    <col min="1" max="1" width="4.83203125" style="586" customWidth="1"/>
    <col min="2" max="2" width="8.83203125" style="574" customWidth="1"/>
    <col min="3" max="3" width="71.83203125" style="574" customWidth="1"/>
    <col min="4" max="4" width="11.33203125" style="574" hidden="1" customWidth="1"/>
    <col min="5" max="5" width="11.33203125" style="598" hidden="1" customWidth="1"/>
    <col min="6" max="6" width="11.33203125" style="1155" customWidth="1"/>
    <col min="7" max="7" width="11.33203125" style="574" customWidth="1"/>
    <col min="8" max="8" width="9.33203125" style="574" customWidth="1"/>
    <col min="9" max="16384" width="9.33203125" style="574"/>
  </cols>
  <sheetData>
    <row r="1" spans="1:7" s="571" customFormat="1" ht="21" customHeight="1" thickBot="1" x14ac:dyDescent="0.25">
      <c r="A1" s="225"/>
      <c r="B1" s="226"/>
      <c r="C1" s="1355"/>
      <c r="D1" s="1355"/>
      <c r="E1" s="1355"/>
      <c r="F1" s="1152"/>
      <c r="G1" s="810"/>
    </row>
    <row r="2" spans="1:7" s="572" customFormat="1" ht="38.25" customHeight="1" thickBot="1" x14ac:dyDescent="0.25">
      <c r="A2" s="1351" t="s">
        <v>204</v>
      </c>
      <c r="B2" s="1352"/>
      <c r="C2" s="1159" t="s">
        <v>479</v>
      </c>
      <c r="D2" s="1160"/>
      <c r="E2" s="1161" t="s">
        <v>8</v>
      </c>
      <c r="F2" s="1161"/>
      <c r="G2" s="1162" t="s">
        <v>8</v>
      </c>
    </row>
    <row r="3" spans="1:7" s="572" customFormat="1" ht="16.5" hidden="1" thickBot="1" x14ac:dyDescent="0.25">
      <c r="A3" s="1156" t="s">
        <v>203</v>
      </c>
      <c r="B3" s="1157"/>
      <c r="C3" s="1158" t="s">
        <v>213</v>
      </c>
      <c r="D3" s="772" t="s">
        <v>941</v>
      </c>
      <c r="E3" s="772" t="s">
        <v>941</v>
      </c>
      <c r="F3" s="772" t="s">
        <v>941</v>
      </c>
      <c r="G3" s="772" t="s">
        <v>941</v>
      </c>
    </row>
    <row r="4" spans="1:7" s="57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351" t="s">
        <v>205</v>
      </c>
      <c r="B5" s="1352"/>
      <c r="C5" s="587" t="s">
        <v>943</v>
      </c>
      <c r="D5" s="773" t="s">
        <v>1085</v>
      </c>
      <c r="E5" s="879" t="s">
        <v>1086</v>
      </c>
      <c r="F5" s="879" t="s">
        <v>1001</v>
      </c>
      <c r="G5" s="1170" t="s">
        <v>1196</v>
      </c>
    </row>
    <row r="6" spans="1:7" s="575" customFormat="1" ht="12.95" customHeight="1" thickBot="1" x14ac:dyDescent="0.25">
      <c r="A6" s="211">
        <v>1</v>
      </c>
      <c r="B6" s="212">
        <v>2</v>
      </c>
      <c r="C6" s="588">
        <v>3</v>
      </c>
      <c r="D6" s="775">
        <v>4</v>
      </c>
      <c r="E6" s="880">
        <v>5</v>
      </c>
      <c r="F6" s="880">
        <v>6</v>
      </c>
      <c r="G6" s="1171">
        <v>6</v>
      </c>
    </row>
    <row r="7" spans="1:7" s="575" customFormat="1" ht="15.95" customHeight="1" thickBot="1" x14ac:dyDescent="0.25">
      <c r="A7" s="234"/>
      <c r="B7" s="235"/>
      <c r="C7" s="235" t="s">
        <v>945</v>
      </c>
      <c r="D7" s="812"/>
      <c r="E7" s="881"/>
      <c r="F7" s="881"/>
      <c r="G7" s="1172"/>
    </row>
    <row r="8" spans="1:7" s="576" customFormat="1" ht="12" customHeight="1" thickBot="1" x14ac:dyDescent="0.25">
      <c r="A8" s="211" t="s">
        <v>903</v>
      </c>
      <c r="B8" s="237"/>
      <c r="C8" s="605" t="s">
        <v>210</v>
      </c>
      <c r="D8" s="796">
        <v>5904</v>
      </c>
      <c r="E8" s="593">
        <v>5995</v>
      </c>
      <c r="F8" s="593">
        <f>SUM(F9:F16)</f>
        <v>5034</v>
      </c>
      <c r="G8" s="592">
        <f>SUM(G9:G16)</f>
        <v>5034</v>
      </c>
    </row>
    <row r="9" spans="1:7" s="576" customFormat="1" ht="12" customHeight="1" x14ac:dyDescent="0.2">
      <c r="A9" s="241"/>
      <c r="B9" s="240" t="s">
        <v>57</v>
      </c>
      <c r="C9" s="606" t="s">
        <v>133</v>
      </c>
      <c r="D9" s="813"/>
      <c r="E9" s="882"/>
      <c r="F9" s="882"/>
      <c r="G9" s="1173"/>
    </row>
    <row r="10" spans="1:7" s="576" customFormat="1" ht="12" customHeight="1" x14ac:dyDescent="0.2">
      <c r="A10" s="239"/>
      <c r="B10" s="240" t="s">
        <v>58</v>
      </c>
      <c r="C10" s="607" t="s">
        <v>134</v>
      </c>
      <c r="D10" s="798"/>
      <c r="E10" s="883"/>
      <c r="F10" s="883"/>
      <c r="G10" s="1174"/>
    </row>
    <row r="11" spans="1:7" s="576" customFormat="1" ht="12" customHeight="1" x14ac:dyDescent="0.2">
      <c r="A11" s="239"/>
      <c r="B11" s="240" t="s">
        <v>59</v>
      </c>
      <c r="C11" s="607" t="s">
        <v>135</v>
      </c>
      <c r="D11" s="798"/>
      <c r="E11" s="883"/>
      <c r="F11" s="883"/>
      <c r="G11" s="1174"/>
    </row>
    <row r="12" spans="1:7" s="576" customFormat="1" ht="12" customHeight="1" x14ac:dyDescent="0.2">
      <c r="A12" s="239"/>
      <c r="B12" s="240" t="s">
        <v>60</v>
      </c>
      <c r="C12" s="607" t="s">
        <v>136</v>
      </c>
      <c r="D12" s="798">
        <v>4649</v>
      </c>
      <c r="E12" s="883">
        <v>4781</v>
      </c>
      <c r="F12" s="883">
        <v>3970</v>
      </c>
      <c r="G12" s="1174">
        <v>3970</v>
      </c>
    </row>
    <row r="13" spans="1:7" s="576" customFormat="1" ht="12" customHeight="1" x14ac:dyDescent="0.2">
      <c r="A13" s="239"/>
      <c r="B13" s="240" t="s">
        <v>91</v>
      </c>
      <c r="C13" s="608" t="s">
        <v>137</v>
      </c>
      <c r="D13" s="798"/>
      <c r="E13" s="883"/>
      <c r="F13" s="883"/>
      <c r="G13" s="1174"/>
    </row>
    <row r="14" spans="1:7" s="576" customFormat="1" ht="12" customHeight="1" x14ac:dyDescent="0.2">
      <c r="A14" s="242"/>
      <c r="B14" s="240" t="s">
        <v>61</v>
      </c>
      <c r="C14" s="607" t="s">
        <v>138</v>
      </c>
      <c r="D14" s="814">
        <v>1254</v>
      </c>
      <c r="E14" s="884">
        <v>1214</v>
      </c>
      <c r="F14" s="884">
        <v>1064</v>
      </c>
      <c r="G14" s="1175">
        <v>1064</v>
      </c>
    </row>
    <row r="15" spans="1:7" s="577" customFormat="1" ht="12" customHeight="1" x14ac:dyDescent="0.2">
      <c r="A15" s="239"/>
      <c r="B15" s="240" t="s">
        <v>62</v>
      </c>
      <c r="C15" s="607" t="s">
        <v>863</v>
      </c>
      <c r="D15" s="798"/>
      <c r="E15" s="883"/>
      <c r="F15" s="883"/>
      <c r="G15" s="1174"/>
    </row>
    <row r="16" spans="1:7" s="577" customFormat="1" ht="12" customHeight="1" thickBot="1" x14ac:dyDescent="0.25">
      <c r="A16" s="243"/>
      <c r="B16" s="244" t="s">
        <v>72</v>
      </c>
      <c r="C16" s="608" t="s">
        <v>197</v>
      </c>
      <c r="D16" s="799">
        <v>1</v>
      </c>
      <c r="E16" s="885"/>
      <c r="F16" s="885"/>
      <c r="G16" s="1176"/>
    </row>
    <row r="17" spans="1:8" s="576" customFormat="1" ht="12" customHeight="1" thickBot="1" x14ac:dyDescent="0.25">
      <c r="A17" s="211" t="s">
        <v>904</v>
      </c>
      <c r="B17" s="237"/>
      <c r="C17" s="605" t="s">
        <v>864</v>
      </c>
      <c r="D17" s="796">
        <v>0</v>
      </c>
      <c r="E17" s="593">
        <v>0</v>
      </c>
      <c r="F17" s="593">
        <f>SUM(F18:F21)</f>
        <v>0</v>
      </c>
      <c r="G17" s="592">
        <f>SUM(G18:G21)</f>
        <v>0</v>
      </c>
    </row>
    <row r="18" spans="1:8" s="577" customFormat="1" ht="12" customHeight="1" x14ac:dyDescent="0.2">
      <c r="A18" s="239"/>
      <c r="B18" s="240" t="s">
        <v>63</v>
      </c>
      <c r="C18" s="609" t="s">
        <v>860</v>
      </c>
      <c r="D18" s="798"/>
      <c r="E18" s="883"/>
      <c r="F18" s="883"/>
      <c r="G18" s="1174"/>
    </row>
    <row r="19" spans="1:8" s="577" customFormat="1" ht="12" customHeight="1" x14ac:dyDescent="0.2">
      <c r="A19" s="239"/>
      <c r="B19" s="240" t="s">
        <v>64</v>
      </c>
      <c r="C19" s="607" t="s">
        <v>861</v>
      </c>
      <c r="D19" s="798"/>
      <c r="E19" s="883"/>
      <c r="F19" s="883"/>
      <c r="G19" s="1174"/>
    </row>
    <row r="20" spans="1:8" s="577" customFormat="1" ht="12" customHeight="1" x14ac:dyDescent="0.2">
      <c r="A20" s="239"/>
      <c r="B20" s="240" t="s">
        <v>65</v>
      </c>
      <c r="C20" s="607" t="s">
        <v>862</v>
      </c>
      <c r="D20" s="798"/>
      <c r="E20" s="883"/>
      <c r="F20" s="883"/>
      <c r="G20" s="1174"/>
    </row>
    <row r="21" spans="1:8" s="577" customFormat="1" ht="12" customHeight="1" thickBot="1" x14ac:dyDescent="0.25">
      <c r="A21" s="239"/>
      <c r="B21" s="240" t="s">
        <v>66</v>
      </c>
      <c r="C21" s="607" t="s">
        <v>861</v>
      </c>
      <c r="D21" s="798"/>
      <c r="E21" s="883"/>
      <c r="F21" s="883"/>
      <c r="G21" s="1174"/>
    </row>
    <row r="22" spans="1:8" s="577" customFormat="1" ht="12" customHeight="1" thickBot="1" x14ac:dyDescent="0.25">
      <c r="A22" s="219" t="s">
        <v>905</v>
      </c>
      <c r="B22" s="134"/>
      <c r="C22" s="610" t="s">
        <v>865</v>
      </c>
      <c r="D22" s="796">
        <v>0</v>
      </c>
      <c r="E22" s="593">
        <v>0</v>
      </c>
      <c r="F22" s="593">
        <f>+F23+F24</f>
        <v>0</v>
      </c>
      <c r="G22" s="592">
        <f>+G23+G24</f>
        <v>0</v>
      </c>
    </row>
    <row r="23" spans="1:8" s="576" customFormat="1" ht="12" customHeight="1" x14ac:dyDescent="0.2">
      <c r="A23" s="383"/>
      <c r="B23" s="404" t="s">
        <v>37</v>
      </c>
      <c r="C23" s="611" t="s">
        <v>248</v>
      </c>
      <c r="D23" s="803"/>
      <c r="E23" s="886"/>
      <c r="F23" s="886"/>
      <c r="G23" s="1177"/>
    </row>
    <row r="24" spans="1:8" s="576" customFormat="1" ht="12" customHeight="1" thickBot="1" x14ac:dyDescent="0.25">
      <c r="A24" s="402"/>
      <c r="B24" s="403" t="s">
        <v>38</v>
      </c>
      <c r="C24" s="612" t="s">
        <v>252</v>
      </c>
      <c r="D24" s="815"/>
      <c r="E24" s="887"/>
      <c r="F24" s="887"/>
      <c r="G24" s="1178"/>
    </row>
    <row r="25" spans="1:8" s="576" customFormat="1" ht="12" customHeight="1" thickBot="1" x14ac:dyDescent="0.25">
      <c r="A25" s="219" t="s">
        <v>906</v>
      </c>
      <c r="B25" s="237"/>
      <c r="C25" s="610" t="s">
        <v>882</v>
      </c>
      <c r="D25" s="805">
        <v>61925</v>
      </c>
      <c r="E25" s="743">
        <v>74318</v>
      </c>
      <c r="F25" s="743">
        <v>76863</v>
      </c>
      <c r="G25" s="728">
        <f>76863-9033+57</f>
        <v>67887</v>
      </c>
    </row>
    <row r="26" spans="1:8" s="576" customFormat="1" ht="12" customHeight="1" thickBot="1" x14ac:dyDescent="0.25">
      <c r="A26" s="211" t="s">
        <v>907</v>
      </c>
      <c r="B26" s="178"/>
      <c r="C26" s="610" t="s">
        <v>878</v>
      </c>
      <c r="D26" s="796">
        <v>67829</v>
      </c>
      <c r="E26" s="593">
        <f>+E8+E17+E22+E25</f>
        <v>80313</v>
      </c>
      <c r="F26" s="593">
        <f>+F8+F17+F22+F25</f>
        <v>81897</v>
      </c>
      <c r="G26" s="592">
        <f>+G8+G17+G22+G25</f>
        <v>72921</v>
      </c>
    </row>
    <row r="27" spans="1:8" s="577" customFormat="1" ht="12" customHeight="1" thickBot="1" x14ac:dyDescent="0.25">
      <c r="A27" s="399" t="s">
        <v>908</v>
      </c>
      <c r="B27" s="408"/>
      <c r="C27" s="613" t="s">
        <v>880</v>
      </c>
      <c r="D27" s="801">
        <v>418</v>
      </c>
      <c r="E27" s="888">
        <f>+E28+E29</f>
        <v>9158</v>
      </c>
      <c r="F27" s="888">
        <f>+F28+F29</f>
        <v>0</v>
      </c>
      <c r="G27" s="1179">
        <f>+G28+G29</f>
        <v>10095</v>
      </c>
    </row>
    <row r="28" spans="1:8" s="577" customFormat="1" ht="15" customHeight="1" x14ac:dyDescent="0.2">
      <c r="A28" s="241"/>
      <c r="B28" s="176" t="s">
        <v>44</v>
      </c>
      <c r="C28" s="611" t="s">
        <v>355</v>
      </c>
      <c r="D28" s="803">
        <v>418</v>
      </c>
      <c r="E28" s="886">
        <v>9158</v>
      </c>
      <c r="F28" s="886"/>
      <c r="G28" s="1177">
        <v>10095</v>
      </c>
    </row>
    <row r="29" spans="1:8" s="577" customFormat="1" ht="15" customHeight="1" thickBot="1" x14ac:dyDescent="0.25">
      <c r="A29" s="409"/>
      <c r="B29" s="177" t="s">
        <v>45</v>
      </c>
      <c r="C29" s="620" t="s">
        <v>868</v>
      </c>
      <c r="D29" s="817"/>
      <c r="E29" s="889"/>
      <c r="F29" s="889"/>
      <c r="G29" s="1180"/>
    </row>
    <row r="30" spans="1:8" ht="13.5" thickBot="1" x14ac:dyDescent="0.25">
      <c r="A30" s="251" t="s">
        <v>909</v>
      </c>
      <c r="B30" s="589"/>
      <c r="C30" s="616" t="s">
        <v>881</v>
      </c>
      <c r="D30" s="805"/>
      <c r="E30" s="743"/>
      <c r="F30" s="743"/>
      <c r="G30" s="728"/>
    </row>
    <row r="31" spans="1:8" s="575" customFormat="1" ht="16.5" customHeight="1" thickBot="1" x14ac:dyDescent="0.25">
      <c r="A31" s="251" t="s">
        <v>910</v>
      </c>
      <c r="B31" s="590"/>
      <c r="C31" s="621" t="s">
        <v>879</v>
      </c>
      <c r="D31" s="806">
        <v>68247</v>
      </c>
      <c r="E31" s="890">
        <f>+E26+E27+E30</f>
        <v>89471</v>
      </c>
      <c r="F31" s="890">
        <f>+F26+F27+F30</f>
        <v>81897</v>
      </c>
      <c r="G31" s="1181">
        <f>+G26+G27+G30</f>
        <v>83016</v>
      </c>
      <c r="H31" s="1183"/>
    </row>
    <row r="32" spans="1:8" s="578" customFormat="1" ht="12" customHeight="1" x14ac:dyDescent="0.2">
      <c r="A32" s="254"/>
      <c r="B32" s="254"/>
      <c r="C32" s="255"/>
      <c r="D32" s="809"/>
      <c r="E32" s="809"/>
      <c r="F32" s="809"/>
      <c r="G32" s="809"/>
    </row>
    <row r="33" spans="1:8" ht="12" customHeight="1" thickBot="1" x14ac:dyDescent="0.25">
      <c r="A33" s="256"/>
      <c r="B33" s="257"/>
      <c r="C33" s="257"/>
      <c r="D33" s="795"/>
      <c r="E33" s="795"/>
      <c r="F33" s="1153"/>
      <c r="G33" s="795"/>
    </row>
    <row r="34" spans="1:8" ht="26.25" thickBot="1" x14ac:dyDescent="0.25">
      <c r="A34" s="258"/>
      <c r="B34" s="259"/>
      <c r="C34" s="260" t="s">
        <v>1</v>
      </c>
      <c r="D34" s="773" t="s">
        <v>1085</v>
      </c>
      <c r="E34" s="879" t="s">
        <v>1086</v>
      </c>
      <c r="F34" s="879" t="s">
        <v>1001</v>
      </c>
      <c r="G34" s="1170" t="s">
        <v>1200</v>
      </c>
    </row>
    <row r="35" spans="1:8" ht="12" customHeight="1" thickBot="1" x14ac:dyDescent="0.25">
      <c r="A35" s="219" t="s">
        <v>903</v>
      </c>
      <c r="B35" s="24"/>
      <c r="C35" s="610" t="s">
        <v>858</v>
      </c>
      <c r="D35" s="796">
        <v>67563</v>
      </c>
      <c r="E35" s="593">
        <f>SUM(E36:E40)</f>
        <v>89471</v>
      </c>
      <c r="F35" s="593">
        <f>SUM(F36:F40)</f>
        <v>81897</v>
      </c>
      <c r="G35" s="592">
        <f>SUM(G36:G40)</f>
        <v>83016</v>
      </c>
    </row>
    <row r="36" spans="1:8" ht="12" customHeight="1" x14ac:dyDescent="0.2">
      <c r="A36" s="261"/>
      <c r="B36" s="175" t="s">
        <v>57</v>
      </c>
      <c r="C36" s="609" t="s">
        <v>934</v>
      </c>
      <c r="D36" s="800">
        <v>38217</v>
      </c>
      <c r="E36" s="733">
        <v>54397</v>
      </c>
      <c r="F36" s="733">
        <v>53152</v>
      </c>
      <c r="G36" s="725">
        <f>53152+47</f>
        <v>53199</v>
      </c>
    </row>
    <row r="37" spans="1:8" ht="12" customHeight="1" x14ac:dyDescent="0.2">
      <c r="A37" s="262"/>
      <c r="B37" s="159" t="s">
        <v>58</v>
      </c>
      <c r="C37" s="607" t="s">
        <v>164</v>
      </c>
      <c r="D37" s="797">
        <v>9629</v>
      </c>
      <c r="E37" s="735">
        <v>14360</v>
      </c>
      <c r="F37" s="735">
        <v>14358</v>
      </c>
      <c r="G37" s="726">
        <f>14358+10</f>
        <v>14368</v>
      </c>
    </row>
    <row r="38" spans="1:8" ht="12" customHeight="1" x14ac:dyDescent="0.2">
      <c r="A38" s="262"/>
      <c r="B38" s="159" t="s">
        <v>59</v>
      </c>
      <c r="C38" s="607" t="s">
        <v>88</v>
      </c>
      <c r="D38" s="797">
        <v>19714</v>
      </c>
      <c r="E38" s="735">
        <v>20714</v>
      </c>
      <c r="F38" s="735">
        <v>14387</v>
      </c>
      <c r="G38" s="726">
        <f>14387+20+177+627+3+14+221</f>
        <v>15449</v>
      </c>
    </row>
    <row r="39" spans="1:8" s="578" customFormat="1" ht="12" customHeight="1" x14ac:dyDescent="0.2">
      <c r="A39" s="262"/>
      <c r="B39" s="159" t="s">
        <v>60</v>
      </c>
      <c r="C39" s="607" t="s">
        <v>165</v>
      </c>
      <c r="D39" s="797"/>
      <c r="E39" s="735"/>
      <c r="F39" s="735"/>
      <c r="G39" s="726"/>
    </row>
    <row r="40" spans="1:8" ht="12" customHeight="1" thickBot="1" x14ac:dyDescent="0.25">
      <c r="A40" s="262"/>
      <c r="B40" s="159" t="s">
        <v>71</v>
      </c>
      <c r="C40" s="607" t="s">
        <v>166</v>
      </c>
      <c r="D40" s="797">
        <v>3</v>
      </c>
      <c r="E40" s="735"/>
      <c r="F40" s="735"/>
      <c r="G40" s="726"/>
    </row>
    <row r="41" spans="1:8" ht="12" customHeight="1" thickBot="1" x14ac:dyDescent="0.25">
      <c r="A41" s="219" t="s">
        <v>904</v>
      </c>
      <c r="B41" s="24"/>
      <c r="C41" s="610" t="s">
        <v>875</v>
      </c>
      <c r="D41" s="796">
        <v>0</v>
      </c>
      <c r="E41" s="593">
        <v>0</v>
      </c>
      <c r="F41" s="593">
        <f>SUM(F42:F45)</f>
        <v>0</v>
      </c>
      <c r="G41" s="592">
        <f>SUM(G42:G45)</f>
        <v>0</v>
      </c>
    </row>
    <row r="42" spans="1:8" ht="12" customHeight="1" x14ac:dyDescent="0.2">
      <c r="A42" s="261"/>
      <c r="B42" s="175" t="s">
        <v>63</v>
      </c>
      <c r="C42" s="609" t="s">
        <v>280</v>
      </c>
      <c r="D42" s="800"/>
      <c r="E42" s="733"/>
      <c r="F42" s="733"/>
      <c r="G42" s="725"/>
    </row>
    <row r="43" spans="1:8" ht="12" customHeight="1" x14ac:dyDescent="0.2">
      <c r="A43" s="262"/>
      <c r="B43" s="159" t="s">
        <v>64</v>
      </c>
      <c r="C43" s="607" t="s">
        <v>168</v>
      </c>
      <c r="D43" s="797"/>
      <c r="E43" s="735"/>
      <c r="F43" s="735"/>
      <c r="G43" s="726"/>
    </row>
    <row r="44" spans="1:8" ht="15" customHeight="1" x14ac:dyDescent="0.2">
      <c r="A44" s="262"/>
      <c r="B44" s="159" t="s">
        <v>67</v>
      </c>
      <c r="C44" s="607" t="s">
        <v>2</v>
      </c>
      <c r="D44" s="797"/>
      <c r="E44" s="735"/>
      <c r="F44" s="735"/>
      <c r="G44" s="726"/>
    </row>
    <row r="45" spans="1:8" ht="13.5" thickBot="1" x14ac:dyDescent="0.25">
      <c r="A45" s="262"/>
      <c r="B45" s="159" t="s">
        <v>78</v>
      </c>
      <c r="C45" s="607" t="s">
        <v>872</v>
      </c>
      <c r="D45" s="797"/>
      <c r="E45" s="735"/>
      <c r="F45" s="735"/>
      <c r="G45" s="726"/>
    </row>
    <row r="46" spans="1:8" ht="15" customHeight="1" thickBot="1" x14ac:dyDescent="0.25">
      <c r="A46" s="219" t="s">
        <v>905</v>
      </c>
      <c r="B46" s="24"/>
      <c r="C46" s="618" t="s">
        <v>873</v>
      </c>
      <c r="D46" s="805"/>
      <c r="E46" s="743"/>
      <c r="F46" s="743"/>
      <c r="G46" s="728"/>
    </row>
    <row r="47" spans="1:8" ht="14.25" customHeight="1" thickBot="1" x14ac:dyDescent="0.25">
      <c r="A47" s="251" t="s">
        <v>906</v>
      </c>
      <c r="B47" s="589"/>
      <c r="C47" s="616" t="s">
        <v>876</v>
      </c>
      <c r="D47" s="805">
        <v>328</v>
      </c>
      <c r="E47" s="743"/>
      <c r="F47" s="743"/>
      <c r="G47" s="728"/>
    </row>
    <row r="48" spans="1:8" ht="13.5" thickBot="1" x14ac:dyDescent="0.25">
      <c r="A48" s="219" t="s">
        <v>907</v>
      </c>
      <c r="B48" s="248"/>
      <c r="C48" s="619" t="s">
        <v>874</v>
      </c>
      <c r="D48" s="806">
        <v>67891</v>
      </c>
      <c r="E48" s="890">
        <f>+E35+E41+E46+E47</f>
        <v>89471</v>
      </c>
      <c r="F48" s="890">
        <f>+F35+F41+F46+F47</f>
        <v>81897</v>
      </c>
      <c r="G48" s="1181">
        <f>+G35+G41+G46+G47</f>
        <v>83016</v>
      </c>
      <c r="H48" s="1184"/>
    </row>
    <row r="49" spans="1:7" x14ac:dyDescent="0.2">
      <c r="A49" s="579"/>
      <c r="B49" s="580"/>
      <c r="C49" s="580"/>
      <c r="D49" s="581"/>
      <c r="E49" s="601"/>
      <c r="F49" s="1154"/>
      <c r="G49" s="581"/>
    </row>
    <row r="50" spans="1:7" ht="13.5" hidden="1" thickBot="1" x14ac:dyDescent="0.25">
      <c r="A50" s="582" t="s">
        <v>208</v>
      </c>
      <c r="B50" s="583"/>
      <c r="C50" s="584"/>
      <c r="D50" s="585"/>
      <c r="E50" s="132"/>
      <c r="F50" s="585"/>
      <c r="G50" s="585"/>
    </row>
    <row r="51" spans="1:7" ht="13.5" hidden="1" thickBot="1" x14ac:dyDescent="0.25">
      <c r="A51" s="582" t="s">
        <v>209</v>
      </c>
      <c r="B51" s="583"/>
      <c r="C51" s="584"/>
      <c r="D51" s="585"/>
      <c r="E51" s="132"/>
      <c r="F51" s="585"/>
      <c r="G51" s="585"/>
    </row>
  </sheetData>
  <sheetProtection formatCells="0"/>
  <mergeCells count="3">
    <mergeCell ref="A2:B2"/>
    <mergeCell ref="A5:B5"/>
    <mergeCell ref="C1:E1"/>
  </mergeCells>
  <phoneticPr fontId="30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88" orientation="portrait" verticalDpi="300" r:id="rId1"/>
  <headerFooter alignWithMargins="0">
    <oddHeader>&amp;R&amp;"Times New Roman CE,Félkövér"&amp;11 11. melléklet az 1/2015. (II.13.)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357" t="s">
        <v>883</v>
      </c>
      <c r="B1" s="1357"/>
      <c r="C1" s="1357"/>
      <c r="D1" s="1357"/>
      <c r="E1" s="1357"/>
      <c r="F1" s="1357"/>
      <c r="G1" s="1357"/>
    </row>
    <row r="3" spans="1:7" s="182" customFormat="1" ht="27" customHeight="1" x14ac:dyDescent="0.25">
      <c r="A3" s="180" t="s">
        <v>217</v>
      </c>
      <c r="B3" s="181"/>
      <c r="C3" s="1356" t="s">
        <v>218</v>
      </c>
      <c r="D3" s="1356"/>
      <c r="E3" s="1356"/>
      <c r="F3" s="1356"/>
      <c r="G3" s="1356"/>
    </row>
    <row r="4" spans="1:7" s="182" customFormat="1" ht="15.75" x14ac:dyDescent="0.25">
      <c r="A4" s="181"/>
      <c r="B4" s="181"/>
      <c r="C4" s="181"/>
      <c r="D4" s="181"/>
      <c r="E4" s="181"/>
      <c r="F4" s="181"/>
      <c r="G4" s="181"/>
    </row>
    <row r="5" spans="1:7" s="182" customFormat="1" ht="24.75" customHeight="1" x14ac:dyDescent="0.25">
      <c r="A5" s="180" t="s">
        <v>219</v>
      </c>
      <c r="B5" s="181"/>
      <c r="C5" s="1356" t="s">
        <v>218</v>
      </c>
      <c r="D5" s="1356"/>
      <c r="E5" s="1356"/>
      <c r="F5" s="1356"/>
      <c r="G5" s="181"/>
    </row>
    <row r="6" spans="1:7" s="183" customFormat="1" x14ac:dyDescent="0.2">
      <c r="A6" s="224"/>
      <c r="B6" s="224"/>
      <c r="C6" s="224"/>
      <c r="D6" s="224"/>
      <c r="E6" s="224"/>
      <c r="F6" s="224"/>
      <c r="G6" s="224"/>
    </row>
    <row r="7" spans="1:7" s="184" customFormat="1" ht="15" customHeight="1" x14ac:dyDescent="0.25">
      <c r="A7" s="291" t="s">
        <v>220</v>
      </c>
      <c r="B7" s="290"/>
      <c r="C7" s="290"/>
      <c r="D7" s="276"/>
      <c r="E7" s="276"/>
      <c r="F7" s="276"/>
      <c r="G7" s="276"/>
    </row>
    <row r="8" spans="1:7" s="184" customFormat="1" ht="15" customHeight="1" thickBot="1" x14ac:dyDescent="0.3">
      <c r="A8" s="291" t="s">
        <v>221</v>
      </c>
      <c r="B8" s="276"/>
      <c r="C8" s="276"/>
      <c r="D8" s="276"/>
      <c r="E8" s="276"/>
      <c r="F8" s="276"/>
      <c r="G8" s="276"/>
    </row>
    <row r="9" spans="1:7" s="90" customFormat="1" ht="42" customHeight="1" thickBot="1" x14ac:dyDescent="0.25">
      <c r="A9" s="208" t="s">
        <v>901</v>
      </c>
      <c r="B9" s="209" t="s">
        <v>222</v>
      </c>
      <c r="C9" s="209" t="s">
        <v>223</v>
      </c>
      <c r="D9" s="209" t="s">
        <v>224</v>
      </c>
      <c r="E9" s="209" t="s">
        <v>225</v>
      </c>
      <c r="F9" s="209" t="s">
        <v>226</v>
      </c>
      <c r="G9" s="210" t="s">
        <v>938</v>
      </c>
    </row>
    <row r="10" spans="1:7" ht="24" customHeight="1" x14ac:dyDescent="0.2">
      <c r="A10" s="277" t="s">
        <v>903</v>
      </c>
      <c r="B10" s="217" t="s">
        <v>227</v>
      </c>
      <c r="C10" s="185"/>
      <c r="D10" s="185"/>
      <c r="E10" s="185"/>
      <c r="F10" s="185"/>
      <c r="G10" s="278">
        <f>SUM(C10:F10)</f>
        <v>0</v>
      </c>
    </row>
    <row r="11" spans="1:7" ht="24" customHeight="1" x14ac:dyDescent="0.2">
      <c r="A11" s="279" t="s">
        <v>904</v>
      </c>
      <c r="B11" s="218" t="s">
        <v>228</v>
      </c>
      <c r="C11" s="186"/>
      <c r="D11" s="186"/>
      <c r="E11" s="186"/>
      <c r="F11" s="186"/>
      <c r="G11" s="280">
        <f t="shared" ref="G11:G16" si="0">SUM(C11:F11)</f>
        <v>0</v>
      </c>
    </row>
    <row r="12" spans="1:7" ht="24" customHeight="1" x14ac:dyDescent="0.2">
      <c r="A12" s="279" t="s">
        <v>905</v>
      </c>
      <c r="B12" s="218" t="s">
        <v>229</v>
      </c>
      <c r="C12" s="186"/>
      <c r="D12" s="186"/>
      <c r="E12" s="186"/>
      <c r="F12" s="186"/>
      <c r="G12" s="280">
        <f t="shared" si="0"/>
        <v>0</v>
      </c>
    </row>
    <row r="13" spans="1:7" ht="24" customHeight="1" x14ac:dyDescent="0.2">
      <c r="A13" s="279" t="s">
        <v>906</v>
      </c>
      <c r="B13" s="218" t="s">
        <v>230</v>
      </c>
      <c r="C13" s="186"/>
      <c r="D13" s="186"/>
      <c r="E13" s="186"/>
      <c r="F13" s="186"/>
      <c r="G13" s="280">
        <f t="shared" si="0"/>
        <v>0</v>
      </c>
    </row>
    <row r="14" spans="1:7" ht="24" customHeight="1" x14ac:dyDescent="0.2">
      <c r="A14" s="279" t="s">
        <v>907</v>
      </c>
      <c r="B14" s="218" t="s">
        <v>231</v>
      </c>
      <c r="C14" s="186"/>
      <c r="D14" s="186"/>
      <c r="E14" s="186"/>
      <c r="F14" s="186"/>
      <c r="G14" s="280">
        <f t="shared" si="0"/>
        <v>0</v>
      </c>
    </row>
    <row r="15" spans="1:7" ht="24" customHeight="1" thickBot="1" x14ac:dyDescent="0.25">
      <c r="A15" s="281" t="s">
        <v>908</v>
      </c>
      <c r="B15" s="282" t="s">
        <v>232</v>
      </c>
      <c r="C15" s="187"/>
      <c r="D15" s="187"/>
      <c r="E15" s="187"/>
      <c r="F15" s="187"/>
      <c r="G15" s="283">
        <f t="shared" si="0"/>
        <v>0</v>
      </c>
    </row>
    <row r="16" spans="1:7" s="188" customFormat="1" ht="24" customHeight="1" thickBot="1" x14ac:dyDescent="0.25">
      <c r="A16" s="284" t="s">
        <v>909</v>
      </c>
      <c r="B16" s="285" t="s">
        <v>938</v>
      </c>
      <c r="C16" s="286">
        <f>SUM(C10:C15)</f>
        <v>0</v>
      </c>
      <c r="D16" s="286">
        <f>SUM(D10:D15)</f>
        <v>0</v>
      </c>
      <c r="E16" s="286">
        <f>SUM(E10:E15)</f>
        <v>0</v>
      </c>
      <c r="F16" s="286">
        <f>SUM(F10:F15)</f>
        <v>0</v>
      </c>
      <c r="G16" s="287">
        <f t="shared" si="0"/>
        <v>0</v>
      </c>
    </row>
    <row r="17" spans="1:7" s="183" customFormat="1" x14ac:dyDescent="0.2">
      <c r="A17" s="224"/>
      <c r="B17" s="224"/>
      <c r="C17" s="224"/>
      <c r="D17" s="224"/>
      <c r="E17" s="224"/>
      <c r="F17" s="224"/>
      <c r="G17" s="224"/>
    </row>
    <row r="18" spans="1:7" s="183" customFormat="1" x14ac:dyDescent="0.2">
      <c r="A18" s="224"/>
      <c r="B18" s="224"/>
      <c r="C18" s="224"/>
      <c r="D18" s="224"/>
      <c r="E18" s="224"/>
      <c r="F18" s="224"/>
      <c r="G18" s="224"/>
    </row>
    <row r="19" spans="1:7" s="183" customFormat="1" x14ac:dyDescent="0.2">
      <c r="A19" s="224"/>
      <c r="B19" s="224"/>
      <c r="C19" s="224"/>
      <c r="D19" s="224"/>
      <c r="E19" s="224"/>
      <c r="F19" s="224"/>
      <c r="G19" s="224"/>
    </row>
    <row r="20" spans="1:7" s="183" customFormat="1" ht="15.75" x14ac:dyDescent="0.25">
      <c r="A20" s="182" t="s">
        <v>404</v>
      </c>
      <c r="B20" s="224"/>
      <c r="C20" s="224"/>
      <c r="D20" s="224"/>
      <c r="E20" s="224"/>
      <c r="F20" s="224"/>
      <c r="G20" s="224"/>
    </row>
    <row r="21" spans="1:7" s="183" customFormat="1" x14ac:dyDescent="0.2">
      <c r="A21" s="224"/>
      <c r="B21" s="224"/>
      <c r="C21" s="224"/>
      <c r="D21" s="224"/>
      <c r="E21" s="224"/>
      <c r="F21" s="224"/>
      <c r="G21" s="224"/>
    </row>
    <row r="22" spans="1:7" x14ac:dyDescent="0.2">
      <c r="A22" s="224"/>
      <c r="B22" s="224"/>
      <c r="C22" s="224"/>
      <c r="D22" s="224"/>
      <c r="E22" s="224"/>
      <c r="F22" s="224"/>
      <c r="G22" s="224"/>
    </row>
    <row r="23" spans="1:7" x14ac:dyDescent="0.2">
      <c r="A23" s="224"/>
      <c r="B23" s="224"/>
      <c r="C23" s="183"/>
      <c r="D23" s="183"/>
      <c r="E23" s="183"/>
      <c r="F23" s="183"/>
      <c r="G23" s="224"/>
    </row>
    <row r="24" spans="1:7" ht="13.5" x14ac:dyDescent="0.25">
      <c r="A24" s="224"/>
      <c r="B24" s="224"/>
      <c r="C24" s="288"/>
      <c r="D24" s="289" t="s">
        <v>233</v>
      </c>
      <c r="E24" s="289"/>
      <c r="F24" s="288"/>
      <c r="G24" s="224"/>
    </row>
    <row r="25" spans="1:7" ht="13.5" x14ac:dyDescent="0.25">
      <c r="C25" s="189"/>
      <c r="D25" s="190"/>
      <c r="E25" s="190"/>
      <c r="F25" s="189"/>
    </row>
    <row r="26" spans="1:7" ht="13.5" x14ac:dyDescent="0.25">
      <c r="C26" s="189"/>
      <c r="D26" s="190"/>
      <c r="E26" s="190"/>
      <c r="F26" s="189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346" t="s">
        <v>886</v>
      </c>
      <c r="B1" s="1346"/>
      <c r="C1" s="1346"/>
      <c r="D1" s="1346"/>
      <c r="E1" s="1346"/>
      <c r="F1" s="1346"/>
      <c r="G1" s="1346"/>
      <c r="H1" s="1346"/>
      <c r="I1" s="1346"/>
    </row>
    <row r="2" spans="1:10" ht="20.25" customHeight="1" thickBot="1" x14ac:dyDescent="0.3">
      <c r="I2" s="61" t="s">
        <v>11</v>
      </c>
    </row>
    <row r="3" spans="1:10" s="62" customFormat="1" ht="26.25" customHeight="1" x14ac:dyDescent="0.2">
      <c r="A3" s="1365" t="s">
        <v>17</v>
      </c>
      <c r="B3" s="1360" t="s">
        <v>34</v>
      </c>
      <c r="C3" s="1365" t="s">
        <v>35</v>
      </c>
      <c r="D3" s="1365" t="s">
        <v>884</v>
      </c>
      <c r="E3" s="1362" t="s">
        <v>16</v>
      </c>
      <c r="F3" s="1363"/>
      <c r="G3" s="1363"/>
      <c r="H3" s="1364"/>
      <c r="I3" s="1360" t="s">
        <v>936</v>
      </c>
    </row>
    <row r="4" spans="1:10" s="63" customFormat="1" ht="32.25" customHeight="1" thickBot="1" x14ac:dyDescent="0.25">
      <c r="A4" s="1366"/>
      <c r="B4" s="1361"/>
      <c r="C4" s="1361"/>
      <c r="D4" s="1366"/>
      <c r="E4" s="292" t="s">
        <v>124</v>
      </c>
      <c r="F4" s="292" t="s">
        <v>199</v>
      </c>
      <c r="G4" s="292" t="s">
        <v>370</v>
      </c>
      <c r="H4" s="293" t="s">
        <v>885</v>
      </c>
      <c r="I4" s="1361"/>
    </row>
    <row r="5" spans="1:10" s="64" customFormat="1" ht="12.95" customHeight="1" thickBot="1" x14ac:dyDescent="0.25">
      <c r="A5" s="294">
        <v>1</v>
      </c>
      <c r="B5" s="295">
        <v>2</v>
      </c>
      <c r="C5" s="296">
        <v>3</v>
      </c>
      <c r="D5" s="295">
        <v>4</v>
      </c>
      <c r="E5" s="294">
        <v>5</v>
      </c>
      <c r="F5" s="296">
        <v>6</v>
      </c>
      <c r="G5" s="296">
        <v>7</v>
      </c>
      <c r="H5" s="297">
        <v>8</v>
      </c>
      <c r="I5" s="298" t="s">
        <v>36</v>
      </c>
    </row>
    <row r="6" spans="1:10" ht="24.75" customHeight="1" thickBot="1" x14ac:dyDescent="0.25">
      <c r="A6" s="299" t="s">
        <v>903</v>
      </c>
      <c r="B6" s="300" t="s">
        <v>887</v>
      </c>
      <c r="C6" s="308"/>
      <c r="D6" s="78"/>
      <c r="E6" s="79"/>
      <c r="F6" s="80"/>
      <c r="G6" s="80"/>
      <c r="H6" s="81"/>
      <c r="I6" s="65">
        <f t="shared" ref="I6:I17" si="0">SUM(D6:H6)</f>
        <v>0</v>
      </c>
    </row>
    <row r="7" spans="1:10" ht="20.100000000000001" customHeight="1" x14ac:dyDescent="0.2">
      <c r="A7" s="301" t="s">
        <v>904</v>
      </c>
      <c r="B7" s="69" t="s">
        <v>18</v>
      </c>
      <c r="C7" s="70"/>
      <c r="D7" s="71"/>
      <c r="E7" s="72"/>
      <c r="F7" s="33"/>
      <c r="G7" s="33"/>
      <c r="H7" s="30"/>
      <c r="I7" s="302">
        <f t="shared" si="0"/>
        <v>0</v>
      </c>
    </row>
    <row r="8" spans="1:10" ht="20.100000000000001" customHeight="1" thickBot="1" x14ac:dyDescent="0.25">
      <c r="A8" s="301" t="s">
        <v>905</v>
      </c>
      <c r="B8" s="69" t="s">
        <v>18</v>
      </c>
      <c r="C8" s="70"/>
      <c r="D8" s="71"/>
      <c r="E8" s="72"/>
      <c r="F8" s="33"/>
      <c r="G8" s="33"/>
      <c r="H8" s="30"/>
      <c r="I8" s="302">
        <f t="shared" si="0"/>
        <v>0</v>
      </c>
    </row>
    <row r="9" spans="1:10" ht="26.1" customHeight="1" thickBot="1" x14ac:dyDescent="0.25">
      <c r="A9" s="299" t="s">
        <v>906</v>
      </c>
      <c r="B9" s="300" t="s">
        <v>888</v>
      </c>
      <c r="C9" s="309"/>
      <c r="D9" s="78"/>
      <c r="E9" s="79"/>
      <c r="F9" s="80"/>
      <c r="G9" s="80"/>
      <c r="H9" s="81"/>
      <c r="I9" s="65">
        <f t="shared" si="0"/>
        <v>0</v>
      </c>
    </row>
    <row r="10" spans="1:10" ht="20.100000000000001" customHeight="1" x14ac:dyDescent="0.2">
      <c r="A10" s="301" t="s">
        <v>907</v>
      </c>
      <c r="B10" s="69" t="s">
        <v>18</v>
      </c>
      <c r="C10" s="70"/>
      <c r="D10" s="71"/>
      <c r="E10" s="72"/>
      <c r="F10" s="33"/>
      <c r="G10" s="33"/>
      <c r="H10" s="30"/>
      <c r="I10" s="302">
        <f t="shared" si="0"/>
        <v>0</v>
      </c>
    </row>
    <row r="11" spans="1:10" ht="20.100000000000001" customHeight="1" thickBot="1" x14ac:dyDescent="0.25">
      <c r="A11" s="301" t="s">
        <v>908</v>
      </c>
      <c r="B11" s="69" t="s">
        <v>18</v>
      </c>
      <c r="C11" s="70"/>
      <c r="D11" s="71"/>
      <c r="E11" s="72"/>
      <c r="F11" s="33"/>
      <c r="G11" s="33"/>
      <c r="H11" s="30"/>
      <c r="I11" s="302">
        <f t="shared" si="0"/>
        <v>0</v>
      </c>
    </row>
    <row r="12" spans="1:10" ht="20.100000000000001" customHeight="1" thickBot="1" x14ac:dyDescent="0.25">
      <c r="A12" s="299" t="s">
        <v>909</v>
      </c>
      <c r="B12" s="300" t="s">
        <v>214</v>
      </c>
      <c r="C12" s="309"/>
      <c r="D12" s="78"/>
      <c r="E12" s="79"/>
      <c r="F12" s="80"/>
      <c r="G12" s="80"/>
      <c r="H12" s="81"/>
      <c r="I12" s="65">
        <f t="shared" si="0"/>
        <v>0</v>
      </c>
    </row>
    <row r="13" spans="1:10" ht="20.100000000000001" customHeight="1" thickBot="1" x14ac:dyDescent="0.25">
      <c r="A13" s="301" t="s">
        <v>910</v>
      </c>
      <c r="B13" s="69" t="s">
        <v>18</v>
      </c>
      <c r="C13" s="70"/>
      <c r="D13" s="71"/>
      <c r="E13" s="72"/>
      <c r="F13" s="33"/>
      <c r="G13" s="33"/>
      <c r="H13" s="30"/>
      <c r="I13" s="302">
        <f t="shared" si="0"/>
        <v>0</v>
      </c>
    </row>
    <row r="14" spans="1:10" ht="20.100000000000001" customHeight="1" thickBot="1" x14ac:dyDescent="0.25">
      <c r="A14" s="299" t="s">
        <v>911</v>
      </c>
      <c r="B14" s="300" t="s">
        <v>215</v>
      </c>
      <c r="C14" s="309"/>
      <c r="D14" s="78"/>
      <c r="E14" s="79"/>
      <c r="F14" s="80"/>
      <c r="G14" s="80"/>
      <c r="H14" s="81"/>
      <c r="I14" s="65">
        <f t="shared" si="0"/>
        <v>0</v>
      </c>
      <c r="J14" s="73"/>
    </row>
    <row r="15" spans="1:10" ht="20.100000000000001" customHeight="1" thickBot="1" x14ac:dyDescent="0.25">
      <c r="A15" s="303" t="s">
        <v>912</v>
      </c>
      <c r="B15" s="74" t="s">
        <v>18</v>
      </c>
      <c r="C15" s="75"/>
      <c r="D15" s="76"/>
      <c r="E15" s="77"/>
      <c r="F15" s="34"/>
      <c r="G15" s="34"/>
      <c r="H15" s="32"/>
      <c r="I15" s="304">
        <f t="shared" si="0"/>
        <v>0</v>
      </c>
    </row>
    <row r="16" spans="1:10" ht="20.100000000000001" customHeight="1" thickBot="1" x14ac:dyDescent="0.25">
      <c r="A16" s="299" t="s">
        <v>913</v>
      </c>
      <c r="B16" s="305" t="s">
        <v>216</v>
      </c>
      <c r="C16" s="309"/>
      <c r="D16" s="78"/>
      <c r="E16" s="79"/>
      <c r="F16" s="80"/>
      <c r="G16" s="80"/>
      <c r="H16" s="81"/>
      <c r="I16" s="65">
        <f t="shared" si="0"/>
        <v>0</v>
      </c>
    </row>
    <row r="17" spans="1:9" ht="20.100000000000001" customHeight="1" thickBot="1" x14ac:dyDescent="0.25">
      <c r="A17" s="306" t="s">
        <v>914</v>
      </c>
      <c r="B17" s="82" t="s">
        <v>18</v>
      </c>
      <c r="C17" s="83"/>
      <c r="D17" s="84"/>
      <c r="E17" s="85"/>
      <c r="F17" s="86"/>
      <c r="G17" s="86"/>
      <c r="H17" s="31"/>
      <c r="I17" s="307">
        <f t="shared" si="0"/>
        <v>0</v>
      </c>
    </row>
    <row r="18" spans="1:9" ht="20.100000000000001" customHeight="1" thickBot="1" x14ac:dyDescent="0.25">
      <c r="A18" s="1358" t="s">
        <v>90</v>
      </c>
      <c r="B18" s="1359"/>
      <c r="C18" s="131"/>
      <c r="D18" s="65">
        <f>D6+D9+D12+D14+D16</f>
        <v>0</v>
      </c>
      <c r="E18" s="66">
        <f>E6+E9+E12+E14+E16</f>
        <v>0</v>
      </c>
      <c r="F18" s="67">
        <f>F6+F9+F12+F14+F16</f>
        <v>0</v>
      </c>
      <c r="G18" s="67">
        <f>G6+G9+G12+G14+G16</f>
        <v>0</v>
      </c>
      <c r="H18" s="68">
        <f>H6+H9+H12+H14+H16</f>
        <v>0</v>
      </c>
      <c r="I18" s="65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37" bestFit="1" customWidth="1"/>
    <col min="2" max="2" width="63" style="437" customWidth="1"/>
    <col min="3" max="3" width="6.33203125" style="436" hidden="1" customWidth="1"/>
    <col min="4" max="4" width="9.83203125" style="495" bestFit="1" customWidth="1"/>
    <col min="5" max="5" width="18.1640625" style="495" customWidth="1"/>
    <col min="6" max="6" width="15.1640625" style="495" customWidth="1"/>
    <col min="7" max="7" width="15.5" style="495" customWidth="1"/>
    <col min="8" max="8" width="11.33203125" style="495" bestFit="1" customWidth="1"/>
    <col min="9" max="9" width="9.83203125" style="495" bestFit="1" customWidth="1"/>
    <col min="10" max="10" width="13.1640625" style="496" bestFit="1" customWidth="1"/>
    <col min="11" max="11" width="17.33203125" style="436" customWidth="1"/>
    <col min="12" max="12" width="9.1640625" style="436" hidden="1" customWidth="1"/>
    <col min="13" max="13" width="16.83203125" style="436" customWidth="1"/>
    <col min="14" max="14" width="0" style="436" hidden="1" customWidth="1"/>
    <col min="15" max="15" width="18.5" style="436" customWidth="1"/>
    <col min="16" max="16" width="9.83203125" style="436" customWidth="1"/>
    <col min="17" max="17" width="16.1640625" style="480" customWidth="1"/>
    <col min="18" max="18" width="9.33203125" style="437"/>
    <col min="19" max="19" width="9.33203125" style="438"/>
    <col min="20" max="16384" width="9.33203125" style="437"/>
  </cols>
  <sheetData>
    <row r="1" spans="1:19" x14ac:dyDescent="0.25">
      <c r="A1" s="1367" t="s">
        <v>696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  <c r="L1" s="1367"/>
      <c r="M1" s="1367"/>
      <c r="N1" s="1367"/>
      <c r="O1" s="1367"/>
      <c r="P1" s="1367"/>
      <c r="Q1" s="1367"/>
    </row>
    <row r="2" spans="1:19" x14ac:dyDescent="0.25">
      <c r="A2" s="1368" t="s">
        <v>475</v>
      </c>
      <c r="B2" s="1368"/>
      <c r="C2" s="1368"/>
      <c r="D2" s="1368"/>
      <c r="E2" s="1368"/>
      <c r="F2" s="1368"/>
      <c r="G2" s="1368"/>
      <c r="H2" s="1368"/>
      <c r="I2" s="1368"/>
      <c r="J2" s="1368"/>
      <c r="K2" s="1368"/>
      <c r="L2" s="1368"/>
      <c r="M2" s="1368"/>
      <c r="N2" s="1368"/>
      <c r="O2" s="1368"/>
      <c r="P2" s="1368"/>
      <c r="Q2" s="1368"/>
    </row>
    <row r="3" spans="1:19" x14ac:dyDescent="0.25">
      <c r="A3" s="439"/>
      <c r="B3" s="439"/>
      <c r="C3" s="439"/>
      <c r="D3" s="439"/>
      <c r="E3" s="439"/>
      <c r="F3" s="439"/>
      <c r="G3" s="439"/>
      <c r="H3" s="439"/>
      <c r="I3" s="439"/>
      <c r="J3" s="439"/>
      <c r="Q3" s="436"/>
    </row>
    <row r="4" spans="1:19" s="443" customFormat="1" x14ac:dyDescent="0.2">
      <c r="A4" s="440"/>
      <c r="B4" s="441" t="s">
        <v>12</v>
      </c>
      <c r="C4" s="442">
        <v>2011</v>
      </c>
      <c r="D4" s="1369" t="s">
        <v>476</v>
      </c>
      <c r="E4" s="1370"/>
      <c r="F4" s="1370"/>
      <c r="G4" s="1370"/>
      <c r="H4" s="1370"/>
      <c r="I4" s="1370"/>
      <c r="J4" s="1371"/>
      <c r="K4" s="1369" t="s">
        <v>477</v>
      </c>
      <c r="L4" s="1370"/>
      <c r="M4" s="1370"/>
      <c r="N4" s="1370"/>
      <c r="O4" s="1370"/>
      <c r="P4" s="1370"/>
      <c r="Q4" s="1371"/>
      <c r="S4" s="444"/>
    </row>
    <row r="5" spans="1:19" s="443" customFormat="1" ht="75" x14ac:dyDescent="0.2">
      <c r="A5" s="445"/>
      <c r="B5" s="446"/>
      <c r="C5" s="447" t="s">
        <v>478</v>
      </c>
      <c r="D5" s="448" t="s">
        <v>454</v>
      </c>
      <c r="E5" s="448" t="s">
        <v>479</v>
      </c>
      <c r="F5" s="448" t="s">
        <v>480</v>
      </c>
      <c r="G5" s="448" t="s">
        <v>481</v>
      </c>
      <c r="H5" s="448" t="s">
        <v>452</v>
      </c>
      <c r="I5" s="448" t="s">
        <v>453</v>
      </c>
      <c r="J5" s="449" t="s">
        <v>936</v>
      </c>
      <c r="K5" s="448" t="s">
        <v>479</v>
      </c>
      <c r="L5" s="448" t="s">
        <v>480</v>
      </c>
      <c r="M5" s="448" t="s">
        <v>481</v>
      </c>
      <c r="N5" s="448" t="s">
        <v>452</v>
      </c>
      <c r="O5" s="448" t="s">
        <v>697</v>
      </c>
      <c r="P5" s="448" t="s">
        <v>453</v>
      </c>
      <c r="Q5" s="449" t="s">
        <v>936</v>
      </c>
      <c r="S5" s="444"/>
    </row>
    <row r="6" spans="1:19" x14ac:dyDescent="0.25">
      <c r="A6" s="451">
        <v>1</v>
      </c>
      <c r="B6" s="452" t="s">
        <v>482</v>
      </c>
      <c r="C6" s="453"/>
      <c r="D6" s="454">
        <v>27.562999999999999</v>
      </c>
      <c r="E6" s="454">
        <v>0</v>
      </c>
      <c r="F6" s="454">
        <v>0</v>
      </c>
      <c r="G6" s="454">
        <v>0</v>
      </c>
      <c r="H6" s="454">
        <v>392.04300000000001</v>
      </c>
      <c r="I6" s="454">
        <v>0</v>
      </c>
      <c r="J6" s="455">
        <v>419.60599999999999</v>
      </c>
      <c r="K6" s="456">
        <v>0</v>
      </c>
      <c r="L6" s="456">
        <v>0</v>
      </c>
      <c r="M6" s="456">
        <v>0</v>
      </c>
      <c r="N6" s="456">
        <v>0</v>
      </c>
      <c r="O6" s="456">
        <v>0</v>
      </c>
      <c r="P6" s="456">
        <v>0</v>
      </c>
      <c r="Q6" s="457">
        <v>0</v>
      </c>
    </row>
    <row r="7" spans="1:19" x14ac:dyDescent="0.25">
      <c r="A7" s="451">
        <v>2</v>
      </c>
      <c r="B7" s="452" t="s">
        <v>483</v>
      </c>
      <c r="C7" s="453"/>
      <c r="D7" s="454">
        <v>0</v>
      </c>
      <c r="E7" s="454">
        <v>0</v>
      </c>
      <c r="F7" s="454">
        <v>0</v>
      </c>
      <c r="G7" s="454">
        <v>0</v>
      </c>
      <c r="H7" s="454">
        <v>20548.030999999999</v>
      </c>
      <c r="I7" s="454">
        <v>0</v>
      </c>
      <c r="J7" s="455">
        <v>20548.030999999999</v>
      </c>
      <c r="K7" s="456">
        <v>0</v>
      </c>
      <c r="L7" s="456">
        <v>0</v>
      </c>
      <c r="M7" s="456">
        <v>0</v>
      </c>
      <c r="N7" s="456">
        <v>9998.68</v>
      </c>
      <c r="O7" s="456">
        <v>9998.68</v>
      </c>
      <c r="P7" s="456">
        <v>0</v>
      </c>
      <c r="Q7" s="457">
        <v>9998.68</v>
      </c>
    </row>
    <row r="8" spans="1:19" x14ac:dyDescent="0.25">
      <c r="A8" s="451">
        <v>3</v>
      </c>
      <c r="B8" s="452" t="s">
        <v>484</v>
      </c>
      <c r="C8" s="453">
        <v>0</v>
      </c>
      <c r="D8" s="454">
        <v>0</v>
      </c>
      <c r="E8" s="454">
        <v>0</v>
      </c>
      <c r="F8" s="454">
        <v>0</v>
      </c>
      <c r="G8" s="454">
        <v>0</v>
      </c>
      <c r="H8" s="454">
        <v>81690.829999999987</v>
      </c>
      <c r="I8" s="454">
        <v>0</v>
      </c>
      <c r="J8" s="455">
        <v>81690.829999999987</v>
      </c>
      <c r="K8" s="456">
        <v>0</v>
      </c>
      <c r="L8" s="456">
        <v>0</v>
      </c>
      <c r="M8" s="456">
        <v>0</v>
      </c>
      <c r="N8" s="456">
        <v>100697.92</v>
      </c>
      <c r="O8" s="456">
        <v>100697.92</v>
      </c>
      <c r="P8" s="456">
        <v>0</v>
      </c>
      <c r="Q8" s="457">
        <v>100697.92</v>
      </c>
    </row>
    <row r="9" spans="1:19" x14ac:dyDescent="0.25">
      <c r="A9" s="451">
        <v>4</v>
      </c>
      <c r="B9" s="452" t="s">
        <v>485</v>
      </c>
      <c r="C9" s="453"/>
      <c r="D9" s="454">
        <v>0</v>
      </c>
      <c r="E9" s="454">
        <v>0</v>
      </c>
      <c r="F9" s="454">
        <v>0</v>
      </c>
      <c r="G9" s="454">
        <v>0</v>
      </c>
      <c r="H9" s="454">
        <v>33829.214999999997</v>
      </c>
      <c r="I9" s="454">
        <v>0</v>
      </c>
      <c r="J9" s="455">
        <v>33829.214999999997</v>
      </c>
      <c r="K9" s="456">
        <v>0</v>
      </c>
      <c r="L9" s="456">
        <v>0</v>
      </c>
      <c r="M9" s="456">
        <v>0</v>
      </c>
      <c r="N9" s="456">
        <v>42924.409999999996</v>
      </c>
      <c r="O9" s="456">
        <v>42924.409999999996</v>
      </c>
      <c r="P9" s="456">
        <v>0</v>
      </c>
      <c r="Q9" s="457">
        <v>42924.409999999996</v>
      </c>
    </row>
    <row r="10" spans="1:19" x14ac:dyDescent="0.25">
      <c r="A10" s="451">
        <v>5</v>
      </c>
      <c r="B10" s="452" t="s">
        <v>486</v>
      </c>
      <c r="C10" s="453"/>
      <c r="D10" s="454">
        <v>0</v>
      </c>
      <c r="E10" s="454">
        <v>0</v>
      </c>
      <c r="F10" s="454">
        <v>0</v>
      </c>
      <c r="G10" s="454">
        <v>0</v>
      </c>
      <c r="H10" s="454">
        <v>18379.445</v>
      </c>
      <c r="I10" s="454">
        <v>0</v>
      </c>
      <c r="J10" s="455">
        <v>18379.445</v>
      </c>
      <c r="K10" s="456">
        <v>0</v>
      </c>
      <c r="L10" s="456">
        <v>0</v>
      </c>
      <c r="M10" s="456">
        <v>0</v>
      </c>
      <c r="N10" s="456">
        <v>21189.848000000002</v>
      </c>
      <c r="O10" s="456">
        <v>21189.848000000002</v>
      </c>
      <c r="P10" s="456">
        <v>0</v>
      </c>
      <c r="Q10" s="457">
        <v>21189.848000000002</v>
      </c>
    </row>
    <row r="11" spans="1:19" x14ac:dyDescent="0.25">
      <c r="A11" s="451">
        <v>6</v>
      </c>
      <c r="B11" s="452" t="s">
        <v>116</v>
      </c>
      <c r="C11" s="453"/>
      <c r="D11" s="454">
        <v>0</v>
      </c>
      <c r="E11" s="454">
        <v>0</v>
      </c>
      <c r="F11" s="454">
        <v>0</v>
      </c>
      <c r="G11" s="454">
        <v>0</v>
      </c>
      <c r="H11" s="454">
        <v>0</v>
      </c>
      <c r="I11" s="454">
        <v>0</v>
      </c>
      <c r="J11" s="455">
        <v>0</v>
      </c>
      <c r="K11" s="456">
        <v>0</v>
      </c>
      <c r="L11" s="456">
        <v>0</v>
      </c>
      <c r="M11" s="456">
        <v>0</v>
      </c>
      <c r="N11" s="456">
        <v>0</v>
      </c>
      <c r="O11" s="456">
        <v>0</v>
      </c>
      <c r="P11" s="456">
        <v>0</v>
      </c>
      <c r="Q11" s="457">
        <v>0</v>
      </c>
    </row>
    <row r="12" spans="1:19" x14ac:dyDescent="0.25">
      <c r="A12" s="451">
        <v>7</v>
      </c>
      <c r="B12" s="452" t="s">
        <v>487</v>
      </c>
      <c r="C12" s="453"/>
      <c r="D12" s="454">
        <v>0</v>
      </c>
      <c r="E12" s="454">
        <v>0</v>
      </c>
      <c r="F12" s="454">
        <v>0</v>
      </c>
      <c r="G12" s="454">
        <v>0</v>
      </c>
      <c r="H12" s="454">
        <v>29482.17</v>
      </c>
      <c r="I12" s="454">
        <v>0</v>
      </c>
      <c r="J12" s="455">
        <v>29482.17</v>
      </c>
      <c r="K12" s="456">
        <v>0</v>
      </c>
      <c r="L12" s="456">
        <v>0</v>
      </c>
      <c r="M12" s="456">
        <v>0</v>
      </c>
      <c r="N12" s="456">
        <v>36583.661999999997</v>
      </c>
      <c r="O12" s="456">
        <v>36583.661999999997</v>
      </c>
      <c r="P12" s="456">
        <v>0</v>
      </c>
      <c r="Q12" s="457">
        <v>36583.661999999997</v>
      </c>
    </row>
    <row r="13" spans="1:19" x14ac:dyDescent="0.25">
      <c r="A13" s="451">
        <v>8</v>
      </c>
      <c r="B13" s="452" t="s">
        <v>488</v>
      </c>
      <c r="C13" s="453"/>
      <c r="D13" s="454">
        <v>0</v>
      </c>
      <c r="E13" s="454">
        <v>0</v>
      </c>
      <c r="F13" s="454">
        <v>0</v>
      </c>
      <c r="G13" s="454">
        <v>0</v>
      </c>
      <c r="H13" s="454">
        <v>0</v>
      </c>
      <c r="I13" s="454">
        <v>0</v>
      </c>
      <c r="J13" s="455">
        <v>0</v>
      </c>
      <c r="K13" s="456">
        <v>0</v>
      </c>
      <c r="L13" s="456">
        <v>0</v>
      </c>
      <c r="M13" s="456">
        <v>0</v>
      </c>
      <c r="N13" s="456">
        <v>0</v>
      </c>
      <c r="O13" s="456">
        <v>0</v>
      </c>
      <c r="P13" s="456">
        <v>0</v>
      </c>
      <c r="Q13" s="457">
        <v>0</v>
      </c>
    </row>
    <row r="14" spans="1:19" x14ac:dyDescent="0.25">
      <c r="A14" s="451">
        <v>9</v>
      </c>
      <c r="B14" s="452" t="s">
        <v>489</v>
      </c>
      <c r="C14" s="453">
        <v>0</v>
      </c>
      <c r="D14" s="454">
        <v>0</v>
      </c>
      <c r="E14" s="454">
        <v>0</v>
      </c>
      <c r="F14" s="454">
        <v>0</v>
      </c>
      <c r="G14" s="454">
        <v>0</v>
      </c>
      <c r="H14" s="454">
        <v>91588.676000000007</v>
      </c>
      <c r="I14" s="454">
        <v>0</v>
      </c>
      <c r="J14" s="455">
        <v>91588.676000000007</v>
      </c>
      <c r="K14" s="456">
        <v>0</v>
      </c>
      <c r="L14" s="456">
        <v>0</v>
      </c>
      <c r="M14" s="456">
        <v>0</v>
      </c>
      <c r="N14" s="456">
        <v>0</v>
      </c>
      <c r="O14" s="456">
        <v>0</v>
      </c>
      <c r="P14" s="456">
        <v>0</v>
      </c>
      <c r="Q14" s="457">
        <v>0</v>
      </c>
    </row>
    <row r="15" spans="1:19" x14ac:dyDescent="0.25">
      <c r="A15" s="451"/>
      <c r="B15" s="452" t="s">
        <v>490</v>
      </c>
      <c r="C15" s="453"/>
      <c r="D15" s="454">
        <v>0</v>
      </c>
      <c r="E15" s="454">
        <v>0</v>
      </c>
      <c r="F15" s="454">
        <v>0</v>
      </c>
      <c r="G15" s="454">
        <v>0</v>
      </c>
      <c r="H15" s="454">
        <v>0</v>
      </c>
      <c r="I15" s="454">
        <v>0</v>
      </c>
      <c r="J15" s="455">
        <v>0</v>
      </c>
      <c r="K15" s="456">
        <v>0</v>
      </c>
      <c r="L15" s="456">
        <v>0</v>
      </c>
      <c r="M15" s="456">
        <v>0</v>
      </c>
      <c r="N15" s="456">
        <v>0</v>
      </c>
      <c r="O15" s="456">
        <v>0</v>
      </c>
      <c r="P15" s="456">
        <v>0</v>
      </c>
      <c r="Q15" s="457">
        <v>0</v>
      </c>
    </row>
    <row r="16" spans="1:19" ht="30" x14ac:dyDescent="0.25">
      <c r="A16" s="451">
        <v>10</v>
      </c>
      <c r="B16" s="452" t="s">
        <v>491</v>
      </c>
      <c r="C16" s="453"/>
      <c r="D16" s="454">
        <v>0</v>
      </c>
      <c r="E16" s="454">
        <v>0</v>
      </c>
      <c r="F16" s="454">
        <v>0</v>
      </c>
      <c r="G16" s="454">
        <v>0</v>
      </c>
      <c r="H16" s="454">
        <v>63892.480000000003</v>
      </c>
      <c r="I16" s="454">
        <v>0</v>
      </c>
      <c r="J16" s="455">
        <v>63892.480000000003</v>
      </c>
      <c r="K16" s="456">
        <v>0</v>
      </c>
      <c r="L16" s="456">
        <v>0</v>
      </c>
      <c r="M16" s="456">
        <v>0</v>
      </c>
      <c r="N16" s="456">
        <v>0</v>
      </c>
      <c r="O16" s="456">
        <v>0</v>
      </c>
      <c r="P16" s="456">
        <v>0</v>
      </c>
      <c r="Q16" s="457">
        <v>0</v>
      </c>
    </row>
    <row r="17" spans="1:19" x14ac:dyDescent="0.25">
      <c r="A17" s="451">
        <v>11</v>
      </c>
      <c r="B17" s="452" t="s">
        <v>492</v>
      </c>
      <c r="C17" s="453"/>
      <c r="D17" s="454">
        <v>0</v>
      </c>
      <c r="E17" s="454">
        <v>0</v>
      </c>
      <c r="F17" s="454">
        <v>0</v>
      </c>
      <c r="G17" s="454">
        <v>0</v>
      </c>
      <c r="H17" s="454">
        <v>27696.196</v>
      </c>
      <c r="I17" s="454">
        <v>0</v>
      </c>
      <c r="J17" s="455">
        <v>27696.196</v>
      </c>
      <c r="K17" s="456">
        <v>0</v>
      </c>
      <c r="L17" s="456">
        <v>0</v>
      </c>
      <c r="M17" s="456">
        <v>0</v>
      </c>
      <c r="N17" s="456">
        <v>0</v>
      </c>
      <c r="O17" s="456">
        <v>0</v>
      </c>
      <c r="P17" s="456">
        <v>0</v>
      </c>
      <c r="Q17" s="457">
        <v>0</v>
      </c>
    </row>
    <row r="18" spans="1:19" x14ac:dyDescent="0.25">
      <c r="A18" s="451">
        <v>12</v>
      </c>
      <c r="B18" s="452" t="s">
        <v>493</v>
      </c>
      <c r="C18" s="453"/>
      <c r="D18" s="454">
        <v>0</v>
      </c>
      <c r="E18" s="454">
        <v>0</v>
      </c>
      <c r="F18" s="454">
        <v>0</v>
      </c>
      <c r="G18" s="454">
        <v>0</v>
      </c>
      <c r="H18" s="454">
        <v>0</v>
      </c>
      <c r="I18" s="454">
        <v>0</v>
      </c>
      <c r="J18" s="455">
        <v>0</v>
      </c>
      <c r="K18" s="456">
        <v>0</v>
      </c>
      <c r="L18" s="456">
        <v>0</v>
      </c>
      <c r="M18" s="456">
        <v>0</v>
      </c>
      <c r="N18" s="456">
        <v>0</v>
      </c>
      <c r="O18" s="456">
        <v>0</v>
      </c>
      <c r="P18" s="456">
        <v>0</v>
      </c>
      <c r="Q18" s="457">
        <v>0</v>
      </c>
    </row>
    <row r="19" spans="1:19" x14ac:dyDescent="0.25">
      <c r="A19" s="451">
        <v>13</v>
      </c>
      <c r="B19" s="452" t="s">
        <v>494</v>
      </c>
      <c r="C19" s="453"/>
      <c r="D19" s="454">
        <v>0</v>
      </c>
      <c r="E19" s="454">
        <v>0</v>
      </c>
      <c r="F19" s="454">
        <v>0</v>
      </c>
      <c r="G19" s="454">
        <v>0</v>
      </c>
      <c r="H19" s="454">
        <v>0</v>
      </c>
      <c r="I19" s="454">
        <v>0</v>
      </c>
      <c r="J19" s="455">
        <v>0</v>
      </c>
      <c r="K19" s="456">
        <v>0</v>
      </c>
      <c r="L19" s="456">
        <v>0</v>
      </c>
      <c r="M19" s="456">
        <v>0</v>
      </c>
      <c r="N19" s="456">
        <v>0</v>
      </c>
      <c r="O19" s="456">
        <v>0</v>
      </c>
      <c r="P19" s="456">
        <v>0</v>
      </c>
      <c r="Q19" s="457">
        <v>0</v>
      </c>
    </row>
    <row r="20" spans="1:19" x14ac:dyDescent="0.25">
      <c r="A20" s="451">
        <v>14</v>
      </c>
      <c r="B20" s="452" t="s">
        <v>495</v>
      </c>
      <c r="C20" s="453"/>
      <c r="D20" s="454">
        <v>0</v>
      </c>
      <c r="E20" s="454">
        <v>0</v>
      </c>
      <c r="F20" s="454">
        <v>0</v>
      </c>
      <c r="G20" s="454">
        <v>0</v>
      </c>
      <c r="H20" s="454">
        <v>177.84299999999999</v>
      </c>
      <c r="I20" s="454">
        <v>0</v>
      </c>
      <c r="J20" s="455">
        <v>177.84299999999999</v>
      </c>
      <c r="K20" s="456">
        <v>0</v>
      </c>
      <c r="L20" s="456">
        <v>0</v>
      </c>
      <c r="M20" s="456">
        <v>0</v>
      </c>
      <c r="N20" s="456">
        <v>234.5</v>
      </c>
      <c r="O20" s="456">
        <v>234.5</v>
      </c>
      <c r="P20" s="456">
        <v>0</v>
      </c>
      <c r="Q20" s="457">
        <v>234.5</v>
      </c>
    </row>
    <row r="21" spans="1:19" ht="45" x14ac:dyDescent="0.25">
      <c r="A21" s="451">
        <v>15</v>
      </c>
      <c r="B21" s="452" t="s">
        <v>496</v>
      </c>
      <c r="C21" s="453"/>
      <c r="D21" s="454">
        <v>0</v>
      </c>
      <c r="E21" s="454">
        <v>0</v>
      </c>
      <c r="F21" s="454">
        <v>0</v>
      </c>
      <c r="G21" s="454">
        <v>0</v>
      </c>
      <c r="H21" s="454">
        <v>2732.6729999999998</v>
      </c>
      <c r="I21" s="454">
        <v>0</v>
      </c>
      <c r="J21" s="455">
        <v>2732.6729999999998</v>
      </c>
      <c r="K21" s="456">
        <v>0</v>
      </c>
      <c r="L21" s="456">
        <v>0</v>
      </c>
      <c r="M21" s="456">
        <v>0</v>
      </c>
      <c r="N21" s="456">
        <v>3411.7649999999999</v>
      </c>
      <c r="O21" s="456">
        <v>3411.7649999999999</v>
      </c>
      <c r="P21" s="456">
        <v>0</v>
      </c>
      <c r="Q21" s="457">
        <v>3411.7649999999999</v>
      </c>
    </row>
    <row r="22" spans="1:19" s="465" customFormat="1" ht="30" x14ac:dyDescent="0.25">
      <c r="A22" s="468">
        <v>16</v>
      </c>
      <c r="B22" s="469" t="s">
        <v>497</v>
      </c>
      <c r="C22" s="470">
        <v>0</v>
      </c>
      <c r="D22" s="470">
        <v>27.562999999999999</v>
      </c>
      <c r="E22" s="470">
        <v>0</v>
      </c>
      <c r="F22" s="470">
        <v>0</v>
      </c>
      <c r="G22" s="470">
        <v>0</v>
      </c>
      <c r="H22" s="470">
        <v>197130.09599999999</v>
      </c>
      <c r="I22" s="470">
        <v>0</v>
      </c>
      <c r="J22" s="470">
        <v>197157.65899999999</v>
      </c>
      <c r="K22" s="470">
        <v>0</v>
      </c>
      <c r="L22" s="470">
        <v>0</v>
      </c>
      <c r="M22" s="470">
        <v>0</v>
      </c>
      <c r="N22" s="470">
        <v>114342.86500000001</v>
      </c>
      <c r="O22" s="470">
        <v>114342.86500000001</v>
      </c>
      <c r="P22" s="470">
        <v>0</v>
      </c>
      <c r="Q22" s="470">
        <v>114342.86500000001</v>
      </c>
    </row>
    <row r="23" spans="1:19" s="471" customFormat="1" x14ac:dyDescent="0.25">
      <c r="A23" s="458">
        <v>17</v>
      </c>
      <c r="B23" s="459" t="s">
        <v>498</v>
      </c>
      <c r="C23" s="460">
        <v>0</v>
      </c>
      <c r="D23" s="460">
        <v>4243.21</v>
      </c>
      <c r="E23" s="460">
        <v>1897.9190000000001</v>
      </c>
      <c r="F23" s="460">
        <v>97.016999999999996</v>
      </c>
      <c r="G23" s="460">
        <v>68.47</v>
      </c>
      <c r="H23" s="460">
        <v>10089.620000000001</v>
      </c>
      <c r="I23" s="460">
        <v>0</v>
      </c>
      <c r="J23" s="460">
        <v>16396.236000000001</v>
      </c>
      <c r="K23" s="460">
        <v>5104.866</v>
      </c>
      <c r="L23" s="460">
        <v>546.55100000000004</v>
      </c>
      <c r="M23" s="460">
        <v>250</v>
      </c>
      <c r="N23" s="460">
        <v>6559.9620000000014</v>
      </c>
      <c r="O23" s="460">
        <v>7106.5130000000017</v>
      </c>
      <c r="P23" s="460">
        <v>0</v>
      </c>
      <c r="Q23" s="542">
        <v>12461.379000000001</v>
      </c>
      <c r="S23" s="472"/>
    </row>
    <row r="24" spans="1:19" s="473" customFormat="1" x14ac:dyDescent="0.25">
      <c r="A24" s="451"/>
      <c r="B24" s="463" t="s">
        <v>499</v>
      </c>
      <c r="C24" s="464"/>
      <c r="D24" s="454">
        <v>0</v>
      </c>
      <c r="E24" s="454">
        <v>0</v>
      </c>
      <c r="F24" s="454">
        <v>0</v>
      </c>
      <c r="G24" s="454">
        <v>0</v>
      </c>
      <c r="H24" s="454">
        <v>0</v>
      </c>
      <c r="I24" s="454">
        <v>0</v>
      </c>
      <c r="J24" s="455">
        <v>0</v>
      </c>
      <c r="K24" s="456">
        <v>0</v>
      </c>
      <c r="L24" s="456">
        <v>0</v>
      </c>
      <c r="M24" s="456">
        <v>0</v>
      </c>
      <c r="N24" s="456">
        <v>0</v>
      </c>
      <c r="O24" s="456">
        <v>0</v>
      </c>
      <c r="P24" s="456">
        <v>0</v>
      </c>
      <c r="Q24" s="457">
        <v>0</v>
      </c>
      <c r="S24" s="465"/>
    </row>
    <row r="25" spans="1:19" s="473" customFormat="1" x14ac:dyDescent="0.25">
      <c r="A25" s="462">
        <v>18</v>
      </c>
      <c r="B25" s="466" t="s">
        <v>500</v>
      </c>
      <c r="C25" s="464"/>
      <c r="D25" s="454">
        <v>0</v>
      </c>
      <c r="E25" s="454">
        <v>0</v>
      </c>
      <c r="F25" s="454">
        <v>0</v>
      </c>
      <c r="G25" s="454">
        <v>0</v>
      </c>
      <c r="H25" s="454">
        <v>0</v>
      </c>
      <c r="I25" s="454">
        <v>0</v>
      </c>
      <c r="J25" s="455">
        <v>0</v>
      </c>
      <c r="K25" s="456">
        <v>0</v>
      </c>
      <c r="L25" s="456">
        <v>0</v>
      </c>
      <c r="M25" s="456">
        <v>0</v>
      </c>
      <c r="N25" s="456">
        <v>0</v>
      </c>
      <c r="O25" s="456">
        <v>0</v>
      </c>
      <c r="P25" s="456">
        <v>0</v>
      </c>
      <c r="Q25" s="457">
        <v>0</v>
      </c>
      <c r="S25" s="465"/>
    </row>
    <row r="26" spans="1:19" s="473" customFormat="1" x14ac:dyDescent="0.25">
      <c r="A26" s="462">
        <v>19</v>
      </c>
      <c r="B26" s="466" t="s">
        <v>501</v>
      </c>
      <c r="C26" s="464"/>
      <c r="D26" s="454">
        <v>0</v>
      </c>
      <c r="E26" s="454">
        <v>0</v>
      </c>
      <c r="F26" s="454">
        <v>0</v>
      </c>
      <c r="G26" s="454">
        <v>0</v>
      </c>
      <c r="H26" s="454">
        <v>-379.15300000000002</v>
      </c>
      <c r="I26" s="454">
        <v>0</v>
      </c>
      <c r="J26" s="455">
        <v>-379.15300000000002</v>
      </c>
      <c r="K26" s="456">
        <v>0</v>
      </c>
      <c r="L26" s="456">
        <v>0</v>
      </c>
      <c r="M26" s="456">
        <v>0</v>
      </c>
      <c r="N26" s="456">
        <v>0</v>
      </c>
      <c r="O26" s="456">
        <v>0</v>
      </c>
      <c r="P26" s="456">
        <v>0</v>
      </c>
      <c r="Q26" s="457">
        <v>0</v>
      </c>
      <c r="S26" s="465"/>
    </row>
    <row r="27" spans="1:19" s="475" customFormat="1" x14ac:dyDescent="0.25">
      <c r="A27" s="462">
        <v>20</v>
      </c>
      <c r="B27" s="466" t="s">
        <v>502</v>
      </c>
      <c r="C27" s="474"/>
      <c r="D27" s="454">
        <v>60.6</v>
      </c>
      <c r="E27" s="454">
        <v>0</v>
      </c>
      <c r="F27" s="454">
        <v>50.9</v>
      </c>
      <c r="G27" s="454">
        <v>0</v>
      </c>
      <c r="H27" s="454">
        <v>0</v>
      </c>
      <c r="I27" s="454">
        <v>0</v>
      </c>
      <c r="J27" s="455">
        <v>111.5</v>
      </c>
      <c r="K27" s="456">
        <v>0</v>
      </c>
      <c r="L27" s="456">
        <v>0</v>
      </c>
      <c r="M27" s="456">
        <v>0</v>
      </c>
      <c r="N27" s="456">
        <v>0</v>
      </c>
      <c r="O27" s="456">
        <v>0</v>
      </c>
      <c r="P27" s="456">
        <v>0</v>
      </c>
      <c r="Q27" s="457">
        <v>0</v>
      </c>
      <c r="S27" s="465"/>
    </row>
    <row r="28" spans="1:19" s="473" customFormat="1" x14ac:dyDescent="0.25">
      <c r="A28" s="462">
        <v>21</v>
      </c>
      <c r="B28" s="466" t="s">
        <v>503</v>
      </c>
      <c r="C28" s="464"/>
      <c r="D28" s="454">
        <v>0</v>
      </c>
      <c r="E28" s="454">
        <v>0</v>
      </c>
      <c r="F28" s="454">
        <v>0</v>
      </c>
      <c r="G28" s="454">
        <v>0</v>
      </c>
      <c r="H28" s="454">
        <v>1749.952</v>
      </c>
      <c r="I28" s="454">
        <v>0</v>
      </c>
      <c r="J28" s="455">
        <v>1749.952</v>
      </c>
      <c r="K28" s="456">
        <v>0</v>
      </c>
      <c r="L28" s="456">
        <v>0</v>
      </c>
      <c r="M28" s="456">
        <v>0</v>
      </c>
      <c r="N28" s="456">
        <v>0</v>
      </c>
      <c r="O28" s="456">
        <v>0</v>
      </c>
      <c r="P28" s="456">
        <v>0</v>
      </c>
      <c r="Q28" s="457">
        <v>0</v>
      </c>
      <c r="S28" s="465"/>
    </row>
    <row r="29" spans="1:19" s="473" customFormat="1" ht="30" x14ac:dyDescent="0.25">
      <c r="A29" s="462">
        <v>22</v>
      </c>
      <c r="B29" s="466" t="s">
        <v>504</v>
      </c>
      <c r="C29" s="464"/>
      <c r="D29" s="454">
        <v>0</v>
      </c>
      <c r="E29" s="454">
        <v>0</v>
      </c>
      <c r="F29" s="454">
        <v>0</v>
      </c>
      <c r="G29" s="454">
        <v>0</v>
      </c>
      <c r="H29" s="454">
        <v>940.2</v>
      </c>
      <c r="I29" s="454">
        <v>0</v>
      </c>
      <c r="J29" s="455">
        <v>940.2</v>
      </c>
      <c r="K29" s="456">
        <v>0</v>
      </c>
      <c r="L29" s="456">
        <v>0</v>
      </c>
      <c r="M29" s="456">
        <v>0</v>
      </c>
      <c r="N29" s="456">
        <v>0</v>
      </c>
      <c r="O29" s="456">
        <v>0</v>
      </c>
      <c r="P29" s="456">
        <v>0</v>
      </c>
      <c r="Q29" s="457">
        <v>0</v>
      </c>
      <c r="S29" s="465"/>
    </row>
    <row r="30" spans="1:19" s="473" customFormat="1" x14ac:dyDescent="0.25">
      <c r="A30" s="462">
        <v>23</v>
      </c>
      <c r="B30" s="466" t="s">
        <v>505</v>
      </c>
      <c r="C30" s="464">
        <v>0</v>
      </c>
      <c r="D30" s="454">
        <v>29.12</v>
      </c>
      <c r="E30" s="454">
        <v>0</v>
      </c>
      <c r="F30" s="454">
        <v>0</v>
      </c>
      <c r="G30" s="454">
        <v>68.47</v>
      </c>
      <c r="H30" s="454">
        <v>7778.621000000001</v>
      </c>
      <c r="I30" s="454">
        <v>0</v>
      </c>
      <c r="J30" s="455">
        <v>7876.2110000000002</v>
      </c>
      <c r="K30" s="456">
        <v>0</v>
      </c>
      <c r="L30" s="456">
        <v>0</v>
      </c>
      <c r="M30" s="456">
        <v>250</v>
      </c>
      <c r="N30" s="456">
        <v>6559.9620000000014</v>
      </c>
      <c r="O30" s="456">
        <v>6559.9620000000014</v>
      </c>
      <c r="P30" s="456">
        <v>0</v>
      </c>
      <c r="Q30" s="457">
        <v>6809.9620000000014</v>
      </c>
      <c r="S30" s="465"/>
    </row>
    <row r="31" spans="1:19" s="473" customFormat="1" x14ac:dyDescent="0.25">
      <c r="A31" s="462">
        <v>24</v>
      </c>
      <c r="B31" s="476" t="s">
        <v>506</v>
      </c>
      <c r="C31" s="464"/>
      <c r="D31" s="454">
        <v>0</v>
      </c>
      <c r="E31" s="454">
        <v>0</v>
      </c>
      <c r="F31" s="454">
        <v>0</v>
      </c>
      <c r="G31" s="454">
        <v>0</v>
      </c>
      <c r="H31" s="454">
        <v>2307.4070000000002</v>
      </c>
      <c r="I31" s="454">
        <v>0</v>
      </c>
      <c r="J31" s="455">
        <v>2307.4070000000002</v>
      </c>
      <c r="K31" s="456">
        <v>0</v>
      </c>
      <c r="L31" s="456">
        <v>0</v>
      </c>
      <c r="M31" s="456">
        <v>0</v>
      </c>
      <c r="N31" s="456">
        <v>2307.4070000000002</v>
      </c>
      <c r="O31" s="456">
        <v>2307.4070000000002</v>
      </c>
      <c r="P31" s="456">
        <v>0</v>
      </c>
      <c r="Q31" s="457">
        <v>2307.4070000000002</v>
      </c>
      <c r="S31" s="465"/>
    </row>
    <row r="32" spans="1:19" s="473" customFormat="1" x14ac:dyDescent="0.25">
      <c r="A32" s="462">
        <v>25</v>
      </c>
      <c r="B32" s="476" t="s">
        <v>507</v>
      </c>
      <c r="C32" s="464"/>
      <c r="D32" s="454">
        <v>0</v>
      </c>
      <c r="E32" s="454">
        <v>0</v>
      </c>
      <c r="F32" s="454">
        <v>0</v>
      </c>
      <c r="G32" s="454">
        <v>0</v>
      </c>
      <c r="H32" s="454">
        <v>289.65800000000002</v>
      </c>
      <c r="I32" s="454">
        <v>0</v>
      </c>
      <c r="J32" s="455">
        <v>289.65800000000002</v>
      </c>
      <c r="K32" s="456">
        <v>0</v>
      </c>
      <c r="L32" s="456">
        <v>0</v>
      </c>
      <c r="M32" s="456">
        <v>0</v>
      </c>
      <c r="N32" s="456">
        <v>700.48800000000006</v>
      </c>
      <c r="O32" s="456">
        <v>700.48800000000006</v>
      </c>
      <c r="P32" s="456">
        <v>0</v>
      </c>
      <c r="Q32" s="457">
        <v>700.48800000000006</v>
      </c>
      <c r="S32" s="465"/>
    </row>
    <row r="33" spans="1:20" s="473" customFormat="1" x14ac:dyDescent="0.25">
      <c r="A33" s="462">
        <v>26</v>
      </c>
      <c r="B33" s="476" t="s">
        <v>508</v>
      </c>
      <c r="C33" s="464"/>
      <c r="D33" s="454">
        <v>29.12</v>
      </c>
      <c r="E33" s="454">
        <v>0</v>
      </c>
      <c r="F33" s="454">
        <v>0</v>
      </c>
      <c r="G33" s="454">
        <v>68.47</v>
      </c>
      <c r="H33" s="454">
        <v>1668.768</v>
      </c>
      <c r="I33" s="454">
        <v>0</v>
      </c>
      <c r="J33" s="455">
        <v>1766.3579999999999</v>
      </c>
      <c r="K33" s="456">
        <v>0</v>
      </c>
      <c r="L33" s="456">
        <v>0</v>
      </c>
      <c r="M33" s="456">
        <v>250</v>
      </c>
      <c r="N33" s="456">
        <v>1536.19</v>
      </c>
      <c r="O33" s="456">
        <v>1536.19</v>
      </c>
      <c r="P33" s="456">
        <v>0</v>
      </c>
      <c r="Q33" s="457">
        <v>1786.19</v>
      </c>
      <c r="S33" s="465"/>
    </row>
    <row r="34" spans="1:20" s="473" customFormat="1" x14ac:dyDescent="0.25">
      <c r="A34" s="462">
        <v>27</v>
      </c>
      <c r="B34" s="476" t="s">
        <v>509</v>
      </c>
      <c r="C34" s="464"/>
      <c r="D34" s="454">
        <v>0</v>
      </c>
      <c r="E34" s="454">
        <v>0</v>
      </c>
      <c r="F34" s="454">
        <v>0</v>
      </c>
      <c r="G34" s="454">
        <v>0</v>
      </c>
      <c r="H34" s="454">
        <v>38.97</v>
      </c>
      <c r="I34" s="454">
        <v>0</v>
      </c>
      <c r="J34" s="455">
        <v>38.97</v>
      </c>
      <c r="K34" s="456">
        <v>0</v>
      </c>
      <c r="L34" s="456">
        <v>0</v>
      </c>
      <c r="M34" s="456">
        <v>0</v>
      </c>
      <c r="N34" s="456">
        <v>40</v>
      </c>
      <c r="O34" s="456">
        <v>40</v>
      </c>
      <c r="P34" s="456">
        <v>0</v>
      </c>
      <c r="Q34" s="457">
        <v>40</v>
      </c>
      <c r="S34" s="465"/>
    </row>
    <row r="35" spans="1:20" s="473" customFormat="1" x14ac:dyDescent="0.25">
      <c r="A35" s="462">
        <v>28</v>
      </c>
      <c r="B35" s="476" t="s">
        <v>510</v>
      </c>
      <c r="C35" s="464"/>
      <c r="D35" s="454">
        <v>0</v>
      </c>
      <c r="E35" s="454">
        <v>0</v>
      </c>
      <c r="F35" s="454">
        <v>0</v>
      </c>
      <c r="G35" s="454">
        <v>0</v>
      </c>
      <c r="H35" s="454">
        <v>3168.8980000000001</v>
      </c>
      <c r="I35" s="454">
        <v>0</v>
      </c>
      <c r="J35" s="455">
        <v>3168.8980000000001</v>
      </c>
      <c r="K35" s="543">
        <v>0</v>
      </c>
      <c r="L35" s="543">
        <v>0</v>
      </c>
      <c r="M35" s="543">
        <v>0</v>
      </c>
      <c r="N35" s="543">
        <v>0</v>
      </c>
      <c r="O35" s="543">
        <v>0</v>
      </c>
      <c r="P35" s="543">
        <v>0</v>
      </c>
      <c r="Q35" s="544">
        <v>0</v>
      </c>
      <c r="S35" s="475"/>
    </row>
    <row r="36" spans="1:20" s="473" customFormat="1" x14ac:dyDescent="0.25">
      <c r="A36" s="462">
        <v>29</v>
      </c>
      <c r="B36" s="476" t="s">
        <v>511</v>
      </c>
      <c r="C36" s="464"/>
      <c r="D36" s="454">
        <v>0</v>
      </c>
      <c r="E36" s="454">
        <v>0</v>
      </c>
      <c r="F36" s="454">
        <v>0</v>
      </c>
      <c r="G36" s="454">
        <v>0</v>
      </c>
      <c r="H36" s="454">
        <v>304.92</v>
      </c>
      <c r="I36" s="454">
        <v>0</v>
      </c>
      <c r="J36" s="455">
        <v>304.92</v>
      </c>
      <c r="K36" s="456">
        <v>0</v>
      </c>
      <c r="L36" s="456">
        <v>0</v>
      </c>
      <c r="M36" s="456">
        <v>0</v>
      </c>
      <c r="N36" s="456">
        <v>1975.877</v>
      </c>
      <c r="O36" s="456">
        <v>1975.877</v>
      </c>
      <c r="P36" s="456">
        <v>0</v>
      </c>
      <c r="Q36" s="457">
        <v>1975.877</v>
      </c>
      <c r="S36" s="465"/>
    </row>
    <row r="37" spans="1:20" s="473" customFormat="1" x14ac:dyDescent="0.25">
      <c r="A37" s="462">
        <v>30</v>
      </c>
      <c r="B37" s="466" t="s">
        <v>512</v>
      </c>
      <c r="C37" s="464"/>
      <c r="D37" s="454">
        <v>4153.027</v>
      </c>
      <c r="E37" s="454">
        <v>1049.8510000000001</v>
      </c>
      <c r="F37" s="454">
        <v>37.506999999999998</v>
      </c>
      <c r="G37" s="454">
        <v>0</v>
      </c>
      <c r="H37" s="454">
        <v>0</v>
      </c>
      <c r="I37" s="454">
        <v>0</v>
      </c>
      <c r="J37" s="455">
        <v>5240.3850000000002</v>
      </c>
      <c r="K37" s="456">
        <v>5104.866</v>
      </c>
      <c r="L37" s="456">
        <v>546.55100000000004</v>
      </c>
      <c r="M37" s="456">
        <v>0</v>
      </c>
      <c r="N37" s="456">
        <v>0</v>
      </c>
      <c r="O37" s="456">
        <v>546.55100000000004</v>
      </c>
      <c r="P37" s="456">
        <v>0</v>
      </c>
      <c r="Q37" s="457">
        <v>5651.4170000000004</v>
      </c>
      <c r="S37" s="465"/>
    </row>
    <row r="38" spans="1:20" s="473" customFormat="1" x14ac:dyDescent="0.25">
      <c r="A38" s="462">
        <v>31</v>
      </c>
      <c r="B38" s="466" t="s">
        <v>513</v>
      </c>
      <c r="C38" s="464"/>
      <c r="D38" s="454">
        <v>0</v>
      </c>
      <c r="E38" s="454">
        <v>848.06799999999998</v>
      </c>
      <c r="F38" s="454">
        <v>0</v>
      </c>
      <c r="G38" s="454">
        <v>0</v>
      </c>
      <c r="H38" s="454">
        <v>0</v>
      </c>
      <c r="I38" s="454">
        <v>0</v>
      </c>
      <c r="J38" s="455">
        <v>848.06799999999998</v>
      </c>
      <c r="K38" s="456">
        <v>0</v>
      </c>
      <c r="L38" s="456">
        <v>0</v>
      </c>
      <c r="M38" s="456">
        <v>0</v>
      </c>
      <c r="N38" s="456">
        <v>0</v>
      </c>
      <c r="O38" s="456">
        <v>0</v>
      </c>
      <c r="P38" s="456">
        <v>0</v>
      </c>
      <c r="Q38" s="457">
        <v>0</v>
      </c>
      <c r="S38" s="465"/>
    </row>
    <row r="39" spans="1:20" s="473" customFormat="1" x14ac:dyDescent="0.25">
      <c r="A39" s="462">
        <v>32</v>
      </c>
      <c r="B39" s="466" t="s">
        <v>514</v>
      </c>
      <c r="C39" s="464"/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5">
        <v>0</v>
      </c>
      <c r="K39" s="456">
        <v>0</v>
      </c>
      <c r="L39" s="456">
        <v>0</v>
      </c>
      <c r="M39" s="456">
        <v>0</v>
      </c>
      <c r="N39" s="456">
        <v>0</v>
      </c>
      <c r="O39" s="456">
        <v>0</v>
      </c>
      <c r="P39" s="456">
        <v>0</v>
      </c>
      <c r="Q39" s="457">
        <v>0</v>
      </c>
      <c r="S39" s="465"/>
    </row>
    <row r="40" spans="1:20" s="473" customFormat="1" ht="30" x14ac:dyDescent="0.25">
      <c r="A40" s="462">
        <v>33</v>
      </c>
      <c r="B40" s="466" t="s">
        <v>515</v>
      </c>
      <c r="C40" s="464"/>
      <c r="D40" s="454">
        <v>0.46300000000000002</v>
      </c>
      <c r="E40" s="454">
        <v>0</v>
      </c>
      <c r="F40" s="454">
        <v>8.61</v>
      </c>
      <c r="G40" s="454">
        <v>0</v>
      </c>
      <c r="H40" s="454">
        <v>0</v>
      </c>
      <c r="I40" s="454">
        <v>0</v>
      </c>
      <c r="J40" s="455">
        <v>9.0729999999999986</v>
      </c>
      <c r="K40" s="456">
        <v>0</v>
      </c>
      <c r="L40" s="456">
        <v>0</v>
      </c>
      <c r="M40" s="456">
        <v>0</v>
      </c>
      <c r="N40" s="456">
        <v>0</v>
      </c>
      <c r="O40" s="456">
        <v>0</v>
      </c>
      <c r="P40" s="456">
        <v>0</v>
      </c>
      <c r="Q40" s="457">
        <v>0</v>
      </c>
      <c r="S40" s="465"/>
    </row>
    <row r="41" spans="1:20" x14ac:dyDescent="0.25">
      <c r="A41" s="451">
        <v>34</v>
      </c>
      <c r="B41" s="452" t="s">
        <v>516</v>
      </c>
      <c r="C41" s="453"/>
      <c r="D41" s="454">
        <v>0</v>
      </c>
      <c r="E41" s="454">
        <v>512.44100000000003</v>
      </c>
      <c r="F41" s="454">
        <v>7.4980000000000002</v>
      </c>
      <c r="G41" s="454">
        <v>0</v>
      </c>
      <c r="H41" s="454">
        <v>25938.665000000001</v>
      </c>
      <c r="I41" s="454">
        <v>0</v>
      </c>
      <c r="J41" s="455">
        <v>26458.603999999999</v>
      </c>
      <c r="K41" s="456">
        <v>1378.3138200000001</v>
      </c>
      <c r="L41" s="456">
        <v>147.56877000000003</v>
      </c>
      <c r="M41" s="456">
        <v>0</v>
      </c>
      <c r="N41" s="456">
        <v>0</v>
      </c>
      <c r="O41" s="456">
        <v>147.56877000000003</v>
      </c>
      <c r="P41" s="456">
        <v>0</v>
      </c>
      <c r="Q41" s="457">
        <v>1525.8825900000002</v>
      </c>
    </row>
    <row r="42" spans="1:20" x14ac:dyDescent="0.25">
      <c r="A42" s="451">
        <v>35</v>
      </c>
      <c r="B42" s="452" t="s">
        <v>517</v>
      </c>
      <c r="C42" s="453"/>
      <c r="D42" s="454">
        <v>0</v>
      </c>
      <c r="E42" s="454">
        <v>1.218</v>
      </c>
      <c r="F42" s="454">
        <v>8.2000000000000003E-2</v>
      </c>
      <c r="G42" s="454">
        <v>1E-3</v>
      </c>
      <c r="H42" s="454">
        <v>227.964</v>
      </c>
      <c r="I42" s="454">
        <v>1.409</v>
      </c>
      <c r="J42" s="455">
        <v>230.67399999999998</v>
      </c>
      <c r="K42" s="456">
        <v>0</v>
      </c>
      <c r="L42" s="456">
        <v>0</v>
      </c>
      <c r="M42" s="456">
        <v>0</v>
      </c>
      <c r="N42" s="456">
        <v>0</v>
      </c>
      <c r="O42" s="456">
        <v>0</v>
      </c>
      <c r="P42" s="456">
        <v>0</v>
      </c>
      <c r="Q42" s="457">
        <v>0</v>
      </c>
    </row>
    <row r="43" spans="1:20" s="481" customFormat="1" ht="30" x14ac:dyDescent="0.25">
      <c r="A43" s="468">
        <v>36</v>
      </c>
      <c r="B43" s="469" t="s">
        <v>518</v>
      </c>
      <c r="C43" s="470">
        <v>0</v>
      </c>
      <c r="D43" s="470">
        <v>4243.21</v>
      </c>
      <c r="E43" s="470">
        <v>2411.578</v>
      </c>
      <c r="F43" s="470">
        <v>104.59699999999999</v>
      </c>
      <c r="G43" s="470">
        <v>68.471000000000004</v>
      </c>
      <c r="H43" s="470">
        <v>36256.249000000003</v>
      </c>
      <c r="I43" s="470">
        <v>1.409</v>
      </c>
      <c r="J43" s="470">
        <v>43085.513999999996</v>
      </c>
      <c r="K43" s="470">
        <v>6483.1798200000003</v>
      </c>
      <c r="L43" s="470">
        <v>694.11977000000002</v>
      </c>
      <c r="M43" s="470">
        <v>250</v>
      </c>
      <c r="N43" s="470">
        <v>6559.9620000000014</v>
      </c>
      <c r="O43" s="470">
        <v>7254.0817700000016</v>
      </c>
      <c r="P43" s="470">
        <v>0</v>
      </c>
      <c r="Q43" s="470">
        <v>13987.261590000002</v>
      </c>
      <c r="R43" s="480"/>
      <c r="S43" s="438"/>
    </row>
    <row r="44" spans="1:20" x14ac:dyDescent="0.25">
      <c r="A44" s="482">
        <v>37</v>
      </c>
      <c r="B44" s="483" t="s">
        <v>519</v>
      </c>
      <c r="C44" s="453"/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5">
        <v>0</v>
      </c>
      <c r="K44" s="456">
        <v>0</v>
      </c>
      <c r="L44" s="456">
        <v>0</v>
      </c>
      <c r="M44" s="456">
        <v>0</v>
      </c>
      <c r="N44" s="456">
        <v>0</v>
      </c>
      <c r="O44" s="456">
        <v>0</v>
      </c>
      <c r="P44" s="456">
        <v>0</v>
      </c>
      <c r="Q44" s="457">
        <v>0</v>
      </c>
      <c r="T44"/>
    </row>
    <row r="45" spans="1:20" ht="30" x14ac:dyDescent="0.25">
      <c r="A45" s="451">
        <v>38</v>
      </c>
      <c r="B45" s="452" t="s">
        <v>520</v>
      </c>
      <c r="C45" s="453"/>
      <c r="D45" s="454">
        <v>313</v>
      </c>
      <c r="E45" s="454">
        <v>0</v>
      </c>
      <c r="F45" s="454">
        <v>0</v>
      </c>
      <c r="G45" s="454">
        <v>0</v>
      </c>
      <c r="H45" s="454">
        <v>0</v>
      </c>
      <c r="I45" s="454">
        <v>0</v>
      </c>
      <c r="J45" s="455">
        <v>313</v>
      </c>
      <c r="K45" s="456">
        <v>0</v>
      </c>
      <c r="L45" s="456">
        <v>0</v>
      </c>
      <c r="M45" s="456">
        <v>0</v>
      </c>
      <c r="N45" s="456">
        <v>12500</v>
      </c>
      <c r="O45" s="456">
        <v>12500</v>
      </c>
      <c r="P45" s="456">
        <v>0</v>
      </c>
      <c r="Q45" s="457">
        <v>12500</v>
      </c>
    </row>
    <row r="46" spans="1:20" ht="30" x14ac:dyDescent="0.25">
      <c r="A46" s="451">
        <v>39</v>
      </c>
      <c r="B46" s="452" t="s">
        <v>521</v>
      </c>
      <c r="C46" s="453">
        <v>0</v>
      </c>
      <c r="D46" s="454">
        <v>0</v>
      </c>
      <c r="E46" s="454">
        <v>0</v>
      </c>
      <c r="F46" s="454">
        <v>0</v>
      </c>
      <c r="G46" s="454">
        <v>0</v>
      </c>
      <c r="H46" s="454">
        <v>11442.049000000001</v>
      </c>
      <c r="I46" s="454">
        <v>0</v>
      </c>
      <c r="J46" s="455">
        <v>11442.049000000001</v>
      </c>
      <c r="K46" s="456">
        <v>0</v>
      </c>
      <c r="L46" s="456">
        <v>0</v>
      </c>
      <c r="M46" s="456">
        <v>0</v>
      </c>
      <c r="N46" s="456">
        <v>11561.272000000001</v>
      </c>
      <c r="O46" s="456">
        <v>11561.272000000001</v>
      </c>
      <c r="P46" s="456">
        <v>0</v>
      </c>
      <c r="Q46" s="457">
        <v>11561.272000000001</v>
      </c>
    </row>
    <row r="47" spans="1:20" s="473" customFormat="1" x14ac:dyDescent="0.25">
      <c r="A47" s="462">
        <v>40</v>
      </c>
      <c r="B47" s="466" t="s">
        <v>522</v>
      </c>
      <c r="C47" s="464"/>
      <c r="D47" s="454">
        <v>0</v>
      </c>
      <c r="E47" s="454">
        <v>0</v>
      </c>
      <c r="F47" s="454">
        <v>0</v>
      </c>
      <c r="G47" s="454">
        <v>0</v>
      </c>
      <c r="H47" s="454">
        <v>3645.9</v>
      </c>
      <c r="I47" s="454">
        <v>0</v>
      </c>
      <c r="J47" s="455">
        <v>3645.9</v>
      </c>
      <c r="K47" s="456">
        <v>0</v>
      </c>
      <c r="L47" s="456">
        <v>0</v>
      </c>
      <c r="M47" s="456">
        <v>0</v>
      </c>
      <c r="N47" s="456">
        <v>4018.8</v>
      </c>
      <c r="O47" s="456">
        <v>4018.8</v>
      </c>
      <c r="P47" s="456">
        <v>0</v>
      </c>
      <c r="Q47" s="457">
        <v>4018.8</v>
      </c>
      <c r="S47" s="465"/>
    </row>
    <row r="48" spans="1:20" s="473" customFormat="1" x14ac:dyDescent="0.25">
      <c r="A48" s="462">
        <v>41</v>
      </c>
      <c r="B48" s="484" t="s">
        <v>523</v>
      </c>
      <c r="C48" s="464"/>
      <c r="D48" s="454">
        <v>0</v>
      </c>
      <c r="E48" s="454">
        <v>0</v>
      </c>
      <c r="F48" s="454">
        <v>0</v>
      </c>
      <c r="G48" s="454">
        <v>0</v>
      </c>
      <c r="H48" s="454">
        <v>7796.1490000000003</v>
      </c>
      <c r="I48" s="454">
        <v>0</v>
      </c>
      <c r="J48" s="455">
        <v>7796.1490000000003</v>
      </c>
      <c r="K48" s="456">
        <v>0</v>
      </c>
      <c r="L48" s="456">
        <v>0</v>
      </c>
      <c r="M48" s="456">
        <v>0</v>
      </c>
      <c r="N48" s="456">
        <v>7542.4719999999998</v>
      </c>
      <c r="O48" s="456">
        <f>7542.472-2668</f>
        <v>4874.4719999999998</v>
      </c>
      <c r="P48" s="456">
        <v>0</v>
      </c>
      <c r="Q48" s="457">
        <v>4874</v>
      </c>
      <c r="S48" s="465"/>
    </row>
    <row r="49" spans="1:19" s="473" customFormat="1" x14ac:dyDescent="0.25">
      <c r="A49" s="462">
        <v>42</v>
      </c>
      <c r="B49" s="484" t="s">
        <v>698</v>
      </c>
      <c r="C49" s="464"/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5">
        <v>0</v>
      </c>
      <c r="K49" s="456">
        <v>0</v>
      </c>
      <c r="L49" s="456">
        <v>0</v>
      </c>
      <c r="M49" s="456">
        <v>0</v>
      </c>
      <c r="N49" s="456">
        <v>0</v>
      </c>
      <c r="O49" s="456">
        <v>2668</v>
      </c>
      <c r="P49" s="456">
        <v>0</v>
      </c>
      <c r="Q49" s="457">
        <v>2668</v>
      </c>
      <c r="S49" s="465"/>
    </row>
    <row r="50" spans="1:19" x14ac:dyDescent="0.25">
      <c r="A50" s="468">
        <v>43</v>
      </c>
      <c r="B50" s="469" t="s">
        <v>524</v>
      </c>
      <c r="C50" s="470">
        <v>0</v>
      </c>
      <c r="D50" s="470">
        <v>4583.7730000000001</v>
      </c>
      <c r="E50" s="470">
        <v>2411.578</v>
      </c>
      <c r="F50" s="470">
        <v>104.59699999999999</v>
      </c>
      <c r="G50" s="470">
        <v>68.471000000000004</v>
      </c>
      <c r="H50" s="470">
        <v>244828.394</v>
      </c>
      <c r="I50" s="470">
        <v>1.409</v>
      </c>
      <c r="J50" s="470">
        <v>251998.22199999998</v>
      </c>
      <c r="K50" s="470">
        <v>6483.1798200000003</v>
      </c>
      <c r="L50" s="470">
        <v>694.11977000000002</v>
      </c>
      <c r="M50" s="470">
        <v>250</v>
      </c>
      <c r="N50" s="470">
        <v>144964.09900000002</v>
      </c>
      <c r="O50" s="470">
        <v>145658.21877000001</v>
      </c>
      <c r="P50" s="470">
        <v>0</v>
      </c>
      <c r="Q50" s="470">
        <v>152391.39859000003</v>
      </c>
    </row>
    <row r="51" spans="1:19" x14ac:dyDescent="0.25">
      <c r="A51" s="451">
        <v>44</v>
      </c>
      <c r="B51" s="452" t="s">
        <v>525</v>
      </c>
      <c r="C51" s="453"/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5">
        <v>0</v>
      </c>
      <c r="K51" s="456">
        <v>0</v>
      </c>
      <c r="L51" s="456">
        <v>0</v>
      </c>
      <c r="M51" s="456">
        <v>0</v>
      </c>
      <c r="N51" s="456">
        <v>0</v>
      </c>
      <c r="O51" s="456">
        <v>0</v>
      </c>
      <c r="P51" s="456">
        <v>0</v>
      </c>
      <c r="Q51" s="457">
        <v>0</v>
      </c>
    </row>
    <row r="52" spans="1:19" x14ac:dyDescent="0.25">
      <c r="A52" s="451">
        <v>45</v>
      </c>
      <c r="B52" s="452" t="s">
        <v>526</v>
      </c>
      <c r="C52" s="453"/>
      <c r="D52" s="454">
        <v>0</v>
      </c>
      <c r="E52" s="454">
        <v>0</v>
      </c>
      <c r="F52" s="454">
        <v>0</v>
      </c>
      <c r="G52" s="454">
        <v>0</v>
      </c>
      <c r="H52" s="454">
        <v>0</v>
      </c>
      <c r="I52" s="454">
        <v>0</v>
      </c>
      <c r="J52" s="455">
        <v>0</v>
      </c>
      <c r="K52" s="456">
        <v>0</v>
      </c>
      <c r="L52" s="456">
        <v>0</v>
      </c>
      <c r="M52" s="456">
        <v>0</v>
      </c>
      <c r="N52" s="456">
        <v>0</v>
      </c>
      <c r="O52" s="456">
        <v>0</v>
      </c>
      <c r="P52" s="456">
        <v>0</v>
      </c>
      <c r="Q52" s="457">
        <v>0</v>
      </c>
    </row>
    <row r="53" spans="1:19" x14ac:dyDescent="0.25">
      <c r="A53" s="451">
        <v>46</v>
      </c>
      <c r="B53" s="452" t="s">
        <v>527</v>
      </c>
      <c r="C53" s="453"/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54">
        <v>0</v>
      </c>
      <c r="J53" s="455">
        <v>0</v>
      </c>
      <c r="K53" s="456">
        <v>0</v>
      </c>
      <c r="L53" s="456">
        <v>0</v>
      </c>
      <c r="M53" s="456">
        <v>0</v>
      </c>
      <c r="N53" s="456">
        <v>0</v>
      </c>
      <c r="O53" s="456">
        <v>0</v>
      </c>
      <c r="P53" s="456">
        <v>0</v>
      </c>
      <c r="Q53" s="457">
        <v>0</v>
      </c>
    </row>
    <row r="54" spans="1:19" x14ac:dyDescent="0.25">
      <c r="A54" s="451">
        <v>47</v>
      </c>
      <c r="B54" s="452" t="s">
        <v>528</v>
      </c>
      <c r="C54" s="453"/>
      <c r="D54" s="454">
        <v>0</v>
      </c>
      <c r="E54" s="454">
        <v>0</v>
      </c>
      <c r="F54" s="454">
        <v>0</v>
      </c>
      <c r="G54" s="454">
        <v>0</v>
      </c>
      <c r="H54" s="454">
        <v>0</v>
      </c>
      <c r="I54" s="454">
        <v>0</v>
      </c>
      <c r="J54" s="455">
        <v>0</v>
      </c>
      <c r="K54" s="456">
        <v>0</v>
      </c>
      <c r="L54" s="456">
        <v>0</v>
      </c>
      <c r="M54" s="456">
        <v>0</v>
      </c>
      <c r="N54" s="456">
        <v>0</v>
      </c>
      <c r="O54" s="456">
        <v>0</v>
      </c>
      <c r="P54" s="456">
        <v>0</v>
      </c>
      <c r="Q54" s="457">
        <v>0</v>
      </c>
    </row>
    <row r="55" spans="1:19" x14ac:dyDescent="0.25">
      <c r="A55" s="451">
        <v>48</v>
      </c>
      <c r="B55" s="452" t="s">
        <v>529</v>
      </c>
      <c r="C55" s="453">
        <v>0</v>
      </c>
      <c r="D55" s="454">
        <v>0</v>
      </c>
      <c r="E55" s="454">
        <v>0</v>
      </c>
      <c r="F55" s="454">
        <v>0</v>
      </c>
      <c r="G55" s="454">
        <v>0</v>
      </c>
      <c r="H55" s="454">
        <v>332.12199999999996</v>
      </c>
      <c r="I55" s="454">
        <v>0</v>
      </c>
      <c r="J55" s="455">
        <v>332.12199999999996</v>
      </c>
      <c r="K55" s="456">
        <v>0</v>
      </c>
      <c r="L55" s="456">
        <v>0</v>
      </c>
      <c r="M55" s="456">
        <v>0</v>
      </c>
      <c r="N55" s="456">
        <v>400</v>
      </c>
      <c r="O55" s="456">
        <v>400</v>
      </c>
      <c r="P55" s="456">
        <v>0</v>
      </c>
      <c r="Q55" s="457">
        <v>400</v>
      </c>
    </row>
    <row r="56" spans="1:19" s="473" customFormat="1" x14ac:dyDescent="0.25">
      <c r="A56" s="462">
        <v>49</v>
      </c>
      <c r="B56" s="466" t="s">
        <v>530</v>
      </c>
      <c r="C56" s="464"/>
      <c r="D56" s="454">
        <v>0</v>
      </c>
      <c r="E56" s="454">
        <v>0</v>
      </c>
      <c r="F56" s="454">
        <v>0</v>
      </c>
      <c r="G56" s="454">
        <v>0</v>
      </c>
      <c r="H56" s="454">
        <v>128.249</v>
      </c>
      <c r="I56" s="454">
        <v>0</v>
      </c>
      <c r="J56" s="455">
        <v>128.249</v>
      </c>
      <c r="K56" s="456">
        <v>0</v>
      </c>
      <c r="L56" s="456">
        <v>0</v>
      </c>
      <c r="M56" s="456">
        <v>0</v>
      </c>
      <c r="N56" s="456">
        <v>150</v>
      </c>
      <c r="O56" s="456">
        <v>150</v>
      </c>
      <c r="P56" s="456">
        <v>0</v>
      </c>
      <c r="Q56" s="457">
        <v>150</v>
      </c>
      <c r="S56" s="465"/>
    </row>
    <row r="57" spans="1:19" s="473" customFormat="1" x14ac:dyDescent="0.25">
      <c r="A57" s="462">
        <v>50</v>
      </c>
      <c r="B57" s="466" t="s">
        <v>531</v>
      </c>
      <c r="C57" s="464"/>
      <c r="D57" s="454">
        <v>0</v>
      </c>
      <c r="E57" s="454">
        <v>0</v>
      </c>
      <c r="F57" s="454">
        <v>0</v>
      </c>
      <c r="G57" s="454">
        <v>0</v>
      </c>
      <c r="H57" s="454">
        <v>203.87299999999999</v>
      </c>
      <c r="I57" s="454">
        <v>0</v>
      </c>
      <c r="J57" s="455">
        <v>203.87299999999999</v>
      </c>
      <c r="K57" s="456">
        <v>0</v>
      </c>
      <c r="L57" s="456">
        <v>0</v>
      </c>
      <c r="M57" s="456">
        <v>0</v>
      </c>
      <c r="N57" s="456">
        <v>250</v>
      </c>
      <c r="O57" s="456">
        <v>250</v>
      </c>
      <c r="P57" s="456">
        <v>0</v>
      </c>
      <c r="Q57" s="457">
        <v>250</v>
      </c>
      <c r="S57" s="465"/>
    </row>
    <row r="58" spans="1:19" s="473" customFormat="1" x14ac:dyDescent="0.25">
      <c r="A58" s="462">
        <v>51</v>
      </c>
      <c r="B58" s="466" t="s">
        <v>532</v>
      </c>
      <c r="C58" s="485"/>
      <c r="D58" s="454">
        <v>0</v>
      </c>
      <c r="E58" s="454">
        <v>0</v>
      </c>
      <c r="F58" s="454">
        <v>0</v>
      </c>
      <c r="G58" s="454">
        <v>0</v>
      </c>
      <c r="H58" s="454">
        <v>0</v>
      </c>
      <c r="I58" s="454">
        <v>0</v>
      </c>
      <c r="J58" s="455">
        <v>0</v>
      </c>
      <c r="K58" s="456">
        <v>0</v>
      </c>
      <c r="L58" s="456">
        <v>0</v>
      </c>
      <c r="M58" s="456">
        <v>0</v>
      </c>
      <c r="N58" s="456">
        <v>0</v>
      </c>
      <c r="O58" s="456">
        <v>0</v>
      </c>
      <c r="P58" s="456">
        <v>0</v>
      </c>
      <c r="Q58" s="457">
        <v>0</v>
      </c>
      <c r="S58" s="465"/>
    </row>
    <row r="59" spans="1:19" ht="30" x14ac:dyDescent="0.25">
      <c r="A59" s="451">
        <v>52</v>
      </c>
      <c r="B59" s="452" t="s">
        <v>533</v>
      </c>
      <c r="C59" s="453"/>
      <c r="D59" s="454">
        <v>0</v>
      </c>
      <c r="E59" s="454">
        <v>0</v>
      </c>
      <c r="F59" s="454">
        <v>0</v>
      </c>
      <c r="G59" s="454">
        <v>0</v>
      </c>
      <c r="H59" s="454">
        <v>0</v>
      </c>
      <c r="I59" s="454">
        <v>0</v>
      </c>
      <c r="J59" s="455">
        <v>0</v>
      </c>
      <c r="K59" s="456">
        <v>0</v>
      </c>
      <c r="L59" s="456">
        <v>0</v>
      </c>
      <c r="M59" s="456">
        <v>0</v>
      </c>
      <c r="N59" s="456">
        <v>0</v>
      </c>
      <c r="O59" s="456">
        <v>0</v>
      </c>
      <c r="P59" s="456">
        <v>0</v>
      </c>
      <c r="Q59" s="457">
        <v>0</v>
      </c>
    </row>
    <row r="60" spans="1:19" s="481" customFormat="1" ht="30" x14ac:dyDescent="0.25">
      <c r="A60" s="468">
        <v>53</v>
      </c>
      <c r="B60" s="469" t="s">
        <v>534</v>
      </c>
      <c r="C60" s="470">
        <v>0</v>
      </c>
      <c r="D60" s="470">
        <v>0</v>
      </c>
      <c r="E60" s="470">
        <v>0</v>
      </c>
      <c r="F60" s="470">
        <v>0</v>
      </c>
      <c r="G60" s="470">
        <v>0</v>
      </c>
      <c r="H60" s="470">
        <v>332.12199999999996</v>
      </c>
      <c r="I60" s="470">
        <v>0</v>
      </c>
      <c r="J60" s="470">
        <v>332.12199999999996</v>
      </c>
      <c r="K60" s="470">
        <v>0</v>
      </c>
      <c r="L60" s="470">
        <v>0</v>
      </c>
      <c r="M60" s="470">
        <v>0</v>
      </c>
      <c r="N60" s="470">
        <v>400</v>
      </c>
      <c r="O60" s="470">
        <v>400</v>
      </c>
      <c r="P60" s="470">
        <v>0</v>
      </c>
      <c r="Q60" s="470">
        <v>400</v>
      </c>
      <c r="S60" s="438"/>
    </row>
    <row r="61" spans="1:19" s="481" customFormat="1" x14ac:dyDescent="0.25">
      <c r="A61" s="482">
        <v>54</v>
      </c>
      <c r="B61" s="483" t="s">
        <v>535</v>
      </c>
      <c r="C61" s="486"/>
      <c r="D61" s="454">
        <v>0</v>
      </c>
      <c r="E61" s="454">
        <v>0</v>
      </c>
      <c r="F61" s="454">
        <v>0</v>
      </c>
      <c r="G61" s="454">
        <v>0</v>
      </c>
      <c r="H61" s="454">
        <v>0</v>
      </c>
      <c r="I61" s="454">
        <v>0</v>
      </c>
      <c r="J61" s="455">
        <v>0</v>
      </c>
      <c r="K61" s="456">
        <v>0</v>
      </c>
      <c r="L61" s="456">
        <v>0</v>
      </c>
      <c r="M61" s="456">
        <v>0</v>
      </c>
      <c r="N61" s="456">
        <v>0</v>
      </c>
      <c r="O61" s="456">
        <v>0</v>
      </c>
      <c r="P61" s="456">
        <v>0</v>
      </c>
      <c r="Q61" s="457">
        <v>0</v>
      </c>
      <c r="S61" s="438"/>
    </row>
    <row r="62" spans="1:19" ht="30" x14ac:dyDescent="0.25">
      <c r="A62" s="451">
        <v>55</v>
      </c>
      <c r="B62" s="452" t="s">
        <v>536</v>
      </c>
      <c r="C62" s="453"/>
      <c r="D62" s="454">
        <v>280.10700000000003</v>
      </c>
      <c r="E62" s="454">
        <v>0</v>
      </c>
      <c r="F62" s="454">
        <v>0</v>
      </c>
      <c r="G62" s="454">
        <v>0</v>
      </c>
      <c r="H62" s="454">
        <v>2407.5880000000002</v>
      </c>
      <c r="I62" s="454">
        <v>0</v>
      </c>
      <c r="J62" s="455">
        <v>2687.6950000000002</v>
      </c>
      <c r="K62" s="456">
        <v>0</v>
      </c>
      <c r="L62" s="456">
        <v>0</v>
      </c>
      <c r="M62" s="456">
        <v>0</v>
      </c>
      <c r="N62" s="456">
        <v>0</v>
      </c>
      <c r="O62" s="456">
        <v>0</v>
      </c>
      <c r="P62" s="456">
        <v>0</v>
      </c>
      <c r="Q62" s="457">
        <v>0</v>
      </c>
    </row>
    <row r="63" spans="1:19" ht="30" x14ac:dyDescent="0.25">
      <c r="A63" s="451">
        <v>56</v>
      </c>
      <c r="B63" s="452" t="s">
        <v>537</v>
      </c>
      <c r="C63" s="453">
        <v>0</v>
      </c>
      <c r="D63" s="454">
        <v>0</v>
      </c>
      <c r="E63" s="454">
        <v>0</v>
      </c>
      <c r="F63" s="454">
        <v>0</v>
      </c>
      <c r="G63" s="454">
        <v>0</v>
      </c>
      <c r="H63" s="454">
        <v>185517.524</v>
      </c>
      <c r="I63" s="454">
        <v>0</v>
      </c>
      <c r="J63" s="455">
        <v>185517.524</v>
      </c>
      <c r="K63" s="456">
        <v>0</v>
      </c>
      <c r="L63" s="456">
        <v>0</v>
      </c>
      <c r="M63" s="456">
        <v>0</v>
      </c>
      <c r="N63" s="456">
        <v>1453.2360000000001</v>
      </c>
      <c r="O63" s="456">
        <v>1453.2360000000001</v>
      </c>
      <c r="P63" s="456">
        <v>0</v>
      </c>
      <c r="Q63" s="457">
        <v>1453.2360000000001</v>
      </c>
    </row>
    <row r="64" spans="1:19" s="473" customFormat="1" ht="30" x14ac:dyDescent="0.25">
      <c r="A64" s="462">
        <v>57</v>
      </c>
      <c r="B64" s="466" t="s">
        <v>538</v>
      </c>
      <c r="C64" s="464"/>
      <c r="D64" s="454">
        <v>0</v>
      </c>
      <c r="E64" s="454">
        <v>0</v>
      </c>
      <c r="F64" s="454">
        <v>0</v>
      </c>
      <c r="G64" s="454">
        <v>0</v>
      </c>
      <c r="H64" s="454">
        <v>8801.6620000000003</v>
      </c>
      <c r="I64" s="454">
        <v>0</v>
      </c>
      <c r="J64" s="455">
        <v>8801.6620000000003</v>
      </c>
      <c r="K64" s="456">
        <v>0</v>
      </c>
      <c r="L64" s="456">
        <v>0</v>
      </c>
      <c r="M64" s="456">
        <v>0</v>
      </c>
      <c r="N64" s="456">
        <v>0</v>
      </c>
      <c r="O64" s="456">
        <v>0</v>
      </c>
      <c r="P64" s="456">
        <v>0</v>
      </c>
      <c r="Q64" s="457">
        <v>0</v>
      </c>
      <c r="S64" s="465"/>
    </row>
    <row r="65" spans="1:19" s="471" customFormat="1" ht="30" x14ac:dyDescent="0.25">
      <c r="A65" s="477">
        <v>58</v>
      </c>
      <c r="B65" s="487" t="s">
        <v>539</v>
      </c>
      <c r="C65" s="478"/>
      <c r="D65" s="454">
        <v>0</v>
      </c>
      <c r="E65" s="454">
        <v>0</v>
      </c>
      <c r="F65" s="454">
        <v>0</v>
      </c>
      <c r="G65" s="454">
        <v>0</v>
      </c>
      <c r="H65" s="454">
        <v>176715.86199999999</v>
      </c>
      <c r="I65" s="454">
        <v>0</v>
      </c>
      <c r="J65" s="455">
        <v>176715.86199999999</v>
      </c>
      <c r="K65" s="456">
        <v>0</v>
      </c>
      <c r="L65" s="456">
        <v>0</v>
      </c>
      <c r="M65" s="456">
        <v>0</v>
      </c>
      <c r="N65" s="456">
        <v>1453.2360000000001</v>
      </c>
      <c r="O65" s="456">
        <v>1453.2360000000001</v>
      </c>
      <c r="P65" s="456">
        <v>0</v>
      </c>
      <c r="Q65" s="457">
        <v>1453.2360000000001</v>
      </c>
      <c r="S65" s="479"/>
    </row>
    <row r="66" spans="1:19" x14ac:dyDescent="0.25">
      <c r="A66" s="468">
        <v>59</v>
      </c>
      <c r="B66" s="488" t="s">
        <v>540</v>
      </c>
      <c r="C66" s="489">
        <v>0</v>
      </c>
      <c r="D66" s="489">
        <v>280.10700000000003</v>
      </c>
      <c r="E66" s="489">
        <v>0</v>
      </c>
      <c r="F66" s="489">
        <v>0</v>
      </c>
      <c r="G66" s="489">
        <v>0</v>
      </c>
      <c r="H66" s="489">
        <v>188257.234</v>
      </c>
      <c r="I66" s="489">
        <v>0</v>
      </c>
      <c r="J66" s="489">
        <v>188537.34100000001</v>
      </c>
      <c r="K66" s="489">
        <v>0</v>
      </c>
      <c r="L66" s="489">
        <v>0</v>
      </c>
      <c r="M66" s="489">
        <v>0</v>
      </c>
      <c r="N66" s="489">
        <v>1853.2360000000001</v>
      </c>
      <c r="O66" s="489">
        <v>1853.2360000000001</v>
      </c>
      <c r="P66" s="489">
        <v>0</v>
      </c>
      <c r="Q66" s="489">
        <v>1853.2360000000001</v>
      </c>
    </row>
    <row r="67" spans="1:19" s="481" customFormat="1" ht="30" x14ac:dyDescent="0.25">
      <c r="A67" s="468">
        <v>60</v>
      </c>
      <c r="B67" s="469" t="s">
        <v>541</v>
      </c>
      <c r="C67" s="489"/>
      <c r="D67" s="489">
        <v>0</v>
      </c>
      <c r="E67" s="489">
        <v>0</v>
      </c>
      <c r="F67" s="489">
        <v>0</v>
      </c>
      <c r="G67" s="489">
        <v>0</v>
      </c>
      <c r="H67" s="489">
        <v>0</v>
      </c>
      <c r="I67" s="489">
        <v>0</v>
      </c>
      <c r="J67" s="489"/>
      <c r="K67" s="489">
        <v>0</v>
      </c>
      <c r="L67" s="489">
        <v>0</v>
      </c>
      <c r="M67" s="489">
        <v>0</v>
      </c>
      <c r="N67" s="489">
        <v>0</v>
      </c>
      <c r="O67" s="489">
        <v>0</v>
      </c>
      <c r="P67" s="489">
        <v>0</v>
      </c>
      <c r="Q67" s="489">
        <v>0</v>
      </c>
      <c r="S67" s="438"/>
    </row>
    <row r="68" spans="1:19" x14ac:dyDescent="0.25">
      <c r="A68" s="468">
        <v>61</v>
      </c>
      <c r="B68" s="469" t="s">
        <v>542</v>
      </c>
      <c r="C68" s="489">
        <v>0</v>
      </c>
      <c r="D68" s="489">
        <v>4863.88</v>
      </c>
      <c r="E68" s="489">
        <v>2411.578</v>
      </c>
      <c r="F68" s="489">
        <v>104.59699999999999</v>
      </c>
      <c r="G68" s="489">
        <v>68.471000000000004</v>
      </c>
      <c r="H68" s="489">
        <v>433085.62800000003</v>
      </c>
      <c r="I68" s="489">
        <v>1.409</v>
      </c>
      <c r="J68" s="489">
        <v>440535.56299999997</v>
      </c>
      <c r="K68" s="489">
        <v>6483.1798200000003</v>
      </c>
      <c r="L68" s="489">
        <v>694.11977000000002</v>
      </c>
      <c r="M68" s="489">
        <v>250</v>
      </c>
      <c r="N68" s="489">
        <v>146817.33500000002</v>
      </c>
      <c r="O68" s="489">
        <v>147511.45477000001</v>
      </c>
      <c r="P68" s="489">
        <v>0</v>
      </c>
      <c r="Q68" s="489">
        <v>154244.63459000003</v>
      </c>
    </row>
    <row r="69" spans="1:19" x14ac:dyDescent="0.25">
      <c r="A69" s="451">
        <v>62</v>
      </c>
      <c r="B69" s="452" t="s">
        <v>543</v>
      </c>
      <c r="C69" s="453">
        <v>0</v>
      </c>
      <c r="D69" s="454">
        <v>0</v>
      </c>
      <c r="E69" s="454">
        <v>0</v>
      </c>
      <c r="F69" s="454">
        <v>0</v>
      </c>
      <c r="G69" s="454">
        <v>0</v>
      </c>
      <c r="H69" s="454">
        <v>251305.24900000001</v>
      </c>
      <c r="I69" s="454">
        <v>0</v>
      </c>
      <c r="J69" s="455">
        <v>251305.24900000001</v>
      </c>
      <c r="K69" s="456">
        <v>0</v>
      </c>
      <c r="L69" s="456">
        <v>0</v>
      </c>
      <c r="M69" s="456">
        <v>0</v>
      </c>
      <c r="N69" s="456">
        <v>118553.02799999999</v>
      </c>
      <c r="O69" s="456">
        <v>118553.02799999999</v>
      </c>
      <c r="P69" s="456">
        <v>0</v>
      </c>
      <c r="Q69" s="457">
        <v>118553.02799999999</v>
      </c>
    </row>
    <row r="70" spans="1:19" s="473" customFormat="1" x14ac:dyDescent="0.25">
      <c r="A70" s="462">
        <v>63</v>
      </c>
      <c r="B70" s="466" t="s">
        <v>544</v>
      </c>
      <c r="C70" s="464"/>
      <c r="D70" s="454">
        <v>0</v>
      </c>
      <c r="E70" s="454">
        <v>0</v>
      </c>
      <c r="F70" s="454">
        <v>0</v>
      </c>
      <c r="G70" s="454">
        <v>0</v>
      </c>
      <c r="H70" s="454">
        <v>0</v>
      </c>
      <c r="I70" s="454">
        <v>0</v>
      </c>
      <c r="J70" s="455">
        <v>0</v>
      </c>
      <c r="K70" s="456">
        <v>0</v>
      </c>
      <c r="L70" s="456">
        <v>0</v>
      </c>
      <c r="M70" s="456">
        <v>0</v>
      </c>
      <c r="N70" s="456">
        <v>0</v>
      </c>
      <c r="O70" s="456">
        <v>0</v>
      </c>
      <c r="P70" s="456">
        <v>0</v>
      </c>
      <c r="Q70" s="457">
        <v>0</v>
      </c>
      <c r="S70" s="465"/>
    </row>
    <row r="71" spans="1:19" s="473" customFormat="1" x14ac:dyDescent="0.25">
      <c r="A71" s="462">
        <v>64</v>
      </c>
      <c r="B71" s="490" t="s">
        <v>545</v>
      </c>
      <c r="C71" s="464"/>
      <c r="D71" s="454">
        <v>0</v>
      </c>
      <c r="E71" s="454">
        <v>0</v>
      </c>
      <c r="F71" s="454">
        <v>0</v>
      </c>
      <c r="G71" s="454">
        <v>0</v>
      </c>
      <c r="H71" s="454">
        <v>13012.044</v>
      </c>
      <c r="I71" s="454">
        <v>0</v>
      </c>
      <c r="J71" s="455">
        <v>13012.044</v>
      </c>
      <c r="K71" s="456">
        <v>0</v>
      </c>
      <c r="L71" s="456">
        <v>0</v>
      </c>
      <c r="M71" s="456">
        <v>0</v>
      </c>
      <c r="N71" s="456">
        <v>0</v>
      </c>
      <c r="O71" s="456">
        <v>0</v>
      </c>
      <c r="P71" s="456">
        <v>0</v>
      </c>
      <c r="Q71" s="457">
        <v>0</v>
      </c>
      <c r="S71" s="465"/>
    </row>
    <row r="72" spans="1:19" s="473" customFormat="1" x14ac:dyDescent="0.25">
      <c r="A72" s="462">
        <v>65</v>
      </c>
      <c r="B72" s="491" t="s">
        <v>546</v>
      </c>
      <c r="C72" s="464"/>
      <c r="D72" s="454">
        <v>0</v>
      </c>
      <c r="E72" s="454">
        <v>0</v>
      </c>
      <c r="F72" s="454">
        <v>0</v>
      </c>
      <c r="G72" s="454">
        <v>0</v>
      </c>
      <c r="H72" s="454">
        <v>41621.620999999999</v>
      </c>
      <c r="I72" s="454">
        <v>0</v>
      </c>
      <c r="J72" s="455">
        <v>41621.620999999999</v>
      </c>
      <c r="K72" s="456">
        <v>0</v>
      </c>
      <c r="L72" s="456">
        <v>0</v>
      </c>
      <c r="M72" s="456">
        <v>0</v>
      </c>
      <c r="N72" s="456">
        <v>0</v>
      </c>
      <c r="O72" s="456">
        <v>0</v>
      </c>
      <c r="P72" s="456">
        <v>0</v>
      </c>
      <c r="Q72" s="457">
        <v>0</v>
      </c>
      <c r="S72" s="465"/>
    </row>
    <row r="73" spans="1:19" s="473" customFormat="1" x14ac:dyDescent="0.25">
      <c r="A73" s="462">
        <v>66</v>
      </c>
      <c r="B73" s="466" t="s">
        <v>149</v>
      </c>
      <c r="C73" s="464"/>
      <c r="D73" s="454">
        <v>0</v>
      </c>
      <c r="E73" s="454">
        <v>0</v>
      </c>
      <c r="F73" s="454">
        <v>0</v>
      </c>
      <c r="G73" s="454">
        <v>0</v>
      </c>
      <c r="H73" s="454">
        <v>0</v>
      </c>
      <c r="I73" s="454">
        <v>0</v>
      </c>
      <c r="J73" s="455">
        <v>0</v>
      </c>
      <c r="K73" s="456">
        <v>0</v>
      </c>
      <c r="L73" s="456">
        <v>0</v>
      </c>
      <c r="M73" s="456">
        <v>0</v>
      </c>
      <c r="N73" s="456">
        <v>0</v>
      </c>
      <c r="O73" s="456">
        <v>0</v>
      </c>
      <c r="P73" s="456">
        <v>0</v>
      </c>
      <c r="Q73" s="457">
        <v>0</v>
      </c>
      <c r="S73" s="465"/>
    </row>
    <row r="74" spans="1:19" s="473" customFormat="1" x14ac:dyDescent="0.25">
      <c r="A74" s="462">
        <v>67</v>
      </c>
      <c r="B74" s="476" t="s">
        <v>547</v>
      </c>
      <c r="C74" s="464"/>
      <c r="D74" s="454">
        <v>0</v>
      </c>
      <c r="E74" s="454">
        <v>0</v>
      </c>
      <c r="F74" s="454">
        <v>0</v>
      </c>
      <c r="G74" s="454">
        <v>0</v>
      </c>
      <c r="H74" s="454">
        <v>0</v>
      </c>
      <c r="I74" s="454">
        <v>0</v>
      </c>
      <c r="J74" s="455">
        <v>0</v>
      </c>
      <c r="K74" s="456">
        <v>0</v>
      </c>
      <c r="L74" s="456">
        <v>0</v>
      </c>
      <c r="M74" s="456">
        <v>0</v>
      </c>
      <c r="N74" s="456">
        <v>0</v>
      </c>
      <c r="O74" s="456">
        <v>0</v>
      </c>
      <c r="P74" s="456">
        <v>0</v>
      </c>
      <c r="Q74" s="457">
        <v>0</v>
      </c>
      <c r="S74" s="465"/>
    </row>
    <row r="75" spans="1:19" s="473" customFormat="1" x14ac:dyDescent="0.25">
      <c r="A75" s="462">
        <v>68</v>
      </c>
      <c r="B75" s="476" t="s">
        <v>548</v>
      </c>
      <c r="C75" s="464"/>
      <c r="D75" s="454">
        <v>0</v>
      </c>
      <c r="E75" s="454">
        <v>0</v>
      </c>
      <c r="F75" s="454">
        <v>0</v>
      </c>
      <c r="G75" s="454">
        <v>0</v>
      </c>
      <c r="H75" s="454">
        <v>0</v>
      </c>
      <c r="I75" s="454">
        <v>0</v>
      </c>
      <c r="J75" s="455">
        <v>0</v>
      </c>
      <c r="K75" s="456">
        <v>0</v>
      </c>
      <c r="L75" s="456">
        <v>0</v>
      </c>
      <c r="M75" s="456">
        <v>0</v>
      </c>
      <c r="N75" s="456">
        <v>0</v>
      </c>
      <c r="O75" s="456">
        <v>0</v>
      </c>
      <c r="P75" s="456">
        <v>0</v>
      </c>
      <c r="Q75" s="457">
        <v>0</v>
      </c>
      <c r="S75" s="465"/>
    </row>
    <row r="76" spans="1:19" s="473" customFormat="1" ht="30" x14ac:dyDescent="0.25">
      <c r="A76" s="462">
        <v>69</v>
      </c>
      <c r="B76" s="466" t="s">
        <v>549</v>
      </c>
      <c r="C76" s="464"/>
      <c r="D76" s="454">
        <v>0</v>
      </c>
      <c r="E76" s="454">
        <v>0</v>
      </c>
      <c r="F76" s="454">
        <v>0</v>
      </c>
      <c r="G76" s="454">
        <v>0</v>
      </c>
      <c r="H76" s="454">
        <v>0</v>
      </c>
      <c r="I76" s="454">
        <v>0</v>
      </c>
      <c r="J76" s="455">
        <v>0</v>
      </c>
      <c r="K76" s="456">
        <v>0</v>
      </c>
      <c r="L76" s="456">
        <v>0</v>
      </c>
      <c r="M76" s="456">
        <v>0</v>
      </c>
      <c r="N76" s="456">
        <v>0</v>
      </c>
      <c r="O76" s="456">
        <v>0</v>
      </c>
      <c r="P76" s="456">
        <v>0</v>
      </c>
      <c r="Q76" s="457">
        <v>0</v>
      </c>
      <c r="S76" s="465"/>
    </row>
    <row r="77" spans="1:19" s="473" customFormat="1" ht="60" x14ac:dyDescent="0.25">
      <c r="A77" s="462">
        <v>70</v>
      </c>
      <c r="B77" s="466" t="s">
        <v>550</v>
      </c>
      <c r="C77" s="464"/>
      <c r="D77" s="454">
        <v>0</v>
      </c>
      <c r="E77" s="454">
        <v>0</v>
      </c>
      <c r="F77" s="454">
        <v>0</v>
      </c>
      <c r="G77" s="454">
        <v>0</v>
      </c>
      <c r="H77" s="454">
        <v>0</v>
      </c>
      <c r="I77" s="454">
        <v>0</v>
      </c>
      <c r="J77" s="455">
        <v>0</v>
      </c>
      <c r="K77" s="456">
        <v>0</v>
      </c>
      <c r="L77" s="456">
        <v>0</v>
      </c>
      <c r="M77" s="456">
        <v>0</v>
      </c>
      <c r="N77" s="456">
        <v>0</v>
      </c>
      <c r="O77" s="456">
        <v>0</v>
      </c>
      <c r="P77" s="456">
        <v>0</v>
      </c>
      <c r="Q77" s="457">
        <v>0</v>
      </c>
      <c r="S77" s="465"/>
    </row>
    <row r="78" spans="1:19" s="473" customFormat="1" ht="30" x14ac:dyDescent="0.25">
      <c r="A78" s="462">
        <v>71</v>
      </c>
      <c r="B78" s="466" t="s">
        <v>551</v>
      </c>
      <c r="C78" s="464"/>
      <c r="D78" s="454">
        <v>0</v>
      </c>
      <c r="E78" s="454">
        <v>0</v>
      </c>
      <c r="F78" s="454">
        <v>0</v>
      </c>
      <c r="G78" s="454">
        <v>0</v>
      </c>
      <c r="H78" s="454">
        <v>0</v>
      </c>
      <c r="I78" s="454">
        <v>0</v>
      </c>
      <c r="J78" s="455">
        <v>0</v>
      </c>
      <c r="K78" s="456">
        <v>0</v>
      </c>
      <c r="L78" s="456">
        <v>0</v>
      </c>
      <c r="M78" s="456">
        <v>0</v>
      </c>
      <c r="N78" s="456">
        <v>0</v>
      </c>
      <c r="O78" s="456">
        <v>0</v>
      </c>
      <c r="P78" s="456">
        <v>0</v>
      </c>
      <c r="Q78" s="457">
        <v>0</v>
      </c>
      <c r="S78" s="465"/>
    </row>
    <row r="79" spans="1:19" s="473" customFormat="1" x14ac:dyDescent="0.25">
      <c r="A79" s="462">
        <v>72</v>
      </c>
      <c r="B79" s="492" t="s">
        <v>552</v>
      </c>
      <c r="C79" s="464"/>
      <c r="D79" s="454">
        <v>0</v>
      </c>
      <c r="E79" s="454">
        <v>0</v>
      </c>
      <c r="F79" s="454">
        <v>0</v>
      </c>
      <c r="G79" s="454">
        <v>0</v>
      </c>
      <c r="H79" s="454">
        <v>14095.507</v>
      </c>
      <c r="I79" s="454">
        <v>0</v>
      </c>
      <c r="J79" s="455">
        <v>14095.507</v>
      </c>
      <c r="K79" s="456">
        <v>0</v>
      </c>
      <c r="L79" s="456">
        <v>0</v>
      </c>
      <c r="M79" s="456">
        <v>0</v>
      </c>
      <c r="N79" s="456">
        <v>16651.099000000002</v>
      </c>
      <c r="O79" s="456">
        <v>16651.099000000002</v>
      </c>
      <c r="P79" s="456">
        <v>0</v>
      </c>
      <c r="Q79" s="457">
        <v>16651.099000000002</v>
      </c>
      <c r="S79" s="465"/>
    </row>
    <row r="80" spans="1:19" s="473" customFormat="1" x14ac:dyDescent="0.25">
      <c r="A80" s="462">
        <v>73</v>
      </c>
      <c r="B80" s="466" t="s">
        <v>553</v>
      </c>
      <c r="C80" s="464"/>
      <c r="D80" s="454">
        <v>0</v>
      </c>
      <c r="E80" s="454">
        <v>0</v>
      </c>
      <c r="F80" s="454">
        <v>0</v>
      </c>
      <c r="G80" s="454">
        <v>0</v>
      </c>
      <c r="H80" s="454">
        <v>0</v>
      </c>
      <c r="I80" s="454">
        <v>0</v>
      </c>
      <c r="J80" s="455">
        <v>0</v>
      </c>
      <c r="K80" s="456">
        <v>0</v>
      </c>
      <c r="L80" s="456">
        <v>0</v>
      </c>
      <c r="M80" s="456">
        <v>0</v>
      </c>
      <c r="N80" s="456">
        <v>0</v>
      </c>
      <c r="O80" s="456">
        <v>0</v>
      </c>
      <c r="P80" s="456">
        <v>0</v>
      </c>
      <c r="Q80" s="457">
        <v>0</v>
      </c>
      <c r="S80" s="465"/>
    </row>
    <row r="81" spans="1:19" s="473" customFormat="1" x14ac:dyDescent="0.25">
      <c r="A81" s="462">
        <v>74</v>
      </c>
      <c r="B81" s="466" t="s">
        <v>554</v>
      </c>
      <c r="C81" s="464"/>
      <c r="D81" s="454">
        <v>0</v>
      </c>
      <c r="E81" s="454">
        <v>0</v>
      </c>
      <c r="F81" s="454">
        <v>0</v>
      </c>
      <c r="G81" s="454">
        <v>0</v>
      </c>
      <c r="H81" s="454">
        <v>0</v>
      </c>
      <c r="I81" s="454">
        <v>0</v>
      </c>
      <c r="J81" s="455">
        <v>0</v>
      </c>
      <c r="K81" s="456">
        <v>0</v>
      </c>
      <c r="L81" s="456">
        <v>0</v>
      </c>
      <c r="M81" s="456">
        <v>0</v>
      </c>
      <c r="N81" s="456">
        <v>0</v>
      </c>
      <c r="O81" s="456">
        <v>0</v>
      </c>
      <c r="P81" s="456">
        <v>0</v>
      </c>
      <c r="Q81" s="457">
        <v>0</v>
      </c>
      <c r="S81" s="465"/>
    </row>
    <row r="82" spans="1:19" s="473" customFormat="1" x14ac:dyDescent="0.25">
      <c r="A82" s="462">
        <v>75</v>
      </c>
      <c r="B82" s="466" t="s">
        <v>242</v>
      </c>
      <c r="C82" s="464"/>
      <c r="D82" s="454">
        <v>0</v>
      </c>
      <c r="E82" s="454">
        <v>0</v>
      </c>
      <c r="F82" s="454">
        <v>0</v>
      </c>
      <c r="G82" s="454">
        <v>0</v>
      </c>
      <c r="H82" s="454">
        <v>0</v>
      </c>
      <c r="I82" s="454">
        <v>0</v>
      </c>
      <c r="J82" s="455">
        <v>0</v>
      </c>
      <c r="K82" s="456">
        <v>0</v>
      </c>
      <c r="L82" s="456">
        <v>0</v>
      </c>
      <c r="M82" s="456">
        <v>0</v>
      </c>
      <c r="N82" s="456">
        <v>0</v>
      </c>
      <c r="O82" s="456">
        <v>0</v>
      </c>
      <c r="P82" s="456">
        <v>0</v>
      </c>
      <c r="Q82" s="457">
        <v>0</v>
      </c>
      <c r="S82" s="465"/>
    </row>
    <row r="83" spans="1:19" s="473" customFormat="1" ht="30" x14ac:dyDescent="0.25">
      <c r="A83" s="462">
        <v>76</v>
      </c>
      <c r="B83" s="466" t="s">
        <v>555</v>
      </c>
      <c r="C83" s="464"/>
      <c r="D83" s="454">
        <v>0</v>
      </c>
      <c r="E83" s="454">
        <v>0</v>
      </c>
      <c r="F83" s="454">
        <v>0</v>
      </c>
      <c r="G83" s="454">
        <v>0</v>
      </c>
      <c r="H83" s="454">
        <v>175850.42499999999</v>
      </c>
      <c r="I83" s="454">
        <v>0</v>
      </c>
      <c r="J83" s="455">
        <v>175850.42499999999</v>
      </c>
      <c r="K83" s="456">
        <v>0</v>
      </c>
      <c r="L83" s="456">
        <v>0</v>
      </c>
      <c r="M83" s="456">
        <v>0</v>
      </c>
      <c r="N83" s="456">
        <v>7.7649999999999997</v>
      </c>
      <c r="O83" s="456">
        <v>7.7649999999999997</v>
      </c>
      <c r="P83" s="456">
        <v>0</v>
      </c>
      <c r="Q83" s="457">
        <v>7.7649999999999997</v>
      </c>
      <c r="S83" s="465"/>
    </row>
    <row r="84" spans="1:19" s="473" customFormat="1" ht="30" x14ac:dyDescent="0.25">
      <c r="A84" s="462">
        <v>77</v>
      </c>
      <c r="B84" s="466" t="s">
        <v>465</v>
      </c>
      <c r="C84" s="464"/>
      <c r="D84" s="454">
        <v>0</v>
      </c>
      <c r="E84" s="454">
        <v>0</v>
      </c>
      <c r="F84" s="454">
        <v>0</v>
      </c>
      <c r="G84" s="454">
        <v>0</v>
      </c>
      <c r="H84" s="454">
        <v>150.25200000000001</v>
      </c>
      <c r="I84" s="454">
        <v>0</v>
      </c>
      <c r="J84" s="455">
        <v>150.25200000000001</v>
      </c>
      <c r="K84" s="456">
        <v>0</v>
      </c>
      <c r="L84" s="456">
        <v>0</v>
      </c>
      <c r="M84" s="456">
        <v>0</v>
      </c>
      <c r="N84" s="456">
        <v>51035.883999999998</v>
      </c>
      <c r="O84" s="456">
        <v>51035.883999999998</v>
      </c>
      <c r="P84" s="456">
        <v>0</v>
      </c>
      <c r="Q84" s="457">
        <v>51035.883999999998</v>
      </c>
      <c r="S84" s="465"/>
    </row>
    <row r="85" spans="1:19" s="473" customFormat="1" x14ac:dyDescent="0.25">
      <c r="A85" s="462">
        <v>78</v>
      </c>
      <c r="B85" s="466" t="s">
        <v>466</v>
      </c>
      <c r="C85" s="464"/>
      <c r="D85" s="454">
        <v>0</v>
      </c>
      <c r="E85" s="454">
        <v>0</v>
      </c>
      <c r="F85" s="454">
        <v>0</v>
      </c>
      <c r="G85" s="454">
        <v>0</v>
      </c>
      <c r="H85" s="454">
        <v>0</v>
      </c>
      <c r="I85" s="454">
        <v>0</v>
      </c>
      <c r="J85" s="455">
        <v>0</v>
      </c>
      <c r="K85" s="456">
        <v>0</v>
      </c>
      <c r="L85" s="456">
        <v>0</v>
      </c>
      <c r="M85" s="456">
        <v>0</v>
      </c>
      <c r="N85" s="456">
        <v>33648</v>
      </c>
      <c r="O85" s="456">
        <v>33648</v>
      </c>
      <c r="P85" s="456">
        <v>0</v>
      </c>
      <c r="Q85" s="457">
        <v>33648</v>
      </c>
      <c r="S85" s="465"/>
    </row>
    <row r="86" spans="1:19" s="473" customFormat="1" x14ac:dyDescent="0.25">
      <c r="A86" s="462">
        <v>79</v>
      </c>
      <c r="B86" s="466" t="s">
        <v>467</v>
      </c>
      <c r="C86" s="464"/>
      <c r="D86" s="454">
        <v>0</v>
      </c>
      <c r="E86" s="454">
        <v>0</v>
      </c>
      <c r="F86" s="454">
        <v>0</v>
      </c>
      <c r="G86" s="454">
        <v>0</v>
      </c>
      <c r="H86" s="454">
        <v>0</v>
      </c>
      <c r="I86" s="454">
        <v>0</v>
      </c>
      <c r="J86" s="455">
        <v>0</v>
      </c>
      <c r="K86" s="456">
        <v>0</v>
      </c>
      <c r="L86" s="456">
        <v>0</v>
      </c>
      <c r="M86" s="456">
        <v>0</v>
      </c>
      <c r="N86" s="456">
        <v>5400</v>
      </c>
      <c r="O86" s="456">
        <v>5400</v>
      </c>
      <c r="P86" s="456">
        <v>0</v>
      </c>
      <c r="Q86" s="457">
        <v>5400</v>
      </c>
      <c r="S86" s="465"/>
    </row>
    <row r="87" spans="1:19" s="473" customFormat="1" x14ac:dyDescent="0.25">
      <c r="A87" s="462">
        <v>80</v>
      </c>
      <c r="B87" s="466" t="s">
        <v>468</v>
      </c>
      <c r="C87" s="464"/>
      <c r="D87" s="454">
        <v>0</v>
      </c>
      <c r="E87" s="454">
        <v>0</v>
      </c>
      <c r="F87" s="454">
        <v>0</v>
      </c>
      <c r="G87" s="454">
        <v>0</v>
      </c>
      <c r="H87" s="454">
        <v>0</v>
      </c>
      <c r="I87" s="454">
        <v>0</v>
      </c>
      <c r="J87" s="455">
        <v>0</v>
      </c>
      <c r="K87" s="456">
        <v>0</v>
      </c>
      <c r="L87" s="456">
        <v>0</v>
      </c>
      <c r="M87" s="456">
        <v>0</v>
      </c>
      <c r="N87" s="456">
        <v>8160</v>
      </c>
      <c r="O87" s="456">
        <v>8160</v>
      </c>
      <c r="P87" s="456">
        <v>0</v>
      </c>
      <c r="Q87" s="457">
        <v>8160</v>
      </c>
      <c r="S87" s="465"/>
    </row>
    <row r="88" spans="1:19" s="473" customFormat="1" x14ac:dyDescent="0.25">
      <c r="A88" s="462">
        <v>81</v>
      </c>
      <c r="B88" s="466" t="s">
        <v>470</v>
      </c>
      <c r="C88" s="464"/>
      <c r="D88" s="454">
        <v>0</v>
      </c>
      <c r="E88" s="454">
        <v>0</v>
      </c>
      <c r="F88" s="454">
        <v>0</v>
      </c>
      <c r="G88" s="454">
        <v>0</v>
      </c>
      <c r="H88" s="454">
        <v>123.9</v>
      </c>
      <c r="I88" s="454">
        <v>0</v>
      </c>
      <c r="J88" s="455">
        <v>123.9</v>
      </c>
      <c r="K88" s="456">
        <v>0</v>
      </c>
      <c r="L88" s="456">
        <v>0</v>
      </c>
      <c r="M88" s="456">
        <v>0</v>
      </c>
      <c r="N88" s="456">
        <v>0</v>
      </c>
      <c r="O88" s="456">
        <v>0</v>
      </c>
      <c r="P88" s="456">
        <v>0</v>
      </c>
      <c r="Q88" s="457">
        <v>0</v>
      </c>
      <c r="S88" s="465"/>
    </row>
    <row r="89" spans="1:19" s="473" customFormat="1" x14ac:dyDescent="0.25">
      <c r="A89" s="462">
        <v>82</v>
      </c>
      <c r="B89" s="466" t="s">
        <v>471</v>
      </c>
      <c r="C89" s="464"/>
      <c r="D89" s="454">
        <v>0</v>
      </c>
      <c r="E89" s="454">
        <v>0</v>
      </c>
      <c r="F89" s="454">
        <v>0</v>
      </c>
      <c r="G89" s="454">
        <v>0</v>
      </c>
      <c r="H89" s="454">
        <v>104</v>
      </c>
      <c r="I89" s="454">
        <v>0</v>
      </c>
      <c r="J89" s="455">
        <v>104</v>
      </c>
      <c r="K89" s="456">
        <v>0</v>
      </c>
      <c r="L89" s="456">
        <v>0</v>
      </c>
      <c r="M89" s="456">
        <v>0</v>
      </c>
      <c r="N89" s="456">
        <v>0</v>
      </c>
      <c r="O89" s="456">
        <v>0</v>
      </c>
      <c r="P89" s="456">
        <v>0</v>
      </c>
      <c r="Q89" s="457">
        <v>0</v>
      </c>
      <c r="S89" s="465"/>
    </row>
    <row r="90" spans="1:19" s="473" customFormat="1" x14ac:dyDescent="0.25">
      <c r="A90" s="462">
        <v>83</v>
      </c>
      <c r="B90" s="466" t="s">
        <v>472</v>
      </c>
      <c r="C90" s="464"/>
      <c r="D90" s="454">
        <v>0</v>
      </c>
      <c r="E90" s="454">
        <v>0</v>
      </c>
      <c r="F90" s="454">
        <v>0</v>
      </c>
      <c r="G90" s="454">
        <v>0</v>
      </c>
      <c r="H90" s="454">
        <v>6260</v>
      </c>
      <c r="I90" s="454">
        <v>0</v>
      </c>
      <c r="J90" s="455">
        <v>6260</v>
      </c>
      <c r="K90" s="456">
        <v>0</v>
      </c>
      <c r="L90" s="456">
        <v>0</v>
      </c>
      <c r="M90" s="456">
        <v>0</v>
      </c>
      <c r="N90" s="456">
        <v>0</v>
      </c>
      <c r="O90" s="456">
        <v>0</v>
      </c>
      <c r="P90" s="456">
        <v>0</v>
      </c>
      <c r="Q90" s="457">
        <v>0</v>
      </c>
      <c r="S90" s="465"/>
    </row>
    <row r="91" spans="1:19" s="473" customFormat="1" x14ac:dyDescent="0.25">
      <c r="A91" s="462">
        <v>84</v>
      </c>
      <c r="B91" s="466" t="s">
        <v>473</v>
      </c>
      <c r="C91" s="464"/>
      <c r="D91" s="454">
        <v>0</v>
      </c>
      <c r="E91" s="454">
        <v>0</v>
      </c>
      <c r="F91" s="454">
        <v>0</v>
      </c>
      <c r="G91" s="454">
        <v>0</v>
      </c>
      <c r="H91" s="454">
        <v>87.5</v>
      </c>
      <c r="I91" s="454">
        <v>0</v>
      </c>
      <c r="J91" s="455">
        <v>87.5</v>
      </c>
      <c r="K91" s="456">
        <v>0</v>
      </c>
      <c r="L91" s="456">
        <v>0</v>
      </c>
      <c r="M91" s="456">
        <v>0</v>
      </c>
      <c r="N91" s="456">
        <v>0</v>
      </c>
      <c r="O91" s="456">
        <v>0</v>
      </c>
      <c r="P91" s="456">
        <v>0</v>
      </c>
      <c r="Q91" s="457">
        <v>0</v>
      </c>
      <c r="S91" s="465"/>
    </row>
    <row r="92" spans="1:19" s="473" customFormat="1" x14ac:dyDescent="0.25">
      <c r="A92" s="462">
        <v>85</v>
      </c>
      <c r="B92" s="466" t="s">
        <v>474</v>
      </c>
      <c r="C92" s="464"/>
      <c r="D92" s="454">
        <v>0</v>
      </c>
      <c r="E92" s="454">
        <v>0</v>
      </c>
      <c r="F92" s="454">
        <v>0</v>
      </c>
      <c r="G92" s="454">
        <v>0</v>
      </c>
      <c r="H92" s="454">
        <v>0</v>
      </c>
      <c r="I92" s="454">
        <v>0</v>
      </c>
      <c r="J92" s="455">
        <v>0</v>
      </c>
      <c r="K92" s="456">
        <v>0</v>
      </c>
      <c r="L92" s="456">
        <v>0</v>
      </c>
      <c r="M92" s="456">
        <v>0</v>
      </c>
      <c r="N92" s="456">
        <v>3650.28</v>
      </c>
      <c r="O92" s="456">
        <v>3650.28</v>
      </c>
      <c r="P92" s="456">
        <v>0</v>
      </c>
      <c r="Q92" s="457">
        <v>3650.28</v>
      </c>
      <c r="S92" s="465"/>
    </row>
    <row r="93" spans="1:19" ht="30" x14ac:dyDescent="0.25">
      <c r="A93" s="451">
        <v>86</v>
      </c>
      <c r="B93" s="452" t="s">
        <v>556</v>
      </c>
      <c r="C93" s="453"/>
      <c r="D93" s="454">
        <v>79112.615000000005</v>
      </c>
      <c r="E93" s="454">
        <v>20759.187000000002</v>
      </c>
      <c r="F93" s="454">
        <v>16606.030999999999</v>
      </c>
      <c r="G93" s="454">
        <v>4741.4070000000002</v>
      </c>
      <c r="H93" s="454">
        <v>0</v>
      </c>
      <c r="I93" s="454">
        <v>66163.808000000005</v>
      </c>
      <c r="J93" s="455">
        <v>187383.04800000001</v>
      </c>
      <c r="K93" s="456">
        <v>0</v>
      </c>
      <c r="L93" s="456">
        <v>0</v>
      </c>
      <c r="M93" s="456">
        <v>0</v>
      </c>
      <c r="N93" s="456">
        <v>0</v>
      </c>
      <c r="O93" s="456">
        <v>0</v>
      </c>
      <c r="P93" s="456">
        <v>0</v>
      </c>
      <c r="Q93" s="457">
        <v>0</v>
      </c>
    </row>
    <row r="94" spans="1:19" ht="30" x14ac:dyDescent="0.25">
      <c r="A94" s="451">
        <v>87</v>
      </c>
      <c r="B94" s="452" t="s">
        <v>557</v>
      </c>
      <c r="C94" s="453"/>
      <c r="D94" s="454">
        <v>0</v>
      </c>
      <c r="E94" s="454">
        <v>0</v>
      </c>
      <c r="F94" s="454">
        <v>0</v>
      </c>
      <c r="G94" s="454">
        <v>0</v>
      </c>
      <c r="H94" s="454">
        <v>0</v>
      </c>
      <c r="I94" s="454">
        <v>0</v>
      </c>
      <c r="J94" s="455">
        <v>0</v>
      </c>
      <c r="K94" s="456">
        <v>0</v>
      </c>
      <c r="L94" s="456">
        <v>0</v>
      </c>
      <c r="M94" s="456">
        <v>0</v>
      </c>
      <c r="N94" s="456">
        <v>0</v>
      </c>
      <c r="O94" s="456">
        <v>0</v>
      </c>
      <c r="P94" s="456">
        <v>0</v>
      </c>
      <c r="Q94" s="457">
        <v>0</v>
      </c>
    </row>
    <row r="95" spans="1:19" s="481" customFormat="1" x14ac:dyDescent="0.25">
      <c r="A95" s="468">
        <v>88</v>
      </c>
      <c r="B95" s="469" t="s">
        <v>558</v>
      </c>
      <c r="C95" s="489">
        <v>0</v>
      </c>
      <c r="D95" s="489">
        <v>79112.615000000005</v>
      </c>
      <c r="E95" s="489">
        <v>20759.187000000002</v>
      </c>
      <c r="F95" s="489">
        <v>16606.030999999999</v>
      </c>
      <c r="G95" s="489">
        <v>4741.4070000000002</v>
      </c>
      <c r="H95" s="489">
        <v>251305.24900000001</v>
      </c>
      <c r="I95" s="489">
        <v>66163.808000000005</v>
      </c>
      <c r="J95" s="489">
        <v>438688.29700000002</v>
      </c>
      <c r="K95" s="489">
        <v>0</v>
      </c>
      <c r="L95" s="489">
        <v>0</v>
      </c>
      <c r="M95" s="489">
        <v>0</v>
      </c>
      <c r="N95" s="489">
        <v>118553.02799999999</v>
      </c>
      <c r="O95" s="489">
        <v>118553.02799999999</v>
      </c>
      <c r="P95" s="489">
        <v>0</v>
      </c>
      <c r="Q95" s="489">
        <v>118553.02799999999</v>
      </c>
      <c r="S95" s="438"/>
    </row>
    <row r="96" spans="1:19" s="481" customFormat="1" x14ac:dyDescent="0.25">
      <c r="A96" s="468">
        <v>89</v>
      </c>
      <c r="B96" s="469" t="s">
        <v>559</v>
      </c>
      <c r="C96" s="489">
        <v>0</v>
      </c>
      <c r="D96" s="489">
        <v>83976.49500000001</v>
      </c>
      <c r="E96" s="489">
        <v>23170.765000000003</v>
      </c>
      <c r="F96" s="489">
        <v>16710.628000000001</v>
      </c>
      <c r="G96" s="489">
        <v>4809.8780000000006</v>
      </c>
      <c r="H96" s="489">
        <v>684390.87700000009</v>
      </c>
      <c r="I96" s="489">
        <v>66165.217000000004</v>
      </c>
      <c r="J96" s="489">
        <v>879223.86</v>
      </c>
      <c r="K96" s="489">
        <v>6483.1798200000003</v>
      </c>
      <c r="L96" s="489">
        <v>694.11977000000002</v>
      </c>
      <c r="M96" s="489">
        <v>250</v>
      </c>
      <c r="N96" s="489">
        <v>265370.36300000001</v>
      </c>
      <c r="O96" s="489">
        <v>266064.48277</v>
      </c>
      <c r="P96" s="489">
        <v>0</v>
      </c>
      <c r="Q96" s="489">
        <v>272797.66258999996</v>
      </c>
      <c r="S96" s="438"/>
    </row>
    <row r="97" spans="1:19" s="481" customFormat="1" x14ac:dyDescent="0.25">
      <c r="A97" s="468">
        <v>90</v>
      </c>
      <c r="B97" s="469" t="s">
        <v>560</v>
      </c>
      <c r="C97" s="489"/>
      <c r="D97" s="489">
        <v>0</v>
      </c>
      <c r="E97" s="489">
        <v>0</v>
      </c>
      <c r="F97" s="489">
        <v>0</v>
      </c>
      <c r="G97" s="489">
        <v>0</v>
      </c>
      <c r="H97" s="489">
        <v>0</v>
      </c>
      <c r="I97" s="489">
        <v>0</v>
      </c>
      <c r="J97" s="489"/>
      <c r="K97" s="489">
        <v>0</v>
      </c>
      <c r="L97" s="489">
        <v>0</v>
      </c>
      <c r="M97" s="489">
        <v>0</v>
      </c>
      <c r="N97" s="489">
        <v>0</v>
      </c>
      <c r="O97" s="489">
        <v>0</v>
      </c>
      <c r="P97" s="489">
        <v>0</v>
      </c>
      <c r="Q97" s="489">
        <v>0</v>
      </c>
      <c r="S97" s="438"/>
    </row>
    <row r="98" spans="1:19" x14ac:dyDescent="0.25">
      <c r="A98" s="451">
        <v>91</v>
      </c>
      <c r="B98" s="452" t="s">
        <v>561</v>
      </c>
      <c r="C98" s="453"/>
      <c r="D98" s="454">
        <v>0</v>
      </c>
      <c r="E98" s="454">
        <v>0</v>
      </c>
      <c r="F98" s="454">
        <v>0</v>
      </c>
      <c r="G98" s="454">
        <v>0</v>
      </c>
      <c r="H98" s="454">
        <v>77127.762000000002</v>
      </c>
      <c r="I98" s="454">
        <v>0</v>
      </c>
      <c r="J98" s="455">
        <v>77127.762000000002</v>
      </c>
      <c r="K98" s="456">
        <v>0</v>
      </c>
      <c r="L98" s="456">
        <v>0</v>
      </c>
      <c r="M98" s="456">
        <v>0</v>
      </c>
      <c r="N98" s="456">
        <v>0</v>
      </c>
      <c r="O98" s="456">
        <v>0</v>
      </c>
      <c r="P98" s="456">
        <v>0</v>
      </c>
      <c r="Q98" s="457">
        <v>0</v>
      </c>
    </row>
    <row r="99" spans="1:19" x14ac:dyDescent="0.25">
      <c r="A99" s="451">
        <v>92</v>
      </c>
      <c r="B99" s="452" t="s">
        <v>562</v>
      </c>
      <c r="C99" s="453"/>
      <c r="D99" s="454">
        <v>0</v>
      </c>
      <c r="E99" s="454">
        <v>0</v>
      </c>
      <c r="F99" s="454">
        <v>0</v>
      </c>
      <c r="G99" s="454">
        <v>0</v>
      </c>
      <c r="H99" s="454">
        <v>0</v>
      </c>
      <c r="I99" s="454">
        <v>0</v>
      </c>
      <c r="J99" s="455">
        <v>0</v>
      </c>
      <c r="K99" s="456">
        <v>0</v>
      </c>
      <c r="L99" s="456">
        <v>0</v>
      </c>
      <c r="M99" s="456">
        <v>0</v>
      </c>
      <c r="N99" s="456">
        <v>0</v>
      </c>
      <c r="O99" s="456">
        <v>0</v>
      </c>
      <c r="P99" s="456">
        <v>0</v>
      </c>
      <c r="Q99" s="457">
        <v>0</v>
      </c>
    </row>
    <row r="100" spans="1:19" x14ac:dyDescent="0.25">
      <c r="A100" s="451">
        <v>93</v>
      </c>
      <c r="B100" s="493" t="s">
        <v>563</v>
      </c>
      <c r="C100" s="453"/>
      <c r="D100" s="454">
        <v>0</v>
      </c>
      <c r="E100" s="454">
        <v>0</v>
      </c>
      <c r="F100" s="454">
        <v>0</v>
      </c>
      <c r="G100" s="454">
        <v>0</v>
      </c>
      <c r="H100" s="454">
        <v>58201.942000000003</v>
      </c>
      <c r="I100" s="454">
        <v>0</v>
      </c>
      <c r="J100" s="455">
        <v>58201.942000000003</v>
      </c>
      <c r="K100" s="456">
        <v>0</v>
      </c>
      <c r="L100" s="456">
        <v>0</v>
      </c>
      <c r="M100" s="456">
        <v>0</v>
      </c>
      <c r="N100" s="456">
        <v>0</v>
      </c>
      <c r="O100" s="456">
        <v>0</v>
      </c>
      <c r="P100" s="456">
        <v>0</v>
      </c>
      <c r="Q100" s="457">
        <v>0</v>
      </c>
    </row>
    <row r="101" spans="1:19" x14ac:dyDescent="0.25">
      <c r="A101" s="451">
        <v>94</v>
      </c>
      <c r="B101" s="452" t="s">
        <v>564</v>
      </c>
      <c r="C101" s="453"/>
      <c r="D101" s="454">
        <v>0</v>
      </c>
      <c r="E101" s="454">
        <v>0</v>
      </c>
      <c r="F101" s="454">
        <v>0</v>
      </c>
      <c r="G101" s="454">
        <v>0</v>
      </c>
      <c r="H101" s="454">
        <v>0</v>
      </c>
      <c r="I101" s="454">
        <v>0</v>
      </c>
      <c r="J101" s="455">
        <v>0</v>
      </c>
      <c r="K101" s="456">
        <v>0</v>
      </c>
      <c r="L101" s="456">
        <v>0</v>
      </c>
      <c r="M101" s="456">
        <v>0</v>
      </c>
      <c r="N101" s="456">
        <v>0</v>
      </c>
      <c r="O101" s="456">
        <v>0</v>
      </c>
      <c r="P101" s="456">
        <v>0</v>
      </c>
      <c r="Q101" s="457">
        <v>0</v>
      </c>
    </row>
    <row r="102" spans="1:19" x14ac:dyDescent="0.25">
      <c r="A102" s="451">
        <v>95</v>
      </c>
      <c r="B102" s="452" t="s">
        <v>565</v>
      </c>
      <c r="C102" s="453"/>
      <c r="D102" s="454">
        <v>0</v>
      </c>
      <c r="E102" s="454">
        <v>0</v>
      </c>
      <c r="F102" s="454">
        <v>0</v>
      </c>
      <c r="G102" s="454">
        <v>0</v>
      </c>
      <c r="H102" s="454">
        <v>0</v>
      </c>
      <c r="I102" s="454">
        <v>0</v>
      </c>
      <c r="J102" s="455">
        <v>0</v>
      </c>
      <c r="K102" s="456">
        <v>0</v>
      </c>
      <c r="L102" s="456">
        <v>0</v>
      </c>
      <c r="M102" s="456">
        <v>0</v>
      </c>
      <c r="N102" s="456">
        <v>0</v>
      </c>
      <c r="O102" s="456">
        <v>0</v>
      </c>
      <c r="P102" s="456">
        <v>0</v>
      </c>
      <c r="Q102" s="457">
        <v>0</v>
      </c>
    </row>
    <row r="103" spans="1:19" x14ac:dyDescent="0.25">
      <c r="A103" s="451">
        <v>96</v>
      </c>
      <c r="B103" s="452" t="s">
        <v>566</v>
      </c>
      <c r="C103" s="453"/>
      <c r="D103" s="454">
        <v>0</v>
      </c>
      <c r="E103" s="454">
        <v>0</v>
      </c>
      <c r="F103" s="454">
        <v>0</v>
      </c>
      <c r="G103" s="454">
        <v>0</v>
      </c>
      <c r="H103" s="454">
        <v>0</v>
      </c>
      <c r="I103" s="454">
        <v>0</v>
      </c>
      <c r="J103" s="455">
        <v>0</v>
      </c>
      <c r="K103" s="456">
        <v>0</v>
      </c>
      <c r="L103" s="456">
        <v>0</v>
      </c>
      <c r="M103" s="456">
        <v>0</v>
      </c>
      <c r="N103" s="456">
        <v>0</v>
      </c>
      <c r="O103" s="456">
        <v>0</v>
      </c>
      <c r="P103" s="456">
        <v>0</v>
      </c>
      <c r="Q103" s="457">
        <v>0</v>
      </c>
    </row>
    <row r="104" spans="1:19" x14ac:dyDescent="0.25">
      <c r="A104" s="451">
        <v>97</v>
      </c>
      <c r="B104" s="452" t="s">
        <v>567</v>
      </c>
      <c r="C104" s="453"/>
      <c r="D104" s="454">
        <v>0</v>
      </c>
      <c r="E104" s="454">
        <v>0</v>
      </c>
      <c r="F104" s="454">
        <v>0</v>
      </c>
      <c r="G104" s="454">
        <v>0</v>
      </c>
      <c r="H104" s="454">
        <v>0</v>
      </c>
      <c r="I104" s="454">
        <v>0</v>
      </c>
      <c r="J104" s="455">
        <v>0</v>
      </c>
      <c r="K104" s="456">
        <v>0</v>
      </c>
      <c r="L104" s="456">
        <v>0</v>
      </c>
      <c r="M104" s="456">
        <v>0</v>
      </c>
      <c r="N104" s="456">
        <v>0</v>
      </c>
      <c r="O104" s="456">
        <v>0</v>
      </c>
      <c r="P104" s="456">
        <v>0</v>
      </c>
      <c r="Q104" s="457">
        <v>0</v>
      </c>
    </row>
    <row r="105" spans="1:19" x14ac:dyDescent="0.25">
      <c r="A105" s="451">
        <v>98</v>
      </c>
      <c r="B105" s="452" t="s">
        <v>568</v>
      </c>
      <c r="C105" s="453"/>
      <c r="D105" s="454">
        <v>0</v>
      </c>
      <c r="E105" s="454">
        <v>0</v>
      </c>
      <c r="F105" s="454">
        <v>0</v>
      </c>
      <c r="G105" s="454">
        <v>0</v>
      </c>
      <c r="H105" s="454">
        <v>0</v>
      </c>
      <c r="I105" s="454">
        <v>0</v>
      </c>
      <c r="J105" s="455">
        <v>0</v>
      </c>
      <c r="K105" s="456">
        <v>0</v>
      </c>
      <c r="L105" s="456">
        <v>0</v>
      </c>
      <c r="M105" s="456">
        <v>0</v>
      </c>
      <c r="N105" s="456">
        <v>0</v>
      </c>
      <c r="O105" s="456">
        <v>0</v>
      </c>
      <c r="P105" s="456">
        <v>0</v>
      </c>
      <c r="Q105" s="457">
        <v>0</v>
      </c>
    </row>
    <row r="106" spans="1:19" x14ac:dyDescent="0.25">
      <c r="A106" s="451">
        <v>99</v>
      </c>
      <c r="B106" s="452" t="s">
        <v>569</v>
      </c>
      <c r="C106" s="453"/>
      <c r="D106" s="454">
        <v>0</v>
      </c>
      <c r="E106" s="454">
        <v>0</v>
      </c>
      <c r="F106" s="454">
        <v>0</v>
      </c>
      <c r="G106" s="454">
        <v>0</v>
      </c>
      <c r="H106" s="454">
        <v>0</v>
      </c>
      <c r="I106" s="454">
        <v>0</v>
      </c>
      <c r="J106" s="455">
        <v>0</v>
      </c>
      <c r="K106" s="456">
        <v>0</v>
      </c>
      <c r="L106" s="456">
        <v>0</v>
      </c>
      <c r="M106" s="456">
        <v>0</v>
      </c>
      <c r="N106" s="456">
        <v>0</v>
      </c>
      <c r="O106" s="456">
        <v>0</v>
      </c>
      <c r="P106" s="456">
        <v>0</v>
      </c>
      <c r="Q106" s="457">
        <v>0</v>
      </c>
    </row>
    <row r="107" spans="1:19" x14ac:dyDescent="0.25">
      <c r="A107" s="451">
        <v>100</v>
      </c>
      <c r="B107" s="452" t="s">
        <v>570</v>
      </c>
      <c r="C107" s="453"/>
      <c r="D107" s="454">
        <v>0</v>
      </c>
      <c r="E107" s="454">
        <v>0</v>
      </c>
      <c r="F107" s="454">
        <v>0</v>
      </c>
      <c r="G107" s="454">
        <v>0</v>
      </c>
      <c r="H107" s="454">
        <v>633.00199999999984</v>
      </c>
      <c r="I107" s="454">
        <v>0</v>
      </c>
      <c r="J107" s="455">
        <v>633.00199999999984</v>
      </c>
      <c r="K107" s="456">
        <v>0</v>
      </c>
      <c r="L107" s="456">
        <v>0</v>
      </c>
      <c r="M107" s="456">
        <v>0</v>
      </c>
      <c r="N107" s="456">
        <v>0</v>
      </c>
      <c r="O107" s="456">
        <v>0</v>
      </c>
      <c r="P107" s="456">
        <v>0</v>
      </c>
      <c r="Q107" s="457">
        <v>0</v>
      </c>
    </row>
    <row r="108" spans="1:19" s="481" customFormat="1" x14ac:dyDescent="0.25">
      <c r="A108" s="468">
        <v>101</v>
      </c>
      <c r="B108" s="469" t="s">
        <v>571</v>
      </c>
      <c r="C108" s="489">
        <v>0</v>
      </c>
      <c r="D108" s="489">
        <v>0</v>
      </c>
      <c r="E108" s="489">
        <v>0</v>
      </c>
      <c r="F108" s="489">
        <v>0</v>
      </c>
      <c r="G108" s="489">
        <v>0</v>
      </c>
      <c r="H108" s="489">
        <v>135962.70600000001</v>
      </c>
      <c r="I108" s="489">
        <v>0</v>
      </c>
      <c r="J108" s="489">
        <v>135962.70600000001</v>
      </c>
      <c r="K108" s="489">
        <v>0</v>
      </c>
      <c r="L108" s="489">
        <v>0</v>
      </c>
      <c r="M108" s="489">
        <v>0</v>
      </c>
      <c r="N108" s="489">
        <v>0</v>
      </c>
      <c r="O108" s="489">
        <v>0</v>
      </c>
      <c r="P108" s="489">
        <v>0</v>
      </c>
      <c r="Q108" s="489">
        <v>0</v>
      </c>
      <c r="S108" s="438"/>
    </row>
    <row r="109" spans="1:19" s="481" customFormat="1" x14ac:dyDescent="0.25">
      <c r="A109" s="468">
        <v>102</v>
      </c>
      <c r="B109" s="469" t="s">
        <v>572</v>
      </c>
      <c r="C109" s="489">
        <v>0</v>
      </c>
      <c r="D109" s="489">
        <v>83976.49500000001</v>
      </c>
      <c r="E109" s="489">
        <v>23170.765000000003</v>
      </c>
      <c r="F109" s="489">
        <v>16710.628000000001</v>
      </c>
      <c r="G109" s="489">
        <v>4809.8780000000006</v>
      </c>
      <c r="H109" s="489">
        <v>820353.5830000001</v>
      </c>
      <c r="I109" s="489">
        <v>66165.217000000004</v>
      </c>
      <c r="J109" s="489">
        <v>1015186.566</v>
      </c>
      <c r="K109" s="489">
        <v>6483.1798200000003</v>
      </c>
      <c r="L109" s="489">
        <v>694.11977000000002</v>
      </c>
      <c r="M109" s="489">
        <v>250</v>
      </c>
      <c r="N109" s="489">
        <v>265370.36300000001</v>
      </c>
      <c r="O109" s="489">
        <v>266064.48277</v>
      </c>
      <c r="P109" s="489">
        <v>0</v>
      </c>
      <c r="Q109" s="489">
        <v>272797.66258999996</v>
      </c>
      <c r="R109" s="480"/>
      <c r="S109" s="438"/>
    </row>
    <row r="110" spans="1:19" x14ac:dyDescent="0.25">
      <c r="A110" s="494"/>
      <c r="S110" s="437"/>
    </row>
    <row r="111" spans="1:19" x14ac:dyDescent="0.25">
      <c r="B111"/>
      <c r="S111" s="437"/>
    </row>
    <row r="112" spans="1:19" x14ac:dyDescent="0.25">
      <c r="B112"/>
      <c r="D112" s="495">
        <v>83976.49500000001</v>
      </c>
      <c r="E112" s="495">
        <v>23170.765000000003</v>
      </c>
      <c r="F112" s="495">
        <v>16710.628000000001</v>
      </c>
      <c r="G112" s="495">
        <v>4809.8780000000006</v>
      </c>
      <c r="H112" s="495">
        <v>820353.58299999998</v>
      </c>
      <c r="I112" s="495">
        <v>66165.217000000004</v>
      </c>
      <c r="J112" s="496">
        <v>1015186.5659999999</v>
      </c>
      <c r="K112" s="436">
        <v>6483.1798200000003</v>
      </c>
      <c r="L112" s="497">
        <v>694.11977000000002</v>
      </c>
      <c r="M112" s="497">
        <v>250</v>
      </c>
      <c r="N112" s="497">
        <v>265370.36300000001</v>
      </c>
      <c r="O112" s="497"/>
      <c r="P112" s="436">
        <v>0</v>
      </c>
      <c r="Q112" s="480">
        <v>272797.66258999996</v>
      </c>
      <c r="S112" s="437"/>
    </row>
    <row r="113" spans="2:19" x14ac:dyDescent="0.25">
      <c r="B113" t="s">
        <v>573</v>
      </c>
      <c r="D113" s="495">
        <v>0</v>
      </c>
      <c r="E113" s="495">
        <v>0</v>
      </c>
      <c r="F113" s="495">
        <v>0</v>
      </c>
      <c r="G113" s="495">
        <v>0</v>
      </c>
      <c r="H113" s="495">
        <v>0</v>
      </c>
      <c r="I113" s="495">
        <v>0</v>
      </c>
      <c r="J113" s="495">
        <v>0</v>
      </c>
      <c r="K113" s="495">
        <v>0</v>
      </c>
      <c r="L113" s="495">
        <v>0</v>
      </c>
      <c r="M113" s="495">
        <v>0</v>
      </c>
      <c r="N113" s="495">
        <v>0</v>
      </c>
      <c r="O113" s="495"/>
      <c r="P113" s="495">
        <v>0</v>
      </c>
      <c r="Q113" s="495">
        <v>0</v>
      </c>
      <c r="S113" s="437"/>
    </row>
    <row r="114" spans="2:19" x14ac:dyDescent="0.25">
      <c r="S114" s="437"/>
    </row>
    <row r="115" spans="2:19" x14ac:dyDescent="0.25">
      <c r="S115" s="437"/>
    </row>
    <row r="116" spans="2:19" x14ac:dyDescent="0.25">
      <c r="S116" s="437"/>
    </row>
    <row r="117" spans="2:19" x14ac:dyDescent="0.25">
      <c r="S117" s="437"/>
    </row>
    <row r="118" spans="2:19" x14ac:dyDescent="0.25">
      <c r="S118" s="437"/>
    </row>
    <row r="119" spans="2:19" x14ac:dyDescent="0.25">
      <c r="S119" s="437"/>
    </row>
    <row r="120" spans="2:19" x14ac:dyDescent="0.25">
      <c r="S120" s="437"/>
    </row>
    <row r="121" spans="2:19" x14ac:dyDescent="0.25">
      <c r="S121" s="437"/>
    </row>
    <row r="122" spans="2:19" x14ac:dyDescent="0.25">
      <c r="S122" s="437"/>
    </row>
    <row r="123" spans="2:19" x14ac:dyDescent="0.25">
      <c r="S123" s="437"/>
    </row>
    <row r="124" spans="2:19" x14ac:dyDescent="0.25">
      <c r="S124" s="437"/>
    </row>
    <row r="125" spans="2:19" x14ac:dyDescent="0.25">
      <c r="S125" s="437"/>
    </row>
    <row r="126" spans="2:19" x14ac:dyDescent="0.25">
      <c r="S126" s="437"/>
    </row>
    <row r="127" spans="2:19" x14ac:dyDescent="0.25">
      <c r="S127" s="437"/>
    </row>
    <row r="128" spans="2:19" x14ac:dyDescent="0.25">
      <c r="S128" s="437"/>
    </row>
    <row r="129" spans="19:19" x14ac:dyDescent="0.25">
      <c r="S129" s="437"/>
    </row>
    <row r="130" spans="19:19" x14ac:dyDescent="0.25">
      <c r="S130" s="437"/>
    </row>
    <row r="131" spans="19:19" x14ac:dyDescent="0.25">
      <c r="S131" s="437"/>
    </row>
    <row r="132" spans="19:19" x14ac:dyDescent="0.25">
      <c r="S132" s="437"/>
    </row>
    <row r="133" spans="19:19" x14ac:dyDescent="0.25">
      <c r="S133" s="437"/>
    </row>
    <row r="134" spans="19:19" x14ac:dyDescent="0.25">
      <c r="S134" s="437"/>
    </row>
    <row r="135" spans="19:19" x14ac:dyDescent="0.25">
      <c r="S135" s="437"/>
    </row>
    <row r="136" spans="19:19" x14ac:dyDescent="0.25">
      <c r="S136" s="437"/>
    </row>
    <row r="137" spans="19:19" x14ac:dyDescent="0.25">
      <c r="S137" s="437"/>
    </row>
    <row r="138" spans="19:19" x14ac:dyDescent="0.25">
      <c r="S138" s="437"/>
    </row>
    <row r="139" spans="19:19" x14ac:dyDescent="0.25">
      <c r="S139" s="437"/>
    </row>
    <row r="140" spans="19:19" x14ac:dyDescent="0.25">
      <c r="S140" s="437"/>
    </row>
    <row r="141" spans="19:19" x14ac:dyDescent="0.25">
      <c r="S141" s="437"/>
    </row>
    <row r="142" spans="19:19" x14ac:dyDescent="0.25">
      <c r="S142" s="437"/>
    </row>
    <row r="143" spans="19:19" x14ac:dyDescent="0.25">
      <c r="S143" s="437"/>
    </row>
    <row r="144" spans="19:19" x14ac:dyDescent="0.25">
      <c r="S144" s="437"/>
    </row>
    <row r="145" spans="19:19" x14ac:dyDescent="0.25">
      <c r="S145" s="437"/>
    </row>
    <row r="146" spans="19:19" x14ac:dyDescent="0.25">
      <c r="S146" s="437"/>
    </row>
    <row r="147" spans="19:19" x14ac:dyDescent="0.25">
      <c r="S147" s="437"/>
    </row>
    <row r="148" spans="19:19" x14ac:dyDescent="0.25">
      <c r="S148" s="437"/>
    </row>
    <row r="149" spans="19:19" x14ac:dyDescent="0.25">
      <c r="S149" s="437"/>
    </row>
    <row r="150" spans="19:19" x14ac:dyDescent="0.25">
      <c r="S150" s="437"/>
    </row>
    <row r="151" spans="19:19" x14ac:dyDescent="0.25">
      <c r="S151" s="437"/>
    </row>
    <row r="152" spans="19:19" x14ac:dyDescent="0.25">
      <c r="S152" s="437"/>
    </row>
    <row r="153" spans="19:19" x14ac:dyDescent="0.25">
      <c r="S153" s="437"/>
    </row>
    <row r="154" spans="19:19" x14ac:dyDescent="0.25">
      <c r="S154" s="437"/>
    </row>
    <row r="155" spans="19:19" x14ac:dyDescent="0.25">
      <c r="S155" s="437"/>
    </row>
    <row r="156" spans="19:19" x14ac:dyDescent="0.25">
      <c r="S156" s="437"/>
    </row>
    <row r="157" spans="19:19" x14ac:dyDescent="0.25">
      <c r="S157" s="437"/>
    </row>
    <row r="158" spans="19:19" x14ac:dyDescent="0.25">
      <c r="S158" s="437"/>
    </row>
    <row r="159" spans="19:19" x14ac:dyDescent="0.25">
      <c r="S159" s="437"/>
    </row>
    <row r="160" spans="19:19" x14ac:dyDescent="0.25">
      <c r="S160" s="437"/>
    </row>
    <row r="161" spans="19:19" x14ac:dyDescent="0.25">
      <c r="S161" s="437"/>
    </row>
    <row r="162" spans="19:19" x14ac:dyDescent="0.25">
      <c r="S162" s="437"/>
    </row>
    <row r="163" spans="19:19" x14ac:dyDescent="0.25">
      <c r="S163" s="437"/>
    </row>
    <row r="164" spans="19:19" x14ac:dyDescent="0.25">
      <c r="S164" s="437"/>
    </row>
    <row r="165" spans="19:19" x14ac:dyDescent="0.25">
      <c r="S165" s="437"/>
    </row>
    <row r="166" spans="19:19" x14ac:dyDescent="0.25">
      <c r="S166" s="437"/>
    </row>
    <row r="167" spans="19:19" x14ac:dyDescent="0.25">
      <c r="S167" s="437"/>
    </row>
    <row r="168" spans="19:19" x14ac:dyDescent="0.25">
      <c r="S168" s="437"/>
    </row>
    <row r="169" spans="19:19" x14ac:dyDescent="0.25">
      <c r="S169" s="437"/>
    </row>
    <row r="170" spans="19:19" x14ac:dyDescent="0.25">
      <c r="S170" s="437"/>
    </row>
    <row r="171" spans="19:19" x14ac:dyDescent="0.25">
      <c r="S171" s="437"/>
    </row>
    <row r="172" spans="19:19" x14ac:dyDescent="0.25">
      <c r="S172" s="437"/>
    </row>
    <row r="173" spans="19:19" x14ac:dyDescent="0.25">
      <c r="S173" s="437"/>
    </row>
    <row r="174" spans="19:19" x14ac:dyDescent="0.25">
      <c r="S174" s="437"/>
    </row>
    <row r="175" spans="19:19" x14ac:dyDescent="0.25">
      <c r="S175" s="437"/>
    </row>
    <row r="176" spans="19:19" x14ac:dyDescent="0.25">
      <c r="S176" s="437"/>
    </row>
    <row r="177" spans="19:19" x14ac:dyDescent="0.25">
      <c r="S177" s="437"/>
    </row>
    <row r="178" spans="19:19" x14ac:dyDescent="0.25">
      <c r="S178" s="437"/>
    </row>
    <row r="179" spans="19:19" x14ac:dyDescent="0.25">
      <c r="S179" s="437"/>
    </row>
    <row r="180" spans="19:19" x14ac:dyDescent="0.25">
      <c r="S180" s="437"/>
    </row>
    <row r="181" spans="19:19" x14ac:dyDescent="0.25">
      <c r="S181" s="437"/>
    </row>
    <row r="182" spans="19:19" x14ac:dyDescent="0.25">
      <c r="S182" s="437"/>
    </row>
    <row r="183" spans="19:19" x14ac:dyDescent="0.25">
      <c r="S183" s="437"/>
    </row>
    <row r="184" spans="19:19" x14ac:dyDescent="0.25">
      <c r="S184" s="437"/>
    </row>
    <row r="185" spans="19:19" x14ac:dyDescent="0.25">
      <c r="S185" s="437"/>
    </row>
    <row r="186" spans="19:19" x14ac:dyDescent="0.25">
      <c r="S186" s="437"/>
    </row>
    <row r="187" spans="19:19" x14ac:dyDescent="0.25">
      <c r="S187" s="437"/>
    </row>
    <row r="188" spans="19:19" x14ac:dyDescent="0.25">
      <c r="S188" s="437"/>
    </row>
    <row r="189" spans="19:19" x14ac:dyDescent="0.25">
      <c r="S189" s="437"/>
    </row>
    <row r="190" spans="19:19" x14ac:dyDescent="0.25">
      <c r="S190" s="437"/>
    </row>
    <row r="191" spans="19:19" x14ac:dyDescent="0.25">
      <c r="S191" s="437"/>
    </row>
    <row r="192" spans="19:19" x14ac:dyDescent="0.25">
      <c r="S192" s="437"/>
    </row>
    <row r="193" spans="19:19" x14ac:dyDescent="0.25">
      <c r="S193" s="437"/>
    </row>
    <row r="194" spans="19:19" x14ac:dyDescent="0.25">
      <c r="S194" s="437"/>
    </row>
    <row r="195" spans="19:19" x14ac:dyDescent="0.25">
      <c r="S195" s="437"/>
    </row>
    <row r="196" spans="19:19" x14ac:dyDescent="0.25">
      <c r="S196" s="437"/>
    </row>
    <row r="197" spans="19:19" x14ac:dyDescent="0.25">
      <c r="S197" s="437"/>
    </row>
    <row r="198" spans="19:19" x14ac:dyDescent="0.25">
      <c r="S198" s="437"/>
    </row>
    <row r="199" spans="19:19" x14ac:dyDescent="0.25">
      <c r="S199" s="437"/>
    </row>
    <row r="200" spans="19:19" x14ac:dyDescent="0.25">
      <c r="S200" s="437"/>
    </row>
    <row r="201" spans="19:19" x14ac:dyDescent="0.25">
      <c r="S201" s="437"/>
    </row>
    <row r="202" spans="19:19" x14ac:dyDescent="0.25">
      <c r="S202" s="437"/>
    </row>
    <row r="203" spans="19:19" x14ac:dyDescent="0.25">
      <c r="S203" s="437"/>
    </row>
    <row r="204" spans="19:19" x14ac:dyDescent="0.25">
      <c r="S204" s="437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46" bestFit="1" customWidth="1"/>
    <col min="2" max="2" width="60.1640625" style="498" customWidth="1"/>
    <col min="3" max="3" width="0" style="535" hidden="1" customWidth="1"/>
    <col min="4" max="4" width="11.5" style="535" customWidth="1"/>
    <col min="5" max="5" width="17.5" style="535" customWidth="1"/>
    <col min="6" max="6" width="14.33203125" style="535" customWidth="1"/>
    <col min="7" max="7" width="17.5" style="535" customWidth="1"/>
    <col min="8" max="8" width="11.33203125" style="535" bestFit="1" customWidth="1"/>
    <col min="9" max="9" width="9.83203125" style="535" bestFit="1" customWidth="1"/>
    <col min="10" max="10" width="13.1640625" style="535" customWidth="1"/>
    <col min="11" max="11" width="18.6640625" style="535" customWidth="1"/>
    <col min="12" max="12" width="9.5" style="535" hidden="1" customWidth="1"/>
    <col min="13" max="13" width="18.83203125" style="535" customWidth="1"/>
    <col min="14" max="14" width="0" style="535" hidden="1" customWidth="1"/>
    <col min="15" max="15" width="16.83203125" style="535" customWidth="1"/>
    <col min="16" max="16" width="9.83203125" style="535" bestFit="1" customWidth="1"/>
    <col min="17" max="17" width="13.6640625" style="547" customWidth="1"/>
    <col min="18" max="16384" width="9.33203125" style="498"/>
  </cols>
  <sheetData>
    <row r="1" spans="1:17" x14ac:dyDescent="0.25">
      <c r="A1" s="1367" t="s">
        <v>699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  <c r="L1" s="1367"/>
      <c r="M1" s="1367"/>
      <c r="N1" s="1367"/>
      <c r="O1" s="1367"/>
      <c r="P1" s="1367"/>
      <c r="Q1" s="1367"/>
    </row>
    <row r="2" spans="1:17" x14ac:dyDescent="0.25">
      <c r="A2" s="1368" t="s">
        <v>700</v>
      </c>
      <c r="B2" s="1368"/>
      <c r="C2" s="1368"/>
      <c r="D2" s="1368"/>
      <c r="E2" s="1368"/>
      <c r="F2" s="1368"/>
      <c r="G2" s="1368"/>
      <c r="H2" s="1368"/>
      <c r="I2" s="1368"/>
      <c r="J2" s="1368"/>
      <c r="K2" s="545"/>
      <c r="L2" s="498"/>
      <c r="M2" s="498"/>
      <c r="N2" s="498"/>
      <c r="O2" s="498"/>
      <c r="P2" s="498"/>
      <c r="Q2" s="498"/>
    </row>
    <row r="4" spans="1:17" s="551" customFormat="1" x14ac:dyDescent="0.2">
      <c r="A4" s="548"/>
      <c r="B4" s="549" t="s">
        <v>12</v>
      </c>
      <c r="C4" s="550">
        <v>2011</v>
      </c>
      <c r="D4" s="1372" t="s">
        <v>476</v>
      </c>
      <c r="E4" s="1373"/>
      <c r="F4" s="1373"/>
      <c r="G4" s="1373"/>
      <c r="H4" s="1373"/>
      <c r="I4" s="1373"/>
      <c r="J4" s="1374"/>
      <c r="K4" s="1370" t="s">
        <v>477</v>
      </c>
      <c r="L4" s="1370"/>
      <c r="M4" s="1370"/>
      <c r="N4" s="1370"/>
      <c r="O4" s="1370"/>
      <c r="P4" s="1370"/>
      <c r="Q4" s="1371"/>
    </row>
    <row r="5" spans="1:17" s="551" customFormat="1" ht="75" x14ac:dyDescent="0.2">
      <c r="A5" s="552"/>
      <c r="B5" s="553"/>
      <c r="C5" s="550" t="s">
        <v>701</v>
      </c>
      <c r="D5" s="550" t="s">
        <v>454</v>
      </c>
      <c r="E5" s="448" t="s">
        <v>479</v>
      </c>
      <c r="F5" s="448" t="s">
        <v>480</v>
      </c>
      <c r="G5" s="448" t="s">
        <v>481</v>
      </c>
      <c r="H5" s="550" t="s">
        <v>452</v>
      </c>
      <c r="I5" s="550" t="s">
        <v>453</v>
      </c>
      <c r="J5" s="550" t="s">
        <v>936</v>
      </c>
      <c r="K5" s="448" t="s">
        <v>479</v>
      </c>
      <c r="L5" s="448" t="s">
        <v>480</v>
      </c>
      <c r="M5" s="448" t="s">
        <v>481</v>
      </c>
      <c r="N5" s="550" t="s">
        <v>452</v>
      </c>
      <c r="O5" s="448" t="s">
        <v>697</v>
      </c>
      <c r="P5" s="550" t="s">
        <v>453</v>
      </c>
      <c r="Q5" s="450" t="s">
        <v>936</v>
      </c>
    </row>
    <row r="6" spans="1:17" x14ac:dyDescent="0.25">
      <c r="A6" s="554">
        <v>1</v>
      </c>
      <c r="B6" s="555" t="s">
        <v>702</v>
      </c>
      <c r="C6" s="467"/>
      <c r="D6" s="454">
        <v>37307.510999999999</v>
      </c>
      <c r="E6" s="454">
        <v>9658.8590000000004</v>
      </c>
      <c r="F6" s="454">
        <v>6776.4070000000002</v>
      </c>
      <c r="G6" s="454">
        <v>580.88199999999995</v>
      </c>
      <c r="H6" s="454">
        <v>10415.591</v>
      </c>
      <c r="I6" s="454">
        <v>33870.446999999993</v>
      </c>
      <c r="J6" s="454">
        <v>98609.696999999986</v>
      </c>
      <c r="K6" s="456">
        <v>30313.200000000001</v>
      </c>
      <c r="L6" s="456">
        <v>0</v>
      </c>
      <c r="M6" s="456">
        <v>2307.6</v>
      </c>
      <c r="N6" s="456">
        <v>14015.82</v>
      </c>
      <c r="O6" s="456">
        <v>14015.82</v>
      </c>
      <c r="P6" s="456">
        <v>32068.795000000002</v>
      </c>
      <c r="Q6" s="457">
        <v>78705.415000000008</v>
      </c>
    </row>
    <row r="7" spans="1:17" x14ac:dyDescent="0.25">
      <c r="A7" s="556">
        <v>2</v>
      </c>
      <c r="B7" s="557" t="s">
        <v>703</v>
      </c>
      <c r="C7" s="467"/>
      <c r="D7" s="454">
        <v>10871.213</v>
      </c>
      <c r="E7" s="454">
        <v>1885.702</v>
      </c>
      <c r="F7" s="454">
        <v>2102.7359999999999</v>
      </c>
      <c r="G7" s="454">
        <v>310.26400000000001</v>
      </c>
      <c r="H7" s="454">
        <v>4687.991</v>
      </c>
      <c r="I7" s="454">
        <v>9168.5529999999999</v>
      </c>
      <c r="J7" s="454">
        <v>29026.458999999995</v>
      </c>
      <c r="K7" s="456">
        <v>4347</v>
      </c>
      <c r="L7" s="456">
        <v>0</v>
      </c>
      <c r="M7" s="456">
        <v>480</v>
      </c>
      <c r="N7" s="456">
        <v>6303.9009999999998</v>
      </c>
      <c r="O7" s="456">
        <v>6303.9009999999998</v>
      </c>
      <c r="P7" s="456">
        <v>5704.558</v>
      </c>
      <c r="Q7" s="457">
        <v>16835.459000000003</v>
      </c>
    </row>
    <row r="8" spans="1:17" s="536" customFormat="1" x14ac:dyDescent="0.25">
      <c r="A8" s="556">
        <v>3</v>
      </c>
      <c r="B8" s="557" t="s">
        <v>704</v>
      </c>
      <c r="C8" s="467"/>
      <c r="D8" s="454">
        <v>321.15600000000001</v>
      </c>
      <c r="E8" s="454">
        <v>92</v>
      </c>
      <c r="F8" s="454">
        <v>818.31099999999992</v>
      </c>
      <c r="G8" s="454">
        <v>523.02099999999996</v>
      </c>
      <c r="H8" s="454">
        <v>3153.4</v>
      </c>
      <c r="I8" s="454">
        <v>1370.0910000000001</v>
      </c>
      <c r="J8" s="454">
        <v>6277.9790000000003</v>
      </c>
      <c r="K8" s="456">
        <v>276</v>
      </c>
      <c r="L8" s="456">
        <v>0</v>
      </c>
      <c r="M8" s="456">
        <v>926.4</v>
      </c>
      <c r="N8" s="456">
        <v>2087.1</v>
      </c>
      <c r="O8" s="456">
        <v>2087.1</v>
      </c>
      <c r="P8" s="456">
        <v>0</v>
      </c>
      <c r="Q8" s="457">
        <v>3289.5000000000005</v>
      </c>
    </row>
    <row r="9" spans="1:17" s="536" customFormat="1" x14ac:dyDescent="0.25">
      <c r="A9" s="468">
        <v>4</v>
      </c>
      <c r="B9" s="469" t="s">
        <v>705</v>
      </c>
      <c r="C9" s="558">
        <v>0</v>
      </c>
      <c r="D9" s="558">
        <v>48499.880000000005</v>
      </c>
      <c r="E9" s="558">
        <v>11636.561</v>
      </c>
      <c r="F9" s="558">
        <v>9697.4539999999997</v>
      </c>
      <c r="G9" s="558">
        <v>1414.1669999999999</v>
      </c>
      <c r="H9" s="558">
        <v>18256.982</v>
      </c>
      <c r="I9" s="558">
        <v>44409.090999999993</v>
      </c>
      <c r="J9" s="558">
        <v>133914.13500000001</v>
      </c>
      <c r="K9" s="558">
        <v>34936.199999999997</v>
      </c>
      <c r="L9" s="558">
        <v>0</v>
      </c>
      <c r="M9" s="558">
        <v>3714</v>
      </c>
      <c r="N9" s="558">
        <v>22406.820999999996</v>
      </c>
      <c r="O9" s="558">
        <v>22406.820999999996</v>
      </c>
      <c r="P9" s="558">
        <v>37773.353000000003</v>
      </c>
      <c r="Q9" s="558">
        <v>98830.373999999996</v>
      </c>
    </row>
    <row r="10" spans="1:17" s="536" customFormat="1" x14ac:dyDescent="0.25">
      <c r="A10" s="468">
        <v>5</v>
      </c>
      <c r="B10" s="469" t="s">
        <v>706</v>
      </c>
      <c r="C10" s="558"/>
      <c r="D10" s="558">
        <v>13945.891</v>
      </c>
      <c r="E10" s="558">
        <v>3062.3130000000001</v>
      </c>
      <c r="F10" s="558">
        <v>2452.9369999999999</v>
      </c>
      <c r="G10" s="558">
        <v>376.512</v>
      </c>
      <c r="H10" s="558">
        <v>4427.0889999999999</v>
      </c>
      <c r="I10" s="558">
        <v>11635.154999999999</v>
      </c>
      <c r="J10" s="558">
        <v>35899.896999999997</v>
      </c>
      <c r="K10" s="558">
        <v>10275.744000000001</v>
      </c>
      <c r="L10" s="558">
        <v>0</v>
      </c>
      <c r="M10" s="558">
        <v>1002.7800000000001</v>
      </c>
      <c r="N10" s="558">
        <v>6030.1790000000001</v>
      </c>
      <c r="O10" s="558">
        <v>6030.1790000000001</v>
      </c>
      <c r="P10" s="558">
        <v>9264.7510000000002</v>
      </c>
      <c r="Q10" s="558">
        <v>26573.454000000002</v>
      </c>
    </row>
    <row r="11" spans="1:17" s="559" customFormat="1" x14ac:dyDescent="0.2">
      <c r="A11" s="468">
        <v>6</v>
      </c>
      <c r="B11" s="469" t="s">
        <v>707</v>
      </c>
      <c r="C11" s="558">
        <v>0</v>
      </c>
      <c r="D11" s="558">
        <v>15676.251</v>
      </c>
      <c r="E11" s="558">
        <v>6338.8120000000008</v>
      </c>
      <c r="F11" s="558">
        <v>3552.2360000000003</v>
      </c>
      <c r="G11" s="558">
        <v>2335.3100000000004</v>
      </c>
      <c r="H11" s="558">
        <v>35830.889000000003</v>
      </c>
      <c r="I11" s="558">
        <v>7111.4290000000001</v>
      </c>
      <c r="J11" s="558">
        <v>70844.927000000011</v>
      </c>
      <c r="K11" s="558">
        <v>19973.105209599998</v>
      </c>
      <c r="L11" s="558">
        <v>10197.028188976377</v>
      </c>
      <c r="M11" s="558">
        <v>2497.6275000000001</v>
      </c>
      <c r="N11" s="558">
        <v>27951.150711220471</v>
      </c>
      <c r="O11" s="558">
        <v>38148.17890019685</v>
      </c>
      <c r="P11" s="558">
        <v>11774.928659000001</v>
      </c>
      <c r="Q11" s="558">
        <v>72393.840268796834</v>
      </c>
    </row>
    <row r="12" spans="1:17" x14ac:dyDescent="0.25">
      <c r="A12" s="560">
        <v>7</v>
      </c>
      <c r="B12" s="561" t="s">
        <v>708</v>
      </c>
      <c r="C12" s="467">
        <v>0</v>
      </c>
      <c r="D12" s="454">
        <v>275.70100000000002</v>
      </c>
      <c r="E12" s="454">
        <v>638.84199999999998</v>
      </c>
      <c r="F12" s="454">
        <v>470.01000000000005</v>
      </c>
      <c r="G12" s="454">
        <v>77.579000000000008</v>
      </c>
      <c r="H12" s="454">
        <v>2146.5930000000003</v>
      </c>
      <c r="I12" s="454">
        <v>1341.011</v>
      </c>
      <c r="J12" s="454">
        <v>4949.7360000000008</v>
      </c>
      <c r="K12" s="456">
        <v>745</v>
      </c>
      <c r="L12" s="456">
        <v>660</v>
      </c>
      <c r="M12" s="456">
        <v>200</v>
      </c>
      <c r="N12" s="456">
        <v>2282</v>
      </c>
      <c r="O12" s="456">
        <v>2942</v>
      </c>
      <c r="P12" s="456">
        <v>1969</v>
      </c>
      <c r="Q12" s="457">
        <v>5856</v>
      </c>
    </row>
    <row r="13" spans="1:17" x14ac:dyDescent="0.25">
      <c r="A13" s="562">
        <v>8</v>
      </c>
      <c r="B13" s="563" t="s">
        <v>709</v>
      </c>
      <c r="C13" s="467"/>
      <c r="D13" s="454">
        <v>0</v>
      </c>
      <c r="E13" s="454">
        <v>0</v>
      </c>
      <c r="F13" s="454">
        <v>0</v>
      </c>
      <c r="G13" s="454">
        <v>0</v>
      </c>
      <c r="H13" s="454">
        <v>0</v>
      </c>
      <c r="I13" s="454">
        <v>0</v>
      </c>
      <c r="J13" s="454">
        <v>0</v>
      </c>
      <c r="K13" s="456">
        <v>0</v>
      </c>
      <c r="L13" s="456">
        <v>0</v>
      </c>
      <c r="M13" s="456">
        <v>0</v>
      </c>
      <c r="N13" s="456">
        <v>0</v>
      </c>
      <c r="O13" s="456">
        <v>0</v>
      </c>
      <c r="P13" s="456">
        <v>0</v>
      </c>
      <c r="Q13" s="457">
        <v>0</v>
      </c>
    </row>
    <row r="14" spans="1:17" x14ac:dyDescent="0.25">
      <c r="A14" s="562">
        <v>9</v>
      </c>
      <c r="B14" s="563" t="s">
        <v>455</v>
      </c>
      <c r="C14" s="467"/>
      <c r="D14" s="454">
        <v>3.9</v>
      </c>
      <c r="E14" s="454">
        <v>0</v>
      </c>
      <c r="F14" s="454">
        <v>0</v>
      </c>
      <c r="G14" s="454">
        <v>0</v>
      </c>
      <c r="H14" s="454">
        <v>57.414999999999999</v>
      </c>
      <c r="I14" s="454">
        <v>0</v>
      </c>
      <c r="J14" s="454">
        <v>61.314999999999998</v>
      </c>
      <c r="K14" s="456">
        <v>5</v>
      </c>
      <c r="L14" s="456">
        <v>10</v>
      </c>
      <c r="M14" s="456">
        <v>0</v>
      </c>
      <c r="N14" s="456">
        <v>150</v>
      </c>
      <c r="O14" s="456">
        <v>160</v>
      </c>
      <c r="P14" s="456">
        <v>0</v>
      </c>
      <c r="Q14" s="457">
        <v>165</v>
      </c>
    </row>
    <row r="15" spans="1:17" x14ac:dyDescent="0.25">
      <c r="A15" s="562">
        <v>10</v>
      </c>
      <c r="B15" s="563" t="s">
        <v>456</v>
      </c>
      <c r="C15" s="467"/>
      <c r="D15" s="454">
        <v>0</v>
      </c>
      <c r="E15" s="454">
        <v>0</v>
      </c>
      <c r="F15" s="454">
        <v>0</v>
      </c>
      <c r="G15" s="454">
        <v>17.811</v>
      </c>
      <c r="H15" s="454">
        <v>3.3050000000000002</v>
      </c>
      <c r="I15" s="454">
        <v>0</v>
      </c>
      <c r="J15" s="454">
        <v>21.116</v>
      </c>
      <c r="K15" s="456">
        <v>0</v>
      </c>
      <c r="L15" s="456">
        <v>0</v>
      </c>
      <c r="M15" s="456">
        <v>0</v>
      </c>
      <c r="N15" s="456">
        <v>0</v>
      </c>
      <c r="O15" s="456">
        <v>0</v>
      </c>
      <c r="P15" s="456">
        <v>0</v>
      </c>
      <c r="Q15" s="457">
        <v>0</v>
      </c>
    </row>
    <row r="16" spans="1:17" s="461" customFormat="1" x14ac:dyDescent="0.25">
      <c r="A16" s="564">
        <v>11</v>
      </c>
      <c r="B16" s="565" t="s">
        <v>710</v>
      </c>
      <c r="C16" s="460"/>
      <c r="D16" s="454">
        <v>96.269000000000005</v>
      </c>
      <c r="E16" s="454">
        <v>22.527999999999999</v>
      </c>
      <c r="F16" s="454">
        <v>15.244</v>
      </c>
      <c r="G16" s="454">
        <v>24.071000000000002</v>
      </c>
      <c r="H16" s="454">
        <v>249.023</v>
      </c>
      <c r="I16" s="454">
        <v>585.18299999999999</v>
      </c>
      <c r="J16" s="454">
        <v>992.31799999999998</v>
      </c>
      <c r="K16" s="456">
        <v>45</v>
      </c>
      <c r="L16" s="456">
        <v>100</v>
      </c>
      <c r="M16" s="456">
        <v>50</v>
      </c>
      <c r="N16" s="456">
        <v>50</v>
      </c>
      <c r="O16" s="456">
        <v>150</v>
      </c>
      <c r="P16" s="456">
        <v>849</v>
      </c>
      <c r="Q16" s="457">
        <v>1094</v>
      </c>
    </row>
    <row r="17" spans="1:17" x14ac:dyDescent="0.25">
      <c r="A17" s="562">
        <v>12</v>
      </c>
      <c r="B17" s="563" t="s">
        <v>711</v>
      </c>
      <c r="C17" s="467"/>
      <c r="D17" s="454">
        <v>0</v>
      </c>
      <c r="E17" s="454">
        <v>0</v>
      </c>
      <c r="F17" s="454">
        <v>381.88099999999997</v>
      </c>
      <c r="G17" s="454">
        <v>0</v>
      </c>
      <c r="H17" s="454">
        <v>3.343</v>
      </c>
      <c r="I17" s="454">
        <v>0</v>
      </c>
      <c r="J17" s="454">
        <v>385.22399999999999</v>
      </c>
      <c r="K17" s="456">
        <v>0</v>
      </c>
      <c r="L17" s="456">
        <v>0</v>
      </c>
      <c r="M17" s="456">
        <v>0</v>
      </c>
      <c r="N17" s="456">
        <v>12</v>
      </c>
      <c r="O17" s="456">
        <v>12</v>
      </c>
      <c r="P17" s="456">
        <v>100</v>
      </c>
      <c r="Q17" s="457">
        <v>112</v>
      </c>
    </row>
    <row r="18" spans="1:17" x14ac:dyDescent="0.25">
      <c r="A18" s="562">
        <v>13</v>
      </c>
      <c r="B18" s="563" t="s">
        <v>712</v>
      </c>
      <c r="C18" s="467"/>
      <c r="D18" s="454">
        <v>0</v>
      </c>
      <c r="E18" s="454">
        <v>0</v>
      </c>
      <c r="F18" s="454">
        <v>35.5</v>
      </c>
      <c r="G18" s="454">
        <v>0</v>
      </c>
      <c r="H18" s="454">
        <v>0</v>
      </c>
      <c r="I18" s="454">
        <v>0</v>
      </c>
      <c r="J18" s="454">
        <v>35.5</v>
      </c>
      <c r="K18" s="456">
        <v>60</v>
      </c>
      <c r="L18" s="456">
        <v>0</v>
      </c>
      <c r="M18" s="456">
        <v>0</v>
      </c>
      <c r="N18" s="456">
        <v>0</v>
      </c>
      <c r="O18" s="456">
        <v>0</v>
      </c>
      <c r="P18" s="456">
        <v>0</v>
      </c>
      <c r="Q18" s="457">
        <v>60</v>
      </c>
    </row>
    <row r="19" spans="1:17" x14ac:dyDescent="0.25">
      <c r="A19" s="562">
        <v>14</v>
      </c>
      <c r="B19" s="563" t="s">
        <v>713</v>
      </c>
      <c r="C19" s="467"/>
      <c r="D19" s="454">
        <v>0</v>
      </c>
      <c r="E19" s="454">
        <v>0</v>
      </c>
      <c r="F19" s="454">
        <v>0</v>
      </c>
      <c r="G19" s="454">
        <v>0</v>
      </c>
      <c r="H19" s="454">
        <v>0</v>
      </c>
      <c r="I19" s="454">
        <v>206.1</v>
      </c>
      <c r="J19" s="454">
        <v>206.1</v>
      </c>
      <c r="K19" s="456">
        <v>0</v>
      </c>
      <c r="L19" s="456">
        <v>0</v>
      </c>
      <c r="M19" s="456">
        <v>0</v>
      </c>
      <c r="N19" s="456">
        <v>0</v>
      </c>
      <c r="O19" s="456">
        <v>0</v>
      </c>
      <c r="P19" s="456">
        <v>170</v>
      </c>
      <c r="Q19" s="457">
        <v>170</v>
      </c>
    </row>
    <row r="20" spans="1:17" x14ac:dyDescent="0.25">
      <c r="A20" s="562">
        <v>15</v>
      </c>
      <c r="B20" s="563" t="s">
        <v>714</v>
      </c>
      <c r="C20" s="467"/>
      <c r="D20" s="454">
        <v>0</v>
      </c>
      <c r="E20" s="454">
        <v>0</v>
      </c>
      <c r="F20" s="454">
        <v>0</v>
      </c>
      <c r="G20" s="454">
        <v>0</v>
      </c>
      <c r="H20" s="454">
        <v>0</v>
      </c>
      <c r="I20" s="454">
        <v>0</v>
      </c>
      <c r="J20" s="454">
        <v>0</v>
      </c>
      <c r="K20" s="456">
        <v>0</v>
      </c>
      <c r="L20" s="456">
        <v>0</v>
      </c>
      <c r="M20" s="456">
        <v>0</v>
      </c>
      <c r="N20" s="456">
        <v>0</v>
      </c>
      <c r="O20" s="456">
        <v>0</v>
      </c>
      <c r="P20" s="456">
        <v>0</v>
      </c>
      <c r="Q20" s="457">
        <v>0</v>
      </c>
    </row>
    <row r="21" spans="1:17" x14ac:dyDescent="0.25">
      <c r="A21" s="562">
        <v>16</v>
      </c>
      <c r="B21" s="563" t="s">
        <v>715</v>
      </c>
      <c r="C21" s="467"/>
      <c r="D21" s="454">
        <v>0</v>
      </c>
      <c r="E21" s="454">
        <v>0</v>
      </c>
      <c r="F21" s="454">
        <v>0</v>
      </c>
      <c r="G21" s="454">
        <v>0</v>
      </c>
      <c r="H21" s="454">
        <v>782.96799999999996</v>
      </c>
      <c r="I21" s="454">
        <v>0</v>
      </c>
      <c r="J21" s="454">
        <v>782.96799999999996</v>
      </c>
      <c r="K21" s="456">
        <v>0</v>
      </c>
      <c r="L21" s="456">
        <v>0</v>
      </c>
      <c r="M21" s="456">
        <v>0</v>
      </c>
      <c r="N21" s="456">
        <v>900</v>
      </c>
      <c r="O21" s="456">
        <v>900</v>
      </c>
      <c r="P21" s="456">
        <v>0</v>
      </c>
      <c r="Q21" s="457">
        <v>900</v>
      </c>
    </row>
    <row r="22" spans="1:17" x14ac:dyDescent="0.25">
      <c r="A22" s="562">
        <v>17</v>
      </c>
      <c r="B22" s="563" t="s">
        <v>457</v>
      </c>
      <c r="C22" s="467"/>
      <c r="D22" s="454">
        <v>107.072</v>
      </c>
      <c r="E22" s="454">
        <v>88.415999999999997</v>
      </c>
      <c r="F22" s="454">
        <v>2.0710000000000002</v>
      </c>
      <c r="G22" s="454">
        <v>0</v>
      </c>
      <c r="H22" s="454">
        <v>201.38</v>
      </c>
      <c r="I22" s="454">
        <v>0</v>
      </c>
      <c r="J22" s="454">
        <v>398.93899999999996</v>
      </c>
      <c r="K22" s="456">
        <v>300</v>
      </c>
      <c r="L22" s="456">
        <v>400</v>
      </c>
      <c r="M22" s="456">
        <v>0</v>
      </c>
      <c r="N22" s="456">
        <v>100</v>
      </c>
      <c r="O22" s="456">
        <v>500</v>
      </c>
      <c r="P22" s="456">
        <v>0</v>
      </c>
      <c r="Q22" s="457">
        <v>800</v>
      </c>
    </row>
    <row r="23" spans="1:17" ht="25.5" x14ac:dyDescent="0.25">
      <c r="A23" s="562">
        <v>18</v>
      </c>
      <c r="B23" s="563" t="s">
        <v>716</v>
      </c>
      <c r="C23" s="467"/>
      <c r="D23" s="454">
        <v>15.717000000000001</v>
      </c>
      <c r="E23" s="454">
        <v>180.34899999999999</v>
      </c>
      <c r="F23" s="454">
        <v>0</v>
      </c>
      <c r="G23" s="454">
        <v>22</v>
      </c>
      <c r="H23" s="454">
        <v>40.271999999999998</v>
      </c>
      <c r="I23" s="454">
        <v>84.063000000000002</v>
      </c>
      <c r="J23" s="454">
        <v>342.40100000000001</v>
      </c>
      <c r="K23" s="456">
        <v>120</v>
      </c>
      <c r="L23" s="456">
        <v>0</v>
      </c>
      <c r="M23" s="456">
        <v>100</v>
      </c>
      <c r="N23" s="456">
        <v>60</v>
      </c>
      <c r="O23" s="456">
        <v>60</v>
      </c>
      <c r="P23" s="456">
        <v>200</v>
      </c>
      <c r="Q23" s="457">
        <v>480</v>
      </c>
    </row>
    <row r="24" spans="1:17" ht="25.5" x14ac:dyDescent="0.25">
      <c r="A24" s="562">
        <v>19</v>
      </c>
      <c r="B24" s="563" t="s">
        <v>717</v>
      </c>
      <c r="C24" s="467"/>
      <c r="D24" s="454">
        <v>0</v>
      </c>
      <c r="E24" s="454">
        <v>0</v>
      </c>
      <c r="F24" s="454">
        <v>0</v>
      </c>
      <c r="G24" s="454">
        <v>0</v>
      </c>
      <c r="H24" s="454">
        <v>67.545000000000002</v>
      </c>
      <c r="I24" s="454">
        <v>0</v>
      </c>
      <c r="J24" s="454">
        <v>67.545000000000002</v>
      </c>
      <c r="K24" s="456">
        <v>0</v>
      </c>
      <c r="L24" s="456">
        <v>0</v>
      </c>
      <c r="M24" s="456">
        <v>0</v>
      </c>
      <c r="N24" s="456">
        <v>150</v>
      </c>
      <c r="O24" s="456">
        <v>150</v>
      </c>
      <c r="P24" s="456">
        <v>0</v>
      </c>
      <c r="Q24" s="457">
        <v>150</v>
      </c>
    </row>
    <row r="25" spans="1:17" x14ac:dyDescent="0.25">
      <c r="A25" s="562">
        <v>20</v>
      </c>
      <c r="B25" s="563" t="s">
        <v>718</v>
      </c>
      <c r="C25" s="467"/>
      <c r="D25" s="454">
        <v>52.742999999999995</v>
      </c>
      <c r="E25" s="454">
        <v>347.54899999999998</v>
      </c>
      <c r="F25" s="454">
        <v>35.314</v>
      </c>
      <c r="G25" s="454">
        <v>13.696999999999999</v>
      </c>
      <c r="H25" s="454">
        <v>741.34199999999998</v>
      </c>
      <c r="I25" s="454">
        <v>465.66500000000002</v>
      </c>
      <c r="J25" s="454">
        <v>1656.31</v>
      </c>
      <c r="K25" s="456">
        <v>215</v>
      </c>
      <c r="L25" s="456">
        <v>150</v>
      </c>
      <c r="M25" s="456">
        <v>50</v>
      </c>
      <c r="N25" s="456">
        <v>860</v>
      </c>
      <c r="O25" s="456">
        <v>1010</v>
      </c>
      <c r="P25" s="456">
        <v>650</v>
      </c>
      <c r="Q25" s="457">
        <v>1925</v>
      </c>
    </row>
    <row r="26" spans="1:17" x14ac:dyDescent="0.25">
      <c r="A26" s="560">
        <v>21</v>
      </c>
      <c r="B26" s="561" t="s">
        <v>719</v>
      </c>
      <c r="C26" s="467">
        <v>0</v>
      </c>
      <c r="D26" s="454">
        <v>192.25800000000001</v>
      </c>
      <c r="E26" s="454">
        <v>62.027000000000001</v>
      </c>
      <c r="F26" s="454">
        <v>28.827999999999999</v>
      </c>
      <c r="G26" s="454">
        <v>64.864000000000004</v>
      </c>
      <c r="H26" s="454">
        <v>372.27600000000001</v>
      </c>
      <c r="I26" s="454">
        <v>1051.4829999999999</v>
      </c>
      <c r="J26" s="454">
        <v>1771.7359999999999</v>
      </c>
      <c r="K26" s="456">
        <v>157.35009359999998</v>
      </c>
      <c r="L26" s="456">
        <v>73.131</v>
      </c>
      <c r="M26" s="456">
        <v>164</v>
      </c>
      <c r="N26" s="456">
        <v>649</v>
      </c>
      <c r="O26" s="456">
        <v>722.13099999999997</v>
      </c>
      <c r="P26" s="456">
        <v>685.40300000000002</v>
      </c>
      <c r="Q26" s="457">
        <v>1728.8840936000001</v>
      </c>
    </row>
    <row r="27" spans="1:17" x14ac:dyDescent="0.25">
      <c r="A27" s="562">
        <v>22</v>
      </c>
      <c r="B27" s="563" t="s">
        <v>720</v>
      </c>
      <c r="C27" s="467"/>
      <c r="D27" s="454">
        <v>73.188000000000002</v>
      </c>
      <c r="E27" s="454">
        <v>11.914999999999999</v>
      </c>
      <c r="F27" s="454">
        <v>28.827999999999999</v>
      </c>
      <c r="G27" s="454">
        <v>23.106000000000002</v>
      </c>
      <c r="H27" s="454">
        <v>-2.214</v>
      </c>
      <c r="I27" s="454">
        <v>1041.643</v>
      </c>
      <c r="J27" s="454">
        <v>1176.4660000000001</v>
      </c>
      <c r="K27" s="456">
        <v>30.225971999999999</v>
      </c>
      <c r="L27" s="456">
        <v>73.131</v>
      </c>
      <c r="M27" s="456">
        <v>50</v>
      </c>
      <c r="N27" s="456">
        <v>0</v>
      </c>
      <c r="O27" s="456">
        <v>73.131</v>
      </c>
      <c r="P27" s="456">
        <v>618.34699999999998</v>
      </c>
      <c r="Q27" s="457">
        <v>771.70397200000002</v>
      </c>
    </row>
    <row r="28" spans="1:17" x14ac:dyDescent="0.25">
      <c r="A28" s="562">
        <v>23</v>
      </c>
      <c r="B28" s="563" t="s">
        <v>721</v>
      </c>
      <c r="C28" s="467"/>
      <c r="D28" s="454">
        <v>85.066000000000003</v>
      </c>
      <c r="E28" s="454">
        <v>50.112000000000002</v>
      </c>
      <c r="F28" s="454">
        <v>0</v>
      </c>
      <c r="G28" s="454">
        <v>41.758000000000003</v>
      </c>
      <c r="H28" s="454">
        <v>0</v>
      </c>
      <c r="I28" s="454">
        <v>9.84</v>
      </c>
      <c r="J28" s="454">
        <v>186.77600000000001</v>
      </c>
      <c r="K28" s="456">
        <v>127.12412159999998</v>
      </c>
      <c r="L28" s="456">
        <v>0</v>
      </c>
      <c r="M28" s="456">
        <v>114</v>
      </c>
      <c r="N28" s="456">
        <v>105</v>
      </c>
      <c r="O28" s="456">
        <v>105</v>
      </c>
      <c r="P28" s="456">
        <v>67.055999999999997</v>
      </c>
      <c r="Q28" s="457">
        <v>413.18012160000001</v>
      </c>
    </row>
    <row r="29" spans="1:17" x14ac:dyDescent="0.25">
      <c r="A29" s="562">
        <v>24</v>
      </c>
      <c r="B29" s="563" t="s">
        <v>722</v>
      </c>
      <c r="C29" s="467"/>
      <c r="D29" s="454">
        <v>34.003999999999998</v>
      </c>
      <c r="E29" s="454">
        <v>0</v>
      </c>
      <c r="F29" s="454">
        <v>0</v>
      </c>
      <c r="G29" s="454">
        <v>0</v>
      </c>
      <c r="H29" s="454">
        <v>374.49</v>
      </c>
      <c r="I29" s="454">
        <v>0</v>
      </c>
      <c r="J29" s="454">
        <v>408.49400000000003</v>
      </c>
      <c r="K29" s="456">
        <v>0</v>
      </c>
      <c r="L29" s="456">
        <v>0</v>
      </c>
      <c r="M29" s="456">
        <v>0</v>
      </c>
      <c r="N29" s="456">
        <v>544</v>
      </c>
      <c r="O29" s="456">
        <v>544</v>
      </c>
      <c r="P29" s="456">
        <v>0</v>
      </c>
      <c r="Q29" s="457">
        <v>544</v>
      </c>
    </row>
    <row r="30" spans="1:17" x14ac:dyDescent="0.25">
      <c r="A30" s="560">
        <v>25</v>
      </c>
      <c r="B30" s="561" t="s">
        <v>723</v>
      </c>
      <c r="C30" s="467">
        <v>0</v>
      </c>
      <c r="D30" s="454">
        <v>15169.269999999999</v>
      </c>
      <c r="E30" s="454">
        <v>5606.3610000000008</v>
      </c>
      <c r="F30" s="454">
        <v>3053.3980000000001</v>
      </c>
      <c r="G30" s="454">
        <v>2192.8670000000002</v>
      </c>
      <c r="H30" s="454">
        <v>23636.494000000002</v>
      </c>
      <c r="I30" s="454">
        <v>4385.1760000000004</v>
      </c>
      <c r="J30" s="454">
        <v>54043.565999999999</v>
      </c>
      <c r="K30" s="456">
        <v>18870.755116</v>
      </c>
      <c r="L30" s="456">
        <v>9463.8971889763779</v>
      </c>
      <c r="M30" s="456">
        <v>2133.6275000000001</v>
      </c>
      <c r="N30" s="456">
        <v>18217.598711220471</v>
      </c>
      <c r="O30" s="456">
        <v>27681.495900196849</v>
      </c>
      <c r="P30" s="456">
        <v>7640.5256589999999</v>
      </c>
      <c r="Q30" s="457">
        <v>56326.404175196847</v>
      </c>
    </row>
    <row r="31" spans="1:17" x14ac:dyDescent="0.25">
      <c r="A31" s="562">
        <v>26</v>
      </c>
      <c r="B31" s="563" t="s">
        <v>458</v>
      </c>
      <c r="C31" s="467"/>
      <c r="D31" s="454">
        <v>11101.998</v>
      </c>
      <c r="E31" s="454">
        <v>4900.027</v>
      </c>
      <c r="F31" s="454">
        <v>1848.883</v>
      </c>
      <c r="G31" s="454">
        <v>0</v>
      </c>
      <c r="H31" s="454">
        <v>0</v>
      </c>
      <c r="I31" s="454">
        <v>0</v>
      </c>
      <c r="J31" s="454">
        <v>17850.907999999999</v>
      </c>
      <c r="K31" s="456">
        <v>14126.425999999999</v>
      </c>
      <c r="L31" s="456">
        <v>5519.4089999999997</v>
      </c>
      <c r="M31" s="456">
        <v>0</v>
      </c>
      <c r="N31" s="456">
        <v>0</v>
      </c>
      <c r="O31" s="456">
        <v>5519.4089999999997</v>
      </c>
      <c r="P31" s="456">
        <v>0</v>
      </c>
      <c r="Q31" s="457">
        <v>19645.834999999999</v>
      </c>
    </row>
    <row r="32" spans="1:17" s="461" customFormat="1" x14ac:dyDescent="0.25">
      <c r="A32" s="564">
        <v>27</v>
      </c>
      <c r="B32" s="565" t="s">
        <v>724</v>
      </c>
      <c r="C32" s="460"/>
      <c r="D32" s="454">
        <v>0</v>
      </c>
      <c r="E32" s="454">
        <v>10.894</v>
      </c>
      <c r="F32" s="454">
        <v>0</v>
      </c>
      <c r="G32" s="454">
        <v>0</v>
      </c>
      <c r="H32" s="454">
        <v>2938.3720000000003</v>
      </c>
      <c r="I32" s="454">
        <v>185.5</v>
      </c>
      <c r="J32" s="454">
        <v>3134.7660000000001</v>
      </c>
      <c r="K32" s="456">
        <v>96</v>
      </c>
      <c r="L32" s="456">
        <v>0</v>
      </c>
      <c r="M32" s="456">
        <v>0</v>
      </c>
      <c r="N32" s="456">
        <v>2471.94</v>
      </c>
      <c r="O32" s="456">
        <v>2471.94</v>
      </c>
      <c r="P32" s="456">
        <v>291</v>
      </c>
      <c r="Q32" s="457">
        <v>2858.94</v>
      </c>
    </row>
    <row r="33" spans="1:17" x14ac:dyDescent="0.25">
      <c r="A33" s="562">
        <v>28</v>
      </c>
      <c r="B33" s="563" t="s">
        <v>725</v>
      </c>
      <c r="C33" s="467"/>
      <c r="D33" s="454">
        <v>0</v>
      </c>
      <c r="E33" s="454">
        <v>0</v>
      </c>
      <c r="F33" s="454">
        <v>0</v>
      </c>
      <c r="G33" s="454">
        <v>0</v>
      </c>
      <c r="H33" s="454">
        <v>31.187999999999999</v>
      </c>
      <c r="I33" s="454">
        <v>5.3</v>
      </c>
      <c r="J33" s="454">
        <v>36.488</v>
      </c>
      <c r="K33" s="456">
        <v>0</v>
      </c>
      <c r="L33" s="456">
        <v>0</v>
      </c>
      <c r="M33" s="456">
        <v>0</v>
      </c>
      <c r="N33" s="456">
        <v>400</v>
      </c>
      <c r="O33" s="456">
        <v>400</v>
      </c>
      <c r="P33" s="456">
        <v>0</v>
      </c>
      <c r="Q33" s="457">
        <v>400</v>
      </c>
    </row>
    <row r="34" spans="1:17" x14ac:dyDescent="0.25">
      <c r="A34" s="562">
        <v>29</v>
      </c>
      <c r="B34" s="563" t="s">
        <v>726</v>
      </c>
      <c r="C34" s="467"/>
      <c r="D34" s="454">
        <v>2863.96</v>
      </c>
      <c r="E34" s="454">
        <v>46.578000000000003</v>
      </c>
      <c r="F34" s="454">
        <v>633.91399999999999</v>
      </c>
      <c r="G34" s="454">
        <v>1622.242</v>
      </c>
      <c r="H34" s="454">
        <v>1379.5170000000001</v>
      </c>
      <c r="I34" s="454">
        <v>1090.1869999999999</v>
      </c>
      <c r="J34" s="454">
        <v>7636.3980000000001</v>
      </c>
      <c r="K34" s="456">
        <v>3000</v>
      </c>
      <c r="L34" s="456">
        <v>2500</v>
      </c>
      <c r="M34" s="456">
        <v>885.62199999999996</v>
      </c>
      <c r="N34" s="456">
        <v>1458.1494689999997</v>
      </c>
      <c r="O34" s="456">
        <v>3958.149469</v>
      </c>
      <c r="P34" s="456">
        <v>1152.327659</v>
      </c>
      <c r="Q34" s="457">
        <v>8996.0991279999998</v>
      </c>
    </row>
    <row r="35" spans="1:17" x14ac:dyDescent="0.25">
      <c r="A35" s="562">
        <v>30</v>
      </c>
      <c r="B35" s="563" t="s">
        <v>727</v>
      </c>
      <c r="C35" s="467"/>
      <c r="D35" s="454">
        <v>412.15300000000002</v>
      </c>
      <c r="E35" s="454">
        <v>237.71799999999999</v>
      </c>
      <c r="F35" s="454">
        <v>290.74599999999998</v>
      </c>
      <c r="G35" s="454">
        <v>159.69200000000001</v>
      </c>
      <c r="H35" s="454">
        <v>5540.2290000000003</v>
      </c>
      <c r="I35" s="454">
        <v>792.774</v>
      </c>
      <c r="J35" s="454">
        <v>7433.3120000000008</v>
      </c>
      <c r="K35" s="456">
        <v>603.04302239999993</v>
      </c>
      <c r="L35" s="456">
        <v>600</v>
      </c>
      <c r="M35" s="456">
        <v>405.10750000000002</v>
      </c>
      <c r="N35" s="456">
        <v>5735.8823759999996</v>
      </c>
      <c r="O35" s="456">
        <v>6335.8823759999996</v>
      </c>
      <c r="P35" s="456">
        <v>898.23900000000003</v>
      </c>
      <c r="Q35" s="457">
        <v>8242.2718983999985</v>
      </c>
    </row>
    <row r="36" spans="1:17" x14ac:dyDescent="0.25">
      <c r="A36" s="562">
        <v>31</v>
      </c>
      <c r="B36" s="563" t="s">
        <v>728</v>
      </c>
      <c r="C36" s="467"/>
      <c r="D36" s="454">
        <v>0</v>
      </c>
      <c r="E36" s="454">
        <v>0</v>
      </c>
      <c r="F36" s="454">
        <v>0</v>
      </c>
      <c r="G36" s="454">
        <v>0</v>
      </c>
      <c r="H36" s="454">
        <v>0</v>
      </c>
      <c r="I36" s="454">
        <v>0</v>
      </c>
      <c r="J36" s="454">
        <v>0</v>
      </c>
      <c r="K36" s="456">
        <v>0</v>
      </c>
      <c r="L36" s="456">
        <v>0</v>
      </c>
      <c r="M36" s="456">
        <v>0</v>
      </c>
      <c r="N36" s="456">
        <v>0</v>
      </c>
      <c r="O36" s="456">
        <v>0</v>
      </c>
      <c r="P36" s="456">
        <v>0</v>
      </c>
      <c r="Q36" s="457">
        <v>0</v>
      </c>
    </row>
    <row r="37" spans="1:17" x14ac:dyDescent="0.25">
      <c r="A37" s="562">
        <v>32</v>
      </c>
      <c r="B37" s="563" t="s">
        <v>729</v>
      </c>
      <c r="C37" s="467"/>
      <c r="D37" s="454">
        <v>263.786</v>
      </c>
      <c r="E37" s="454">
        <v>110.432</v>
      </c>
      <c r="F37" s="454">
        <v>203.53200000000001</v>
      </c>
      <c r="G37" s="454">
        <v>122.47199999999999</v>
      </c>
      <c r="H37" s="454">
        <v>966.59</v>
      </c>
      <c r="I37" s="454">
        <v>46.304000000000002</v>
      </c>
      <c r="J37" s="454">
        <v>1713.116</v>
      </c>
      <c r="K37" s="456">
        <v>280.1438976</v>
      </c>
      <c r="L37" s="456">
        <v>300</v>
      </c>
      <c r="M37" s="456">
        <v>100</v>
      </c>
      <c r="N37" s="456">
        <v>1021.6856299999998</v>
      </c>
      <c r="O37" s="456">
        <v>1321.6856299999999</v>
      </c>
      <c r="P37" s="456">
        <v>80</v>
      </c>
      <c r="Q37" s="457">
        <v>1781.8295275999999</v>
      </c>
    </row>
    <row r="38" spans="1:17" s="461" customFormat="1" ht="25.5" x14ac:dyDescent="0.25">
      <c r="A38" s="564">
        <v>33</v>
      </c>
      <c r="B38" s="565" t="s">
        <v>730</v>
      </c>
      <c r="C38" s="460"/>
      <c r="D38" s="454">
        <v>55.47</v>
      </c>
      <c r="E38" s="454">
        <v>79.117000000000004</v>
      </c>
      <c r="F38" s="454">
        <v>61.283000000000001</v>
      </c>
      <c r="G38" s="454">
        <v>12</v>
      </c>
      <c r="H38" s="454">
        <v>6167.7709999999997</v>
      </c>
      <c r="I38" s="454">
        <v>1476.548</v>
      </c>
      <c r="J38" s="454">
        <v>7852.1889999999994</v>
      </c>
      <c r="K38" s="456">
        <v>203</v>
      </c>
      <c r="L38" s="456">
        <v>394.48818897637796</v>
      </c>
      <c r="M38" s="456">
        <v>50</v>
      </c>
      <c r="N38" s="456">
        <v>5767.3230000000003</v>
      </c>
      <c r="O38" s="456">
        <v>6161.8111889763786</v>
      </c>
      <c r="P38" s="456">
        <v>2200</v>
      </c>
      <c r="Q38" s="457">
        <v>8614.8111889763786</v>
      </c>
    </row>
    <row r="39" spans="1:17" s="568" customFormat="1" hidden="1" x14ac:dyDescent="0.25">
      <c r="A39" s="566"/>
      <c r="B39" s="567" t="s">
        <v>731</v>
      </c>
      <c r="C39" s="467"/>
      <c r="D39" s="454">
        <v>0</v>
      </c>
      <c r="E39" s="454">
        <v>0</v>
      </c>
      <c r="F39" s="454">
        <v>0</v>
      </c>
      <c r="G39" s="454">
        <v>0</v>
      </c>
      <c r="H39" s="454">
        <v>0</v>
      </c>
      <c r="I39" s="454">
        <v>0</v>
      </c>
      <c r="J39" s="454">
        <v>0</v>
      </c>
      <c r="K39" s="456">
        <v>0</v>
      </c>
      <c r="L39" s="456">
        <v>0</v>
      </c>
      <c r="M39" s="456">
        <v>0</v>
      </c>
      <c r="N39" s="456">
        <v>0</v>
      </c>
      <c r="O39" s="456">
        <v>0</v>
      </c>
      <c r="P39" s="456">
        <v>0</v>
      </c>
      <c r="Q39" s="457">
        <v>0</v>
      </c>
    </row>
    <row r="40" spans="1:17" s="568" customFormat="1" hidden="1" x14ac:dyDescent="0.25">
      <c r="A40" s="566"/>
      <c r="B40" s="567" t="s">
        <v>732</v>
      </c>
      <c r="C40" s="467"/>
      <c r="D40" s="454">
        <v>0</v>
      </c>
      <c r="E40" s="454">
        <v>0</v>
      </c>
      <c r="F40" s="454">
        <v>0</v>
      </c>
      <c r="G40" s="454">
        <v>0</v>
      </c>
      <c r="H40" s="454">
        <v>0</v>
      </c>
      <c r="I40" s="454">
        <v>0</v>
      </c>
      <c r="J40" s="454">
        <v>0</v>
      </c>
      <c r="K40" s="456">
        <v>0</v>
      </c>
      <c r="L40" s="456">
        <v>0</v>
      </c>
      <c r="M40" s="456">
        <v>0</v>
      </c>
      <c r="N40" s="456">
        <v>0</v>
      </c>
      <c r="O40" s="456">
        <v>0</v>
      </c>
      <c r="P40" s="456">
        <v>0</v>
      </c>
      <c r="Q40" s="457">
        <v>0</v>
      </c>
    </row>
    <row r="41" spans="1:17" s="568" customFormat="1" hidden="1" x14ac:dyDescent="0.25">
      <c r="A41" s="566"/>
      <c r="B41" s="567" t="s">
        <v>733</v>
      </c>
      <c r="C41" s="467"/>
      <c r="D41" s="454">
        <v>0</v>
      </c>
      <c r="E41" s="454">
        <v>0</v>
      </c>
      <c r="F41" s="454">
        <v>0</v>
      </c>
      <c r="G41" s="454">
        <v>0</v>
      </c>
      <c r="H41" s="454">
        <v>0</v>
      </c>
      <c r="I41" s="454">
        <v>0</v>
      </c>
      <c r="J41" s="454">
        <v>0</v>
      </c>
      <c r="K41" s="456">
        <v>0</v>
      </c>
      <c r="L41" s="456">
        <v>0</v>
      </c>
      <c r="M41" s="456">
        <v>0</v>
      </c>
      <c r="N41" s="456">
        <v>0</v>
      </c>
      <c r="O41" s="456">
        <v>0</v>
      </c>
      <c r="P41" s="456">
        <v>0</v>
      </c>
      <c r="Q41" s="457">
        <v>0</v>
      </c>
    </row>
    <row r="42" spans="1:17" s="568" customFormat="1" hidden="1" x14ac:dyDescent="0.25">
      <c r="A42" s="566"/>
      <c r="B42" s="567" t="s">
        <v>734</v>
      </c>
      <c r="C42" s="467"/>
      <c r="D42" s="454">
        <v>0</v>
      </c>
      <c r="E42" s="454">
        <v>0</v>
      </c>
      <c r="F42" s="454">
        <v>0</v>
      </c>
      <c r="G42" s="454">
        <v>0</v>
      </c>
      <c r="H42" s="454">
        <v>0</v>
      </c>
      <c r="I42" s="454">
        <v>0</v>
      </c>
      <c r="J42" s="454">
        <v>0</v>
      </c>
      <c r="K42" s="456">
        <v>0</v>
      </c>
      <c r="L42" s="456">
        <v>0</v>
      </c>
      <c r="M42" s="456">
        <v>0</v>
      </c>
      <c r="N42" s="456">
        <v>0</v>
      </c>
      <c r="O42" s="456">
        <v>0</v>
      </c>
      <c r="P42" s="456">
        <v>0</v>
      </c>
      <c r="Q42" s="457">
        <v>0</v>
      </c>
    </row>
    <row r="43" spans="1:17" s="568" customFormat="1" hidden="1" x14ac:dyDescent="0.25">
      <c r="A43" s="566"/>
      <c r="B43" s="567" t="s">
        <v>735</v>
      </c>
      <c r="C43" s="467"/>
      <c r="D43" s="454">
        <v>0</v>
      </c>
      <c r="E43" s="454">
        <v>0</v>
      </c>
      <c r="F43" s="454">
        <v>0</v>
      </c>
      <c r="G43" s="454">
        <v>0</v>
      </c>
      <c r="H43" s="454">
        <v>0</v>
      </c>
      <c r="I43" s="454">
        <v>0</v>
      </c>
      <c r="J43" s="454">
        <v>0</v>
      </c>
      <c r="K43" s="456">
        <v>0</v>
      </c>
      <c r="L43" s="456">
        <v>0</v>
      </c>
      <c r="M43" s="456">
        <v>0</v>
      </c>
      <c r="N43" s="456">
        <v>0</v>
      </c>
      <c r="O43" s="456">
        <v>0</v>
      </c>
      <c r="P43" s="456">
        <v>0</v>
      </c>
      <c r="Q43" s="457">
        <v>0</v>
      </c>
    </row>
    <row r="44" spans="1:17" s="568" customFormat="1" hidden="1" x14ac:dyDescent="0.25">
      <c r="A44" s="566"/>
      <c r="B44" s="567" t="s">
        <v>736</v>
      </c>
      <c r="C44" s="467"/>
      <c r="D44" s="454">
        <v>0</v>
      </c>
      <c r="E44" s="454">
        <v>0</v>
      </c>
      <c r="F44" s="454">
        <v>0</v>
      </c>
      <c r="G44" s="454">
        <v>0</v>
      </c>
      <c r="H44" s="454">
        <v>0</v>
      </c>
      <c r="I44" s="454">
        <v>0</v>
      </c>
      <c r="J44" s="454">
        <v>0</v>
      </c>
      <c r="K44" s="456">
        <v>0</v>
      </c>
      <c r="L44" s="456">
        <v>0</v>
      </c>
      <c r="M44" s="456">
        <v>0</v>
      </c>
      <c r="N44" s="456">
        <v>0</v>
      </c>
      <c r="O44" s="456">
        <v>0</v>
      </c>
      <c r="P44" s="456">
        <v>0</v>
      </c>
      <c r="Q44" s="457">
        <v>0</v>
      </c>
    </row>
    <row r="45" spans="1:17" ht="25.5" x14ac:dyDescent="0.25">
      <c r="A45" s="562">
        <v>34</v>
      </c>
      <c r="B45" s="563" t="s">
        <v>737</v>
      </c>
      <c r="C45" s="467"/>
      <c r="D45" s="454">
        <v>471.90300000000002</v>
      </c>
      <c r="E45" s="454">
        <v>221.595</v>
      </c>
      <c r="F45" s="454">
        <v>15.04</v>
      </c>
      <c r="G45" s="454">
        <v>276.46100000000001</v>
      </c>
      <c r="H45" s="454">
        <v>5753.915</v>
      </c>
      <c r="I45" s="454">
        <v>788.56299999999999</v>
      </c>
      <c r="J45" s="454">
        <v>7527.4769999999999</v>
      </c>
      <c r="K45" s="456">
        <v>562.14219600000001</v>
      </c>
      <c r="L45" s="456">
        <v>150</v>
      </c>
      <c r="M45" s="456">
        <v>692.89800000000002</v>
      </c>
      <c r="N45" s="456">
        <v>1362.6182362204725</v>
      </c>
      <c r="O45" s="456">
        <v>1512.6182362204725</v>
      </c>
      <c r="P45" s="456">
        <v>3018.9589999999998</v>
      </c>
      <c r="Q45" s="457">
        <v>5786.6174322204724</v>
      </c>
    </row>
    <row r="46" spans="1:17" s="568" customFormat="1" hidden="1" x14ac:dyDescent="0.25">
      <c r="A46" s="566"/>
      <c r="B46" s="567" t="s">
        <v>738</v>
      </c>
      <c r="C46" s="467"/>
      <c r="D46" s="454">
        <v>0</v>
      </c>
      <c r="E46" s="454">
        <v>0</v>
      </c>
      <c r="F46" s="454">
        <v>0</v>
      </c>
      <c r="G46" s="454">
        <v>0</v>
      </c>
      <c r="H46" s="454">
        <v>0</v>
      </c>
      <c r="I46" s="454">
        <v>0</v>
      </c>
      <c r="J46" s="454">
        <v>0</v>
      </c>
      <c r="K46" s="456">
        <v>0</v>
      </c>
      <c r="L46" s="456">
        <v>0</v>
      </c>
      <c r="M46" s="456">
        <v>0</v>
      </c>
      <c r="N46" s="456">
        <v>0</v>
      </c>
      <c r="O46" s="456">
        <v>0</v>
      </c>
      <c r="P46" s="456">
        <v>0</v>
      </c>
      <c r="Q46" s="457">
        <v>0</v>
      </c>
    </row>
    <row r="47" spans="1:17" s="568" customFormat="1" hidden="1" x14ac:dyDescent="0.25">
      <c r="A47" s="566"/>
      <c r="B47" s="567" t="s">
        <v>739</v>
      </c>
      <c r="C47" s="467"/>
      <c r="D47" s="454">
        <v>0</v>
      </c>
      <c r="E47" s="454">
        <v>0</v>
      </c>
      <c r="F47" s="454">
        <v>0</v>
      </c>
      <c r="G47" s="454">
        <v>0</v>
      </c>
      <c r="H47" s="454">
        <v>0</v>
      </c>
      <c r="I47" s="454">
        <v>0</v>
      </c>
      <c r="J47" s="454">
        <v>0</v>
      </c>
      <c r="K47" s="456">
        <v>0</v>
      </c>
      <c r="L47" s="456">
        <v>0</v>
      </c>
      <c r="M47" s="456">
        <v>0</v>
      </c>
      <c r="N47" s="456">
        <v>0</v>
      </c>
      <c r="O47" s="456">
        <v>0</v>
      </c>
      <c r="P47" s="456">
        <v>0</v>
      </c>
      <c r="Q47" s="457">
        <v>0</v>
      </c>
    </row>
    <row r="48" spans="1:17" s="568" customFormat="1" hidden="1" x14ac:dyDescent="0.25">
      <c r="A48" s="566"/>
      <c r="B48" s="567" t="s">
        <v>740</v>
      </c>
      <c r="C48" s="467"/>
      <c r="D48" s="454">
        <v>0</v>
      </c>
      <c r="E48" s="454">
        <v>0</v>
      </c>
      <c r="F48" s="454">
        <v>0</v>
      </c>
      <c r="G48" s="454">
        <v>0</v>
      </c>
      <c r="H48" s="454">
        <v>0</v>
      </c>
      <c r="I48" s="454">
        <v>0</v>
      </c>
      <c r="J48" s="454">
        <v>0</v>
      </c>
      <c r="K48" s="456">
        <v>0</v>
      </c>
      <c r="L48" s="456">
        <v>0</v>
      </c>
      <c r="M48" s="456">
        <v>0</v>
      </c>
      <c r="N48" s="456">
        <v>0</v>
      </c>
      <c r="O48" s="456">
        <v>0</v>
      </c>
      <c r="P48" s="456">
        <v>0</v>
      </c>
      <c r="Q48" s="457">
        <v>0</v>
      </c>
    </row>
    <row r="49" spans="1:17" s="568" customFormat="1" hidden="1" x14ac:dyDescent="0.25">
      <c r="A49" s="566"/>
      <c r="B49" s="567" t="s">
        <v>741</v>
      </c>
      <c r="C49" s="467"/>
      <c r="D49" s="454">
        <v>0</v>
      </c>
      <c r="E49" s="454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6">
        <v>0</v>
      </c>
      <c r="L49" s="456">
        <v>0</v>
      </c>
      <c r="M49" s="456">
        <v>0</v>
      </c>
      <c r="N49" s="456">
        <v>0</v>
      </c>
      <c r="O49" s="456">
        <v>0</v>
      </c>
      <c r="P49" s="456">
        <v>0</v>
      </c>
      <c r="Q49" s="457">
        <v>0</v>
      </c>
    </row>
    <row r="50" spans="1:17" s="568" customFormat="1" hidden="1" x14ac:dyDescent="0.25">
      <c r="A50" s="566"/>
      <c r="B50" s="567" t="s">
        <v>742</v>
      </c>
      <c r="C50" s="467"/>
      <c r="D50" s="454">
        <v>0</v>
      </c>
      <c r="E50" s="454">
        <v>0</v>
      </c>
      <c r="F50" s="454">
        <v>0</v>
      </c>
      <c r="G50" s="454">
        <v>0</v>
      </c>
      <c r="H50" s="454">
        <v>0</v>
      </c>
      <c r="I50" s="454">
        <v>0</v>
      </c>
      <c r="J50" s="454">
        <v>0</v>
      </c>
      <c r="K50" s="456">
        <v>0</v>
      </c>
      <c r="L50" s="456">
        <v>0</v>
      </c>
      <c r="M50" s="456">
        <v>0</v>
      </c>
      <c r="N50" s="456">
        <v>0</v>
      </c>
      <c r="O50" s="456">
        <v>0</v>
      </c>
      <c r="P50" s="456">
        <v>0</v>
      </c>
      <c r="Q50" s="457">
        <v>0</v>
      </c>
    </row>
    <row r="51" spans="1:17" s="568" customFormat="1" hidden="1" x14ac:dyDescent="0.25">
      <c r="A51" s="566"/>
      <c r="B51" s="567" t="s">
        <v>743</v>
      </c>
      <c r="C51" s="467"/>
      <c r="D51" s="454">
        <v>0</v>
      </c>
      <c r="E51" s="454">
        <v>0</v>
      </c>
      <c r="F51" s="454">
        <v>0</v>
      </c>
      <c r="G51" s="454">
        <v>0</v>
      </c>
      <c r="H51" s="454">
        <v>0</v>
      </c>
      <c r="I51" s="454">
        <v>0</v>
      </c>
      <c r="J51" s="454">
        <v>0</v>
      </c>
      <c r="K51" s="456">
        <v>0</v>
      </c>
      <c r="L51" s="456">
        <v>0</v>
      </c>
      <c r="M51" s="456">
        <v>0</v>
      </c>
      <c r="N51" s="456">
        <v>0</v>
      </c>
      <c r="O51" s="456">
        <v>0</v>
      </c>
      <c r="P51" s="456">
        <v>0</v>
      </c>
      <c r="Q51" s="457">
        <v>0</v>
      </c>
    </row>
    <row r="52" spans="1:17" s="568" customFormat="1" hidden="1" x14ac:dyDescent="0.25">
      <c r="A52" s="566"/>
      <c r="B52" s="567" t="s">
        <v>744</v>
      </c>
      <c r="C52" s="467"/>
      <c r="D52" s="454">
        <v>0</v>
      </c>
      <c r="E52" s="454">
        <v>0</v>
      </c>
      <c r="F52" s="454">
        <v>0</v>
      </c>
      <c r="G52" s="454">
        <v>0</v>
      </c>
      <c r="H52" s="454">
        <v>0</v>
      </c>
      <c r="I52" s="454">
        <v>0</v>
      </c>
      <c r="J52" s="454">
        <v>0</v>
      </c>
      <c r="K52" s="456">
        <v>0</v>
      </c>
      <c r="L52" s="456">
        <v>0</v>
      </c>
      <c r="M52" s="456">
        <v>0</v>
      </c>
      <c r="N52" s="456">
        <v>0</v>
      </c>
      <c r="O52" s="456">
        <v>0</v>
      </c>
      <c r="P52" s="456">
        <v>0</v>
      </c>
      <c r="Q52" s="457">
        <v>0</v>
      </c>
    </row>
    <row r="53" spans="1:17" s="568" customFormat="1" hidden="1" x14ac:dyDescent="0.25">
      <c r="A53" s="566"/>
      <c r="B53" s="567" t="s">
        <v>745</v>
      </c>
      <c r="C53" s="467"/>
      <c r="D53" s="454">
        <v>0</v>
      </c>
      <c r="E53" s="454">
        <v>0</v>
      </c>
      <c r="F53" s="454">
        <v>0</v>
      </c>
      <c r="G53" s="454">
        <v>0</v>
      </c>
      <c r="H53" s="454">
        <v>0</v>
      </c>
      <c r="I53" s="454">
        <v>0</v>
      </c>
      <c r="J53" s="454">
        <v>0</v>
      </c>
      <c r="K53" s="456">
        <v>0</v>
      </c>
      <c r="L53" s="456">
        <v>0</v>
      </c>
      <c r="M53" s="456">
        <v>0</v>
      </c>
      <c r="N53" s="456">
        <v>0</v>
      </c>
      <c r="O53" s="456">
        <v>0</v>
      </c>
      <c r="P53" s="456">
        <v>0</v>
      </c>
      <c r="Q53" s="457">
        <v>0</v>
      </c>
    </row>
    <row r="54" spans="1:17" ht="25.5" x14ac:dyDescent="0.25">
      <c r="A54" s="562">
        <v>35</v>
      </c>
      <c r="B54" s="563" t="s">
        <v>746</v>
      </c>
      <c r="C54" s="467"/>
      <c r="D54" s="454">
        <v>0</v>
      </c>
      <c r="E54" s="454">
        <v>0</v>
      </c>
      <c r="F54" s="454">
        <v>0</v>
      </c>
      <c r="G54" s="454">
        <v>0</v>
      </c>
      <c r="H54" s="454">
        <v>858.91200000000003</v>
      </c>
      <c r="I54" s="454">
        <v>0</v>
      </c>
      <c r="J54" s="454">
        <v>858.91200000000003</v>
      </c>
      <c r="K54" s="456">
        <v>0</v>
      </c>
      <c r="L54" s="456">
        <v>0</v>
      </c>
      <c r="M54" s="456">
        <v>0</v>
      </c>
      <c r="N54" s="456">
        <v>0</v>
      </c>
      <c r="O54" s="456">
        <v>0</v>
      </c>
      <c r="P54" s="456">
        <v>0</v>
      </c>
      <c r="Q54" s="457">
        <v>0</v>
      </c>
    </row>
    <row r="55" spans="1:17" x14ac:dyDescent="0.25">
      <c r="A55" s="562">
        <v>36</v>
      </c>
      <c r="B55" s="563" t="s">
        <v>747</v>
      </c>
      <c r="C55" s="467"/>
      <c r="D55" s="454">
        <v>0</v>
      </c>
      <c r="E55" s="454">
        <v>0</v>
      </c>
      <c r="F55" s="454">
        <v>0</v>
      </c>
      <c r="G55" s="454">
        <v>0</v>
      </c>
      <c r="H55" s="454">
        <v>0</v>
      </c>
      <c r="I55" s="454">
        <v>0</v>
      </c>
      <c r="J55" s="454">
        <v>0</v>
      </c>
      <c r="K55" s="456">
        <v>0</v>
      </c>
      <c r="L55" s="456">
        <v>0</v>
      </c>
      <c r="M55" s="456">
        <v>0</v>
      </c>
      <c r="N55" s="456">
        <v>0</v>
      </c>
      <c r="O55" s="456">
        <v>0</v>
      </c>
      <c r="P55" s="456">
        <v>0</v>
      </c>
      <c r="Q55" s="457">
        <v>0</v>
      </c>
    </row>
    <row r="56" spans="1:17" x14ac:dyDescent="0.25">
      <c r="A56" s="560">
        <v>37</v>
      </c>
      <c r="B56" s="561" t="s">
        <v>748</v>
      </c>
      <c r="C56" s="467"/>
      <c r="D56" s="454">
        <v>0</v>
      </c>
      <c r="E56" s="454">
        <v>0</v>
      </c>
      <c r="F56" s="454">
        <v>0</v>
      </c>
      <c r="G56" s="454">
        <v>0</v>
      </c>
      <c r="H56" s="454">
        <v>0</v>
      </c>
      <c r="I56" s="454">
        <v>0</v>
      </c>
      <c r="J56" s="454">
        <v>0</v>
      </c>
      <c r="K56" s="456">
        <v>0</v>
      </c>
      <c r="L56" s="456">
        <v>0</v>
      </c>
      <c r="M56" s="456">
        <v>0</v>
      </c>
      <c r="N56" s="456">
        <v>0</v>
      </c>
      <c r="O56" s="456">
        <v>0</v>
      </c>
      <c r="P56" s="456">
        <v>0</v>
      </c>
      <c r="Q56" s="457">
        <v>0</v>
      </c>
    </row>
    <row r="57" spans="1:17" x14ac:dyDescent="0.25">
      <c r="A57" s="560">
        <v>38</v>
      </c>
      <c r="B57" s="561" t="s">
        <v>749</v>
      </c>
      <c r="C57" s="467">
        <v>0</v>
      </c>
      <c r="D57" s="454">
        <v>0</v>
      </c>
      <c r="E57" s="454">
        <v>15.282</v>
      </c>
      <c r="F57" s="454">
        <v>0</v>
      </c>
      <c r="G57" s="454">
        <v>0</v>
      </c>
      <c r="H57" s="454">
        <v>398.45399999999995</v>
      </c>
      <c r="I57" s="454">
        <v>72.844999999999999</v>
      </c>
      <c r="J57" s="454">
        <v>486.5809999999999</v>
      </c>
      <c r="K57" s="456">
        <v>30</v>
      </c>
      <c r="L57" s="456">
        <v>0</v>
      </c>
      <c r="M57" s="456">
        <v>0</v>
      </c>
      <c r="N57" s="456">
        <v>370</v>
      </c>
      <c r="O57" s="456">
        <v>370</v>
      </c>
      <c r="P57" s="456">
        <v>100</v>
      </c>
      <c r="Q57" s="457">
        <v>500</v>
      </c>
    </row>
    <row r="58" spans="1:17" x14ac:dyDescent="0.25">
      <c r="A58" s="562">
        <v>39</v>
      </c>
      <c r="B58" s="563" t="s">
        <v>750</v>
      </c>
      <c r="C58" s="467"/>
      <c r="D58" s="454">
        <v>0</v>
      </c>
      <c r="E58" s="454">
        <v>0</v>
      </c>
      <c r="F58" s="454">
        <v>0</v>
      </c>
      <c r="G58" s="454">
        <v>0</v>
      </c>
      <c r="H58" s="454">
        <v>78.727000000000004</v>
      </c>
      <c r="I58" s="454">
        <v>72.844999999999999</v>
      </c>
      <c r="J58" s="454">
        <v>151.572</v>
      </c>
      <c r="K58" s="456">
        <v>0</v>
      </c>
      <c r="L58" s="456">
        <v>0</v>
      </c>
      <c r="M58" s="456">
        <v>0</v>
      </c>
      <c r="N58" s="456">
        <v>70</v>
      </c>
      <c r="O58" s="456">
        <v>70</v>
      </c>
      <c r="P58" s="456">
        <v>100</v>
      </c>
      <c r="Q58" s="457">
        <v>170</v>
      </c>
    </row>
    <row r="59" spans="1:17" x14ac:dyDescent="0.25">
      <c r="A59" s="562">
        <v>40</v>
      </c>
      <c r="B59" s="563" t="s">
        <v>751</v>
      </c>
      <c r="C59" s="467"/>
      <c r="D59" s="454">
        <v>0</v>
      </c>
      <c r="E59" s="454">
        <v>0</v>
      </c>
      <c r="F59" s="454">
        <v>0</v>
      </c>
      <c r="G59" s="454">
        <v>0</v>
      </c>
      <c r="H59" s="454">
        <v>0</v>
      </c>
      <c r="I59" s="454">
        <v>0</v>
      </c>
      <c r="J59" s="454">
        <v>0</v>
      </c>
      <c r="K59" s="456">
        <v>0</v>
      </c>
      <c r="L59" s="456">
        <v>0</v>
      </c>
      <c r="M59" s="456">
        <v>0</v>
      </c>
      <c r="N59" s="456">
        <v>0</v>
      </c>
      <c r="O59" s="456">
        <v>0</v>
      </c>
      <c r="P59" s="456">
        <v>0</v>
      </c>
      <c r="Q59" s="457">
        <v>0</v>
      </c>
    </row>
    <row r="60" spans="1:17" x14ac:dyDescent="0.25">
      <c r="A60" s="562">
        <v>41</v>
      </c>
      <c r="B60" s="563" t="s">
        <v>752</v>
      </c>
      <c r="C60" s="467"/>
      <c r="D60" s="454">
        <v>0</v>
      </c>
      <c r="E60" s="454">
        <v>15.282</v>
      </c>
      <c r="F60" s="454">
        <v>0</v>
      </c>
      <c r="G60" s="454">
        <v>0</v>
      </c>
      <c r="H60" s="454">
        <v>319.72699999999998</v>
      </c>
      <c r="I60" s="454">
        <v>0</v>
      </c>
      <c r="J60" s="454">
        <v>335.00899999999996</v>
      </c>
      <c r="K60" s="456">
        <v>30</v>
      </c>
      <c r="L60" s="456">
        <v>0</v>
      </c>
      <c r="M60" s="456">
        <v>0</v>
      </c>
      <c r="N60" s="456">
        <v>300</v>
      </c>
      <c r="O60" s="456">
        <v>300</v>
      </c>
      <c r="P60" s="456">
        <v>0</v>
      </c>
      <c r="Q60" s="457">
        <v>330</v>
      </c>
    </row>
    <row r="61" spans="1:17" x14ac:dyDescent="0.25">
      <c r="A61" s="562">
        <v>42</v>
      </c>
      <c r="B61" s="563" t="s">
        <v>753</v>
      </c>
      <c r="C61" s="467"/>
      <c r="D61" s="454">
        <v>0</v>
      </c>
      <c r="E61" s="454">
        <v>0</v>
      </c>
      <c r="F61" s="454">
        <v>0</v>
      </c>
      <c r="G61" s="454">
        <v>0</v>
      </c>
      <c r="H61" s="454">
        <v>0</v>
      </c>
      <c r="I61" s="454">
        <v>0</v>
      </c>
      <c r="J61" s="454">
        <v>0</v>
      </c>
      <c r="K61" s="456">
        <v>0</v>
      </c>
      <c r="L61" s="456">
        <v>0</v>
      </c>
      <c r="M61" s="456">
        <v>0</v>
      </c>
      <c r="N61" s="456">
        <v>0</v>
      </c>
      <c r="O61" s="456">
        <v>0</v>
      </c>
      <c r="P61" s="456">
        <v>0</v>
      </c>
      <c r="Q61" s="457">
        <v>0</v>
      </c>
    </row>
    <row r="62" spans="1:17" ht="25.5" x14ac:dyDescent="0.25">
      <c r="A62" s="560">
        <v>43</v>
      </c>
      <c r="B62" s="561" t="s">
        <v>754</v>
      </c>
      <c r="C62" s="467">
        <v>0</v>
      </c>
      <c r="D62" s="454">
        <v>0</v>
      </c>
      <c r="E62" s="454">
        <v>0</v>
      </c>
      <c r="F62" s="454">
        <v>0</v>
      </c>
      <c r="G62" s="454">
        <v>0</v>
      </c>
      <c r="H62" s="454">
        <v>5582.1049999999996</v>
      </c>
      <c r="I62" s="454">
        <v>260.91399999999999</v>
      </c>
      <c r="J62" s="454">
        <v>5843.0189999999993</v>
      </c>
      <c r="K62" s="456">
        <v>150</v>
      </c>
      <c r="L62" s="456">
        <v>0</v>
      </c>
      <c r="M62" s="456">
        <v>0</v>
      </c>
      <c r="N62" s="456">
        <v>5105.7</v>
      </c>
      <c r="O62" s="456">
        <v>5105.7</v>
      </c>
      <c r="P62" s="456">
        <v>1380</v>
      </c>
      <c r="Q62" s="457">
        <v>6635.7</v>
      </c>
    </row>
    <row r="63" spans="1:17" hidden="1" x14ac:dyDescent="0.25">
      <c r="A63" s="560"/>
      <c r="B63" s="567" t="s">
        <v>755</v>
      </c>
      <c r="C63" s="467"/>
      <c r="D63" s="454">
        <v>0</v>
      </c>
      <c r="E63" s="454">
        <v>0</v>
      </c>
      <c r="F63" s="454">
        <v>0</v>
      </c>
      <c r="G63" s="454">
        <v>0</v>
      </c>
      <c r="H63" s="454">
        <v>0</v>
      </c>
      <c r="I63" s="454">
        <v>0</v>
      </c>
      <c r="J63" s="454">
        <v>0</v>
      </c>
      <c r="K63" s="456">
        <v>0</v>
      </c>
      <c r="L63" s="456">
        <v>0</v>
      </c>
      <c r="M63" s="456">
        <v>0</v>
      </c>
      <c r="N63" s="456">
        <v>0</v>
      </c>
      <c r="O63" s="456">
        <v>0</v>
      </c>
      <c r="P63" s="456">
        <v>0</v>
      </c>
      <c r="Q63" s="457">
        <v>0</v>
      </c>
    </row>
    <row r="64" spans="1:17" hidden="1" x14ac:dyDescent="0.25">
      <c r="A64" s="560"/>
      <c r="B64" s="567" t="s">
        <v>459</v>
      </c>
      <c r="C64" s="467"/>
      <c r="D64" s="454">
        <v>0</v>
      </c>
      <c r="E64" s="454">
        <v>0</v>
      </c>
      <c r="F64" s="454">
        <v>0</v>
      </c>
      <c r="G64" s="454">
        <v>0</v>
      </c>
      <c r="H64" s="454">
        <v>0</v>
      </c>
      <c r="I64" s="454">
        <v>0</v>
      </c>
      <c r="J64" s="454">
        <v>0</v>
      </c>
      <c r="K64" s="456">
        <v>0</v>
      </c>
      <c r="L64" s="456">
        <v>0</v>
      </c>
      <c r="M64" s="456">
        <v>0</v>
      </c>
      <c r="N64" s="456">
        <v>0</v>
      </c>
      <c r="O64" s="456">
        <v>0</v>
      </c>
      <c r="P64" s="456">
        <v>0</v>
      </c>
      <c r="Q64" s="457">
        <v>0</v>
      </c>
    </row>
    <row r="65" spans="1:17" hidden="1" x14ac:dyDescent="0.25">
      <c r="A65" s="560"/>
      <c r="B65" s="567" t="s">
        <v>756</v>
      </c>
      <c r="C65" s="467"/>
      <c r="D65" s="454">
        <v>0</v>
      </c>
      <c r="E65" s="454">
        <v>0</v>
      </c>
      <c r="F65" s="454">
        <v>0</v>
      </c>
      <c r="G65" s="454">
        <v>0</v>
      </c>
      <c r="H65" s="454">
        <v>0</v>
      </c>
      <c r="I65" s="454">
        <v>0</v>
      </c>
      <c r="J65" s="454">
        <v>0</v>
      </c>
      <c r="K65" s="456">
        <v>0</v>
      </c>
      <c r="L65" s="456">
        <v>0</v>
      </c>
      <c r="M65" s="456">
        <v>0</v>
      </c>
      <c r="N65" s="456">
        <v>0</v>
      </c>
      <c r="O65" s="456">
        <v>0</v>
      </c>
      <c r="P65" s="456">
        <v>0</v>
      </c>
      <c r="Q65" s="457">
        <v>0</v>
      </c>
    </row>
    <row r="66" spans="1:17" hidden="1" x14ac:dyDescent="0.25">
      <c r="A66" s="560"/>
      <c r="B66" s="567" t="s">
        <v>757</v>
      </c>
      <c r="C66" s="467"/>
      <c r="D66" s="454">
        <v>0</v>
      </c>
      <c r="E66" s="454">
        <v>0</v>
      </c>
      <c r="F66" s="454">
        <v>0</v>
      </c>
      <c r="G66" s="454">
        <v>0</v>
      </c>
      <c r="H66" s="454">
        <v>0</v>
      </c>
      <c r="I66" s="454">
        <v>0</v>
      </c>
      <c r="J66" s="454">
        <v>0</v>
      </c>
      <c r="K66" s="456">
        <v>0</v>
      </c>
      <c r="L66" s="456">
        <v>0</v>
      </c>
      <c r="M66" s="456">
        <v>0</v>
      </c>
      <c r="N66" s="456">
        <v>0</v>
      </c>
      <c r="O66" s="456">
        <v>0</v>
      </c>
      <c r="P66" s="456">
        <v>0</v>
      </c>
      <c r="Q66" s="457">
        <v>0</v>
      </c>
    </row>
    <row r="67" spans="1:17" hidden="1" x14ac:dyDescent="0.25">
      <c r="A67" s="560"/>
      <c r="B67" s="567" t="s">
        <v>460</v>
      </c>
      <c r="C67" s="467"/>
      <c r="D67" s="454">
        <v>0</v>
      </c>
      <c r="E67" s="454">
        <v>0</v>
      </c>
      <c r="F67" s="454">
        <v>0</v>
      </c>
      <c r="G67" s="454">
        <v>0</v>
      </c>
      <c r="H67" s="454">
        <v>0</v>
      </c>
      <c r="I67" s="454">
        <v>0</v>
      </c>
      <c r="J67" s="454">
        <v>0</v>
      </c>
      <c r="K67" s="456">
        <v>0</v>
      </c>
      <c r="L67" s="456">
        <v>0</v>
      </c>
      <c r="M67" s="456">
        <v>0</v>
      </c>
      <c r="N67" s="456">
        <v>0</v>
      </c>
      <c r="O67" s="456">
        <v>0</v>
      </c>
      <c r="P67" s="456">
        <v>0</v>
      </c>
      <c r="Q67" s="457">
        <v>0</v>
      </c>
    </row>
    <row r="68" spans="1:17" hidden="1" x14ac:dyDescent="0.25">
      <c r="A68" s="560"/>
      <c r="B68" s="567" t="s">
        <v>461</v>
      </c>
      <c r="C68" s="467"/>
      <c r="D68" s="454">
        <v>0</v>
      </c>
      <c r="E68" s="454">
        <v>0</v>
      </c>
      <c r="F68" s="454">
        <v>0</v>
      </c>
      <c r="G68" s="454">
        <v>0</v>
      </c>
      <c r="H68" s="454">
        <v>0</v>
      </c>
      <c r="I68" s="454">
        <v>0</v>
      </c>
      <c r="J68" s="454">
        <v>0</v>
      </c>
      <c r="K68" s="456">
        <v>0</v>
      </c>
      <c r="L68" s="456">
        <v>0</v>
      </c>
      <c r="M68" s="456">
        <v>0</v>
      </c>
      <c r="N68" s="456">
        <v>0</v>
      </c>
      <c r="O68" s="456">
        <v>0</v>
      </c>
      <c r="P68" s="456">
        <v>0</v>
      </c>
      <c r="Q68" s="457">
        <v>0</v>
      </c>
    </row>
    <row r="69" spans="1:17" hidden="1" x14ac:dyDescent="0.25">
      <c r="A69" s="560"/>
      <c r="B69" s="567" t="s">
        <v>462</v>
      </c>
      <c r="C69" s="467"/>
      <c r="D69" s="454">
        <v>0</v>
      </c>
      <c r="E69" s="454">
        <v>0</v>
      </c>
      <c r="F69" s="454">
        <v>0</v>
      </c>
      <c r="G69" s="454">
        <v>0</v>
      </c>
      <c r="H69" s="454">
        <v>0</v>
      </c>
      <c r="I69" s="454">
        <v>0</v>
      </c>
      <c r="J69" s="454">
        <v>0</v>
      </c>
      <c r="K69" s="456">
        <v>0</v>
      </c>
      <c r="L69" s="456">
        <v>0</v>
      </c>
      <c r="M69" s="456">
        <v>0</v>
      </c>
      <c r="N69" s="456">
        <v>0</v>
      </c>
      <c r="O69" s="456">
        <v>0</v>
      </c>
      <c r="P69" s="456">
        <v>0</v>
      </c>
      <c r="Q69" s="457">
        <v>0</v>
      </c>
    </row>
    <row r="70" spans="1:17" hidden="1" x14ac:dyDescent="0.25">
      <c r="A70" s="560"/>
      <c r="B70" s="567" t="s">
        <v>758</v>
      </c>
      <c r="C70" s="467"/>
      <c r="D70" s="454">
        <v>0</v>
      </c>
      <c r="E70" s="454">
        <v>0</v>
      </c>
      <c r="F70" s="454">
        <v>0</v>
      </c>
      <c r="G70" s="454">
        <v>0</v>
      </c>
      <c r="H70" s="454">
        <v>0</v>
      </c>
      <c r="I70" s="454">
        <v>0</v>
      </c>
      <c r="J70" s="454">
        <v>0</v>
      </c>
      <c r="K70" s="456">
        <v>0</v>
      </c>
      <c r="L70" s="456">
        <v>0</v>
      </c>
      <c r="M70" s="456">
        <v>0</v>
      </c>
      <c r="N70" s="456">
        <v>0</v>
      </c>
      <c r="O70" s="456">
        <v>0</v>
      </c>
      <c r="P70" s="456">
        <v>0</v>
      </c>
      <c r="Q70" s="457">
        <v>0</v>
      </c>
    </row>
    <row r="71" spans="1:17" x14ac:dyDescent="0.25">
      <c r="A71" s="560">
        <v>44</v>
      </c>
      <c r="B71" s="561" t="s">
        <v>759</v>
      </c>
      <c r="C71" s="467"/>
      <c r="D71" s="454">
        <v>39.021999999999998</v>
      </c>
      <c r="E71" s="454">
        <v>16.3</v>
      </c>
      <c r="F71" s="454">
        <v>0</v>
      </c>
      <c r="G71" s="454">
        <v>0</v>
      </c>
      <c r="H71" s="454">
        <v>3694.9670000000001</v>
      </c>
      <c r="I71" s="454">
        <v>0</v>
      </c>
      <c r="J71" s="454">
        <v>3750.2890000000002</v>
      </c>
      <c r="K71" s="456">
        <v>20</v>
      </c>
      <c r="L71" s="456">
        <v>0</v>
      </c>
      <c r="M71" s="456">
        <v>0</v>
      </c>
      <c r="N71" s="456">
        <v>1326.8520000000001</v>
      </c>
      <c r="O71" s="456">
        <v>1326.8520000000001</v>
      </c>
      <c r="P71" s="456">
        <v>0</v>
      </c>
      <c r="Q71" s="457">
        <v>1346.8520000000001</v>
      </c>
    </row>
    <row r="72" spans="1:17" x14ac:dyDescent="0.25">
      <c r="A72" s="560"/>
      <c r="B72" s="563" t="s">
        <v>630</v>
      </c>
      <c r="C72" s="467"/>
      <c r="D72" s="454"/>
      <c r="E72" s="454"/>
      <c r="F72" s="454"/>
      <c r="G72" s="454"/>
      <c r="H72" s="454"/>
      <c r="I72" s="454"/>
      <c r="J72" s="454"/>
      <c r="K72" s="456"/>
      <c r="L72" s="456"/>
      <c r="M72" s="456"/>
      <c r="N72" s="456"/>
      <c r="O72" s="456"/>
      <c r="P72" s="456"/>
      <c r="Q72" s="457">
        <v>1258</v>
      </c>
    </row>
    <row r="73" spans="1:17" x14ac:dyDescent="0.25">
      <c r="A73" s="556">
        <v>45</v>
      </c>
      <c r="B73" s="557" t="s">
        <v>760</v>
      </c>
      <c r="C73" s="467"/>
      <c r="D73" s="454">
        <v>4092.9659999999999</v>
      </c>
      <c r="E73" s="454">
        <v>1695.309</v>
      </c>
      <c r="F73" s="454">
        <v>859.15899999999999</v>
      </c>
      <c r="G73" s="454">
        <v>628.53</v>
      </c>
      <c r="H73" s="454">
        <v>89620.406000000003</v>
      </c>
      <c r="I73" s="454">
        <v>1637.0219999999999</v>
      </c>
      <c r="J73" s="454">
        <v>98533.391999999993</v>
      </c>
      <c r="K73" s="456">
        <v>5384.6384065919983</v>
      </c>
      <c r="L73" s="456">
        <v>2727.6858000000002</v>
      </c>
      <c r="M73" s="456">
        <v>674.3594250000001</v>
      </c>
      <c r="N73" s="456">
        <v>6860.4868399999996</v>
      </c>
      <c r="O73" s="456">
        <v>9588.1726400000007</v>
      </c>
      <c r="P73" s="456">
        <v>2957.8307379300004</v>
      </c>
      <c r="Q73" s="457">
        <v>18605.001209521997</v>
      </c>
    </row>
    <row r="74" spans="1:17" x14ac:dyDescent="0.25">
      <c r="A74" s="556">
        <v>46</v>
      </c>
      <c r="B74" s="557" t="s">
        <v>761</v>
      </c>
      <c r="C74" s="467"/>
      <c r="D74" s="454">
        <v>0</v>
      </c>
      <c r="E74" s="454">
        <v>0</v>
      </c>
      <c r="F74" s="454">
        <v>0</v>
      </c>
      <c r="G74" s="454">
        <v>0</v>
      </c>
      <c r="H74" s="454">
        <v>0</v>
      </c>
      <c r="I74" s="454">
        <v>0</v>
      </c>
      <c r="J74" s="454">
        <v>0</v>
      </c>
      <c r="K74" s="456">
        <v>0</v>
      </c>
      <c r="L74" s="456">
        <v>0</v>
      </c>
      <c r="M74" s="456">
        <v>0</v>
      </c>
      <c r="N74" s="456">
        <v>0</v>
      </c>
      <c r="O74" s="456">
        <v>0</v>
      </c>
      <c r="P74" s="456">
        <v>0</v>
      </c>
      <c r="Q74" s="457">
        <v>0</v>
      </c>
    </row>
    <row r="75" spans="1:17" ht="38.25" x14ac:dyDescent="0.25">
      <c r="A75" s="556">
        <v>47</v>
      </c>
      <c r="B75" s="557" t="s">
        <v>762</v>
      </c>
      <c r="C75" s="467">
        <v>0</v>
      </c>
      <c r="D75" s="454">
        <v>1929</v>
      </c>
      <c r="E75" s="454">
        <v>18.975999999999999</v>
      </c>
      <c r="F75" s="454">
        <v>5.734</v>
      </c>
      <c r="G75" s="454">
        <v>2.7</v>
      </c>
      <c r="H75" s="454">
        <v>6829.5329999999994</v>
      </c>
      <c r="I75" s="454">
        <v>534.79099999999994</v>
      </c>
      <c r="J75" s="454">
        <v>9320.7339999999986</v>
      </c>
      <c r="K75" s="456">
        <v>100</v>
      </c>
      <c r="L75" s="456">
        <v>0</v>
      </c>
      <c r="M75" s="456">
        <v>50</v>
      </c>
      <c r="N75" s="456">
        <v>5147.6273505999998</v>
      </c>
      <c r="O75" s="456">
        <v>5147.6273505999998</v>
      </c>
      <c r="P75" s="456">
        <v>486.22832</v>
      </c>
      <c r="Q75" s="457">
        <v>5783.8556705999999</v>
      </c>
    </row>
    <row r="76" spans="1:17" hidden="1" x14ac:dyDescent="0.25">
      <c r="A76" s="556"/>
      <c r="B76" s="567" t="s">
        <v>763</v>
      </c>
      <c r="C76" s="467"/>
      <c r="D76" s="454">
        <v>0</v>
      </c>
      <c r="E76" s="454">
        <v>0</v>
      </c>
      <c r="F76" s="454">
        <v>0</v>
      </c>
      <c r="G76" s="454">
        <v>0</v>
      </c>
      <c r="H76" s="454">
        <v>0</v>
      </c>
      <c r="I76" s="454">
        <v>0</v>
      </c>
      <c r="J76" s="454">
        <v>0</v>
      </c>
      <c r="K76" s="456">
        <v>0</v>
      </c>
      <c r="L76" s="456">
        <v>0</v>
      </c>
      <c r="M76" s="456">
        <v>0</v>
      </c>
      <c r="N76" s="456">
        <v>0</v>
      </c>
      <c r="O76" s="456">
        <v>0</v>
      </c>
      <c r="P76" s="456">
        <v>0</v>
      </c>
      <c r="Q76" s="457">
        <v>0</v>
      </c>
    </row>
    <row r="77" spans="1:17" hidden="1" x14ac:dyDescent="0.25">
      <c r="A77" s="556"/>
      <c r="B77" s="567" t="s">
        <v>764</v>
      </c>
      <c r="C77" s="467"/>
      <c r="D77" s="454">
        <v>0</v>
      </c>
      <c r="E77" s="454">
        <v>0</v>
      </c>
      <c r="F77" s="454">
        <v>0</v>
      </c>
      <c r="G77" s="454">
        <v>0</v>
      </c>
      <c r="H77" s="454">
        <v>0</v>
      </c>
      <c r="I77" s="454">
        <v>0</v>
      </c>
      <c r="J77" s="454">
        <v>0</v>
      </c>
      <c r="K77" s="456">
        <v>0</v>
      </c>
      <c r="L77" s="456">
        <v>0</v>
      </c>
      <c r="M77" s="456">
        <v>0</v>
      </c>
      <c r="N77" s="456">
        <v>0</v>
      </c>
      <c r="O77" s="456">
        <v>0</v>
      </c>
      <c r="P77" s="456">
        <v>0</v>
      </c>
      <c r="Q77" s="457">
        <v>0</v>
      </c>
    </row>
    <row r="78" spans="1:17" hidden="1" x14ac:dyDescent="0.25">
      <c r="A78" s="556"/>
      <c r="B78" s="567" t="s">
        <v>765</v>
      </c>
      <c r="C78" s="467"/>
      <c r="D78" s="454">
        <v>0</v>
      </c>
      <c r="E78" s="454">
        <v>0</v>
      </c>
      <c r="F78" s="454">
        <v>0</v>
      </c>
      <c r="G78" s="454">
        <v>0</v>
      </c>
      <c r="H78" s="454">
        <v>0</v>
      </c>
      <c r="I78" s="454">
        <v>0</v>
      </c>
      <c r="J78" s="454">
        <v>0</v>
      </c>
      <c r="K78" s="456">
        <v>0</v>
      </c>
      <c r="L78" s="456">
        <v>0</v>
      </c>
      <c r="M78" s="456">
        <v>0</v>
      </c>
      <c r="N78" s="456">
        <v>0</v>
      </c>
      <c r="O78" s="456">
        <v>0</v>
      </c>
      <c r="P78" s="456">
        <v>0</v>
      </c>
      <c r="Q78" s="457">
        <v>0</v>
      </c>
    </row>
    <row r="79" spans="1:17" hidden="1" x14ac:dyDescent="0.25">
      <c r="A79" s="556"/>
      <c r="B79" s="567" t="s">
        <v>766</v>
      </c>
      <c r="C79" s="467"/>
      <c r="D79" s="454">
        <v>0</v>
      </c>
      <c r="E79" s="454">
        <v>0</v>
      </c>
      <c r="F79" s="454">
        <v>0</v>
      </c>
      <c r="G79" s="454">
        <v>0</v>
      </c>
      <c r="H79" s="454">
        <v>0</v>
      </c>
      <c r="I79" s="454">
        <v>0</v>
      </c>
      <c r="J79" s="454">
        <v>0</v>
      </c>
      <c r="K79" s="456">
        <v>0</v>
      </c>
      <c r="L79" s="456">
        <v>0</v>
      </c>
      <c r="M79" s="456">
        <v>0</v>
      </c>
      <c r="N79" s="456">
        <v>0</v>
      </c>
      <c r="O79" s="456">
        <v>0</v>
      </c>
      <c r="P79" s="456">
        <v>0</v>
      </c>
      <c r="Q79" s="457">
        <v>0</v>
      </c>
    </row>
    <row r="80" spans="1:17" x14ac:dyDescent="0.25">
      <c r="A80" s="556">
        <v>48</v>
      </c>
      <c r="B80" s="569" t="s">
        <v>767</v>
      </c>
      <c r="C80" s="467"/>
      <c r="D80" s="454">
        <v>38.786999999999999</v>
      </c>
      <c r="E80" s="454">
        <v>0.68700000000000006</v>
      </c>
      <c r="F80" s="454">
        <v>12.576000000000001</v>
      </c>
      <c r="G80" s="454">
        <v>6.0789999999999997</v>
      </c>
      <c r="H80" s="454">
        <v>9191.6769999999997</v>
      </c>
      <c r="I80" s="454">
        <v>40.270000000000003</v>
      </c>
      <c r="J80" s="454">
        <v>9290.0760000000009</v>
      </c>
      <c r="K80" s="456">
        <v>10</v>
      </c>
      <c r="L80" s="456">
        <v>10</v>
      </c>
      <c r="M80" s="456">
        <v>10</v>
      </c>
      <c r="N80" s="456">
        <v>20</v>
      </c>
      <c r="O80" s="456">
        <v>30</v>
      </c>
      <c r="P80" s="456">
        <v>10</v>
      </c>
      <c r="Q80" s="457">
        <v>60</v>
      </c>
    </row>
    <row r="81" spans="1:17" x14ac:dyDescent="0.25">
      <c r="A81" s="556">
        <v>49</v>
      </c>
      <c r="B81" s="557" t="s">
        <v>768</v>
      </c>
      <c r="C81" s="467"/>
      <c r="D81" s="454">
        <v>0</v>
      </c>
      <c r="E81" s="454">
        <v>0</v>
      </c>
      <c r="F81" s="454">
        <v>0</v>
      </c>
      <c r="G81" s="454">
        <v>0</v>
      </c>
      <c r="H81" s="454">
        <v>0</v>
      </c>
      <c r="I81" s="454">
        <v>0</v>
      </c>
      <c r="J81" s="454">
        <v>0</v>
      </c>
      <c r="K81" s="456">
        <v>0</v>
      </c>
      <c r="L81" s="456">
        <v>0</v>
      </c>
      <c r="M81" s="456">
        <v>0</v>
      </c>
      <c r="N81" s="456">
        <v>0</v>
      </c>
      <c r="O81" s="456">
        <v>0</v>
      </c>
      <c r="P81" s="456">
        <v>0</v>
      </c>
      <c r="Q81" s="457">
        <v>0</v>
      </c>
    </row>
    <row r="82" spans="1:17" ht="30" x14ac:dyDescent="0.25">
      <c r="A82" s="468">
        <v>50</v>
      </c>
      <c r="B82" s="469" t="s">
        <v>769</v>
      </c>
      <c r="C82" s="558">
        <v>0</v>
      </c>
      <c r="D82" s="558">
        <v>21737.004000000001</v>
      </c>
      <c r="E82" s="558">
        <v>8053.7840000000006</v>
      </c>
      <c r="F82" s="558">
        <v>4429.7049999999999</v>
      </c>
      <c r="G82" s="558">
        <v>2972.6190000000006</v>
      </c>
      <c r="H82" s="558">
        <v>141472.505</v>
      </c>
      <c r="I82" s="558">
        <v>9323.5119999999988</v>
      </c>
      <c r="J82" s="558">
        <v>187989.12899999999</v>
      </c>
      <c r="K82" s="558">
        <v>25467.743616191998</v>
      </c>
      <c r="L82" s="558">
        <v>12934.713988976378</v>
      </c>
      <c r="M82" s="558">
        <v>3231.9869250000002</v>
      </c>
      <c r="N82" s="558">
        <v>39979.264901820468</v>
      </c>
      <c r="O82" s="558">
        <v>52913.978890796847</v>
      </c>
      <c r="P82" s="558">
        <v>15228.987716930002</v>
      </c>
      <c r="Q82" s="558">
        <v>96842.697148918829</v>
      </c>
    </row>
    <row r="83" spans="1:17" ht="25.5" x14ac:dyDescent="0.25">
      <c r="A83" s="556">
        <v>51</v>
      </c>
      <c r="B83" s="557" t="s">
        <v>770</v>
      </c>
      <c r="C83" s="467"/>
      <c r="D83" s="454">
        <v>0</v>
      </c>
      <c r="E83" s="454">
        <v>0</v>
      </c>
      <c r="F83" s="454">
        <v>0</v>
      </c>
      <c r="G83" s="454">
        <v>0</v>
      </c>
      <c r="H83" s="454">
        <v>187383.04800000001</v>
      </c>
      <c r="I83" s="454">
        <v>0</v>
      </c>
      <c r="J83" s="454">
        <v>187383.04800000001</v>
      </c>
      <c r="K83" s="456">
        <v>0</v>
      </c>
      <c r="L83" s="456">
        <v>0</v>
      </c>
      <c r="M83" s="456">
        <v>0</v>
      </c>
      <c r="N83" s="456">
        <v>0</v>
      </c>
      <c r="O83" s="456">
        <v>0</v>
      </c>
      <c r="P83" s="456">
        <v>0</v>
      </c>
      <c r="Q83" s="457">
        <v>0</v>
      </c>
    </row>
    <row r="84" spans="1:17" x14ac:dyDescent="0.25">
      <c r="A84" s="556">
        <v>52</v>
      </c>
      <c r="B84" s="557" t="s">
        <v>771</v>
      </c>
      <c r="C84" s="467"/>
      <c r="D84" s="454">
        <v>0</v>
      </c>
      <c r="E84" s="454">
        <v>0</v>
      </c>
      <c r="F84" s="454">
        <v>0</v>
      </c>
      <c r="G84" s="454">
        <v>0</v>
      </c>
      <c r="H84" s="454">
        <v>0</v>
      </c>
      <c r="I84" s="454">
        <v>0</v>
      </c>
      <c r="J84" s="454">
        <v>0</v>
      </c>
      <c r="K84" s="456">
        <v>0</v>
      </c>
      <c r="L84" s="456">
        <v>0</v>
      </c>
      <c r="M84" s="456">
        <v>0</v>
      </c>
      <c r="N84" s="456">
        <v>0</v>
      </c>
      <c r="O84" s="456">
        <v>0</v>
      </c>
      <c r="P84" s="456">
        <v>0</v>
      </c>
      <c r="Q84" s="457">
        <v>0</v>
      </c>
    </row>
    <row r="85" spans="1:17" ht="25.5" x14ac:dyDescent="0.25">
      <c r="A85" s="556">
        <v>53</v>
      </c>
      <c r="B85" s="557" t="s">
        <v>772</v>
      </c>
      <c r="C85" s="467"/>
      <c r="D85" s="454">
        <v>0</v>
      </c>
      <c r="E85" s="454">
        <v>0</v>
      </c>
      <c r="F85" s="454">
        <v>0</v>
      </c>
      <c r="G85" s="454">
        <v>0</v>
      </c>
      <c r="H85" s="454">
        <v>0</v>
      </c>
      <c r="I85" s="454">
        <v>0</v>
      </c>
      <c r="J85" s="454">
        <v>0</v>
      </c>
      <c r="K85" s="456">
        <v>0</v>
      </c>
      <c r="L85" s="456">
        <v>0</v>
      </c>
      <c r="M85" s="456">
        <v>0</v>
      </c>
      <c r="N85" s="456">
        <v>0</v>
      </c>
      <c r="O85" s="456">
        <v>0</v>
      </c>
      <c r="P85" s="456">
        <v>0</v>
      </c>
      <c r="Q85" s="457">
        <v>0</v>
      </c>
    </row>
    <row r="86" spans="1:17" ht="25.5" x14ac:dyDescent="0.25">
      <c r="A86" s="556">
        <v>54</v>
      </c>
      <c r="B86" s="557" t="s">
        <v>773</v>
      </c>
      <c r="C86" s="467">
        <v>0</v>
      </c>
      <c r="D86" s="454">
        <v>0</v>
      </c>
      <c r="E86" s="454">
        <v>0</v>
      </c>
      <c r="F86" s="454">
        <v>0</v>
      </c>
      <c r="G86" s="454">
        <v>0</v>
      </c>
      <c r="H86" s="454">
        <v>4947.9159999999993</v>
      </c>
      <c r="I86" s="454">
        <v>300</v>
      </c>
      <c r="J86" s="454">
        <v>5247.9159999999993</v>
      </c>
      <c r="K86" s="456">
        <v>0</v>
      </c>
      <c r="L86" s="456">
        <v>0</v>
      </c>
      <c r="M86" s="456">
        <v>0</v>
      </c>
      <c r="N86" s="456">
        <v>4034</v>
      </c>
      <c r="O86" s="456">
        <v>4034</v>
      </c>
      <c r="P86" s="456">
        <v>0</v>
      </c>
      <c r="Q86" s="457">
        <v>4034</v>
      </c>
    </row>
    <row r="87" spans="1:17" x14ac:dyDescent="0.25">
      <c r="A87" s="556">
        <v>5401</v>
      </c>
      <c r="B87" s="561" t="s">
        <v>774</v>
      </c>
      <c r="C87" s="467"/>
      <c r="D87" s="454">
        <v>0</v>
      </c>
      <c r="E87" s="454">
        <v>0</v>
      </c>
      <c r="F87" s="454">
        <v>0</v>
      </c>
      <c r="G87" s="454">
        <v>0</v>
      </c>
      <c r="H87" s="454">
        <v>0</v>
      </c>
      <c r="I87" s="454">
        <v>0</v>
      </c>
      <c r="J87" s="454">
        <v>0</v>
      </c>
      <c r="K87" s="456">
        <v>0</v>
      </c>
      <c r="L87" s="456">
        <v>0</v>
      </c>
      <c r="M87" s="456">
        <v>0</v>
      </c>
      <c r="N87" s="456">
        <v>0</v>
      </c>
      <c r="O87" s="456">
        <v>0</v>
      </c>
      <c r="P87" s="456">
        <v>0</v>
      </c>
      <c r="Q87" s="457">
        <v>0</v>
      </c>
    </row>
    <row r="88" spans="1:17" x14ac:dyDescent="0.25">
      <c r="A88" s="556">
        <v>5402</v>
      </c>
      <c r="B88" s="561" t="s">
        <v>775</v>
      </c>
      <c r="C88" s="467"/>
      <c r="D88" s="454">
        <v>0</v>
      </c>
      <c r="E88" s="454">
        <v>0</v>
      </c>
      <c r="F88" s="454">
        <v>0</v>
      </c>
      <c r="G88" s="454">
        <v>0</v>
      </c>
      <c r="H88" s="454">
        <v>0</v>
      </c>
      <c r="I88" s="454">
        <v>0</v>
      </c>
      <c r="J88" s="454">
        <v>0</v>
      </c>
      <c r="K88" s="456">
        <v>0</v>
      </c>
      <c r="L88" s="456">
        <v>0</v>
      </c>
      <c r="M88" s="456">
        <v>0</v>
      </c>
      <c r="N88" s="456">
        <v>0</v>
      </c>
      <c r="O88" s="456">
        <v>0</v>
      </c>
      <c r="P88" s="456">
        <v>0</v>
      </c>
      <c r="Q88" s="457">
        <v>0</v>
      </c>
    </row>
    <row r="89" spans="1:17" x14ac:dyDescent="0.25">
      <c r="A89" s="556">
        <v>5403</v>
      </c>
      <c r="B89" s="561" t="s">
        <v>776</v>
      </c>
      <c r="C89" s="467"/>
      <c r="D89" s="454">
        <v>0</v>
      </c>
      <c r="E89" s="454">
        <v>0</v>
      </c>
      <c r="F89" s="454">
        <v>0</v>
      </c>
      <c r="G89" s="454">
        <v>0</v>
      </c>
      <c r="H89" s="454">
        <v>382.41</v>
      </c>
      <c r="I89" s="454">
        <v>0</v>
      </c>
      <c r="J89" s="454">
        <v>382.41</v>
      </c>
      <c r="K89" s="456">
        <v>0</v>
      </c>
      <c r="L89" s="456">
        <v>0</v>
      </c>
      <c r="M89" s="456">
        <v>0</v>
      </c>
      <c r="N89" s="456">
        <v>576</v>
      </c>
      <c r="O89" s="456">
        <v>576</v>
      </c>
      <c r="P89" s="456">
        <v>0</v>
      </c>
      <c r="Q89" s="457">
        <v>576</v>
      </c>
    </row>
    <row r="90" spans="1:17" x14ac:dyDescent="0.25">
      <c r="A90" s="556">
        <v>5404</v>
      </c>
      <c r="B90" s="561" t="s">
        <v>777</v>
      </c>
      <c r="C90" s="467"/>
      <c r="D90" s="454">
        <v>0</v>
      </c>
      <c r="E90" s="454">
        <v>0</v>
      </c>
      <c r="F90" s="454">
        <v>0</v>
      </c>
      <c r="G90" s="454">
        <v>0</v>
      </c>
      <c r="H90" s="454">
        <v>69.3</v>
      </c>
      <c r="I90" s="454">
        <v>0</v>
      </c>
      <c r="J90" s="454">
        <v>69.3</v>
      </c>
      <c r="K90" s="456">
        <v>0</v>
      </c>
      <c r="L90" s="456">
        <v>0</v>
      </c>
      <c r="M90" s="456">
        <v>0</v>
      </c>
      <c r="N90" s="456">
        <v>78</v>
      </c>
      <c r="O90" s="456">
        <v>78</v>
      </c>
      <c r="P90" s="456">
        <v>0</v>
      </c>
      <c r="Q90" s="457">
        <v>78</v>
      </c>
    </row>
    <row r="91" spans="1:17" x14ac:dyDescent="0.25">
      <c r="A91" s="556">
        <v>5405</v>
      </c>
      <c r="B91" s="561" t="s">
        <v>778</v>
      </c>
      <c r="C91" s="467"/>
      <c r="D91" s="454">
        <v>0</v>
      </c>
      <c r="E91" s="454">
        <v>0</v>
      </c>
      <c r="F91" s="454">
        <v>0</v>
      </c>
      <c r="G91" s="454">
        <v>0</v>
      </c>
      <c r="H91" s="454">
        <v>0</v>
      </c>
      <c r="I91" s="454">
        <v>0</v>
      </c>
      <c r="J91" s="454">
        <v>0</v>
      </c>
      <c r="K91" s="456">
        <v>0</v>
      </c>
      <c r="L91" s="456">
        <v>0</v>
      </c>
      <c r="M91" s="456">
        <v>0</v>
      </c>
      <c r="N91" s="456">
        <v>0</v>
      </c>
      <c r="O91" s="456">
        <v>0</v>
      </c>
      <c r="P91" s="456">
        <v>0</v>
      </c>
      <c r="Q91" s="457">
        <v>0</v>
      </c>
    </row>
    <row r="92" spans="1:17" x14ac:dyDescent="0.25">
      <c r="A92" s="556">
        <v>5406</v>
      </c>
      <c r="B92" s="561" t="s">
        <v>779</v>
      </c>
      <c r="C92" s="467"/>
      <c r="D92" s="454">
        <v>0</v>
      </c>
      <c r="E92" s="454">
        <v>0</v>
      </c>
      <c r="F92" s="454">
        <v>0</v>
      </c>
      <c r="G92" s="454">
        <v>0</v>
      </c>
      <c r="H92" s="454">
        <v>1126.7349999999999</v>
      </c>
      <c r="I92" s="454">
        <v>0</v>
      </c>
      <c r="J92" s="454">
        <v>1126.7349999999999</v>
      </c>
      <c r="K92" s="456">
        <v>0</v>
      </c>
      <c r="L92" s="456">
        <v>0</v>
      </c>
      <c r="M92" s="456">
        <v>0</v>
      </c>
      <c r="N92" s="456">
        <v>0</v>
      </c>
      <c r="O92" s="456">
        <v>0</v>
      </c>
      <c r="P92" s="456">
        <v>0</v>
      </c>
      <c r="Q92" s="457">
        <v>0</v>
      </c>
    </row>
    <row r="93" spans="1:17" x14ac:dyDescent="0.25">
      <c r="A93" s="556">
        <v>5407</v>
      </c>
      <c r="B93" s="561" t="s">
        <v>780</v>
      </c>
      <c r="C93" s="467"/>
      <c r="D93" s="454">
        <v>0</v>
      </c>
      <c r="E93" s="454">
        <v>0</v>
      </c>
      <c r="F93" s="454">
        <v>0</v>
      </c>
      <c r="G93" s="454">
        <v>0</v>
      </c>
      <c r="H93" s="454">
        <v>0</v>
      </c>
      <c r="I93" s="454">
        <v>0</v>
      </c>
      <c r="J93" s="454">
        <v>0</v>
      </c>
      <c r="K93" s="456">
        <v>0</v>
      </c>
      <c r="L93" s="456">
        <v>0</v>
      </c>
      <c r="M93" s="456">
        <v>0</v>
      </c>
      <c r="N93" s="456">
        <v>0</v>
      </c>
      <c r="O93" s="456">
        <v>0</v>
      </c>
      <c r="P93" s="456">
        <v>0</v>
      </c>
      <c r="Q93" s="457">
        <v>0</v>
      </c>
    </row>
    <row r="94" spans="1:17" x14ac:dyDescent="0.25">
      <c r="A94" s="556">
        <v>5408</v>
      </c>
      <c r="B94" s="561" t="s">
        <v>781</v>
      </c>
      <c r="C94" s="467"/>
      <c r="D94" s="454">
        <v>0</v>
      </c>
      <c r="E94" s="454">
        <v>0</v>
      </c>
      <c r="F94" s="454">
        <v>0</v>
      </c>
      <c r="G94" s="454">
        <v>0</v>
      </c>
      <c r="H94" s="454">
        <v>1260</v>
      </c>
      <c r="I94" s="454">
        <v>0</v>
      </c>
      <c r="J94" s="454">
        <v>1260</v>
      </c>
      <c r="K94" s="456">
        <v>0</v>
      </c>
      <c r="L94" s="456">
        <v>0</v>
      </c>
      <c r="M94" s="456">
        <v>0</v>
      </c>
      <c r="N94" s="456">
        <v>1080</v>
      </c>
      <c r="O94" s="456">
        <v>1080</v>
      </c>
      <c r="P94" s="456">
        <v>0</v>
      </c>
      <c r="Q94" s="457">
        <v>1080</v>
      </c>
    </row>
    <row r="95" spans="1:17" x14ac:dyDescent="0.25">
      <c r="A95" s="556">
        <v>5409</v>
      </c>
      <c r="B95" s="561" t="s">
        <v>782</v>
      </c>
      <c r="C95" s="467"/>
      <c r="D95" s="454">
        <v>0</v>
      </c>
      <c r="E95" s="454">
        <v>0</v>
      </c>
      <c r="F95" s="454">
        <v>0</v>
      </c>
      <c r="G95" s="454">
        <v>0</v>
      </c>
      <c r="H95" s="454">
        <v>2109.471</v>
      </c>
      <c r="I95" s="454">
        <v>300</v>
      </c>
      <c r="J95" s="454">
        <v>2409.471</v>
      </c>
      <c r="K95" s="456">
        <v>0</v>
      </c>
      <c r="L95" s="456">
        <v>0</v>
      </c>
      <c r="M95" s="456">
        <v>0</v>
      </c>
      <c r="N95" s="456">
        <v>2300</v>
      </c>
      <c r="O95" s="456">
        <v>2300</v>
      </c>
      <c r="P95" s="456">
        <v>0</v>
      </c>
      <c r="Q95" s="457">
        <v>2300</v>
      </c>
    </row>
    <row r="96" spans="1:17" x14ac:dyDescent="0.25">
      <c r="A96" s="556">
        <v>5410</v>
      </c>
      <c r="B96" s="561" t="s">
        <v>783</v>
      </c>
      <c r="C96" s="467"/>
      <c r="D96" s="454">
        <v>0</v>
      </c>
      <c r="E96" s="454">
        <v>0</v>
      </c>
      <c r="F96" s="454">
        <v>0</v>
      </c>
      <c r="G96" s="454">
        <v>0</v>
      </c>
      <c r="H96" s="454">
        <v>0</v>
      </c>
      <c r="I96" s="454">
        <v>0</v>
      </c>
      <c r="J96" s="454">
        <v>0</v>
      </c>
      <c r="K96" s="456">
        <v>0</v>
      </c>
      <c r="L96" s="456">
        <v>0</v>
      </c>
      <c r="M96" s="456">
        <v>0</v>
      </c>
      <c r="N96" s="456">
        <v>0</v>
      </c>
      <c r="O96" s="456">
        <v>0</v>
      </c>
      <c r="P96" s="456">
        <v>0</v>
      </c>
      <c r="Q96" s="457">
        <v>0</v>
      </c>
    </row>
    <row r="97" spans="1:17" x14ac:dyDescent="0.25">
      <c r="A97" s="556">
        <v>5411</v>
      </c>
      <c r="B97" s="561" t="s">
        <v>784</v>
      </c>
      <c r="C97" s="467"/>
      <c r="D97" s="454">
        <v>0</v>
      </c>
      <c r="E97" s="454">
        <v>0</v>
      </c>
      <c r="F97" s="454">
        <v>0</v>
      </c>
      <c r="G97" s="454">
        <v>0</v>
      </c>
      <c r="H97" s="454">
        <v>0</v>
      </c>
      <c r="I97" s="454">
        <v>0</v>
      </c>
      <c r="J97" s="454">
        <v>0</v>
      </c>
      <c r="K97" s="456">
        <v>0</v>
      </c>
      <c r="L97" s="456">
        <v>0</v>
      </c>
      <c r="M97" s="456">
        <v>0</v>
      </c>
      <c r="N97" s="456">
        <v>0</v>
      </c>
      <c r="O97" s="456">
        <v>0</v>
      </c>
      <c r="P97" s="456">
        <v>0</v>
      </c>
      <c r="Q97" s="457">
        <v>0</v>
      </c>
    </row>
    <row r="98" spans="1:17" x14ac:dyDescent="0.25">
      <c r="A98" s="556">
        <v>5412</v>
      </c>
      <c r="B98" s="561" t="s">
        <v>785</v>
      </c>
      <c r="C98" s="467"/>
      <c r="D98" s="454">
        <v>0</v>
      </c>
      <c r="E98" s="454">
        <v>0</v>
      </c>
      <c r="F98" s="454">
        <v>0</v>
      </c>
      <c r="G98" s="454">
        <v>0</v>
      </c>
      <c r="H98" s="454">
        <v>0</v>
      </c>
      <c r="I98" s="454">
        <v>0</v>
      </c>
      <c r="J98" s="454">
        <v>0</v>
      </c>
      <c r="K98" s="456">
        <v>0</v>
      </c>
      <c r="L98" s="456">
        <v>0</v>
      </c>
      <c r="M98" s="456">
        <v>0</v>
      </c>
      <c r="N98" s="456">
        <v>0</v>
      </c>
      <c r="O98" s="456">
        <v>0</v>
      </c>
      <c r="P98" s="456">
        <v>0</v>
      </c>
      <c r="Q98" s="457">
        <v>0</v>
      </c>
    </row>
    <row r="99" spans="1:17" ht="25.5" x14ac:dyDescent="0.25">
      <c r="A99" s="556">
        <v>55</v>
      </c>
      <c r="B99" s="557" t="s">
        <v>786</v>
      </c>
      <c r="C99" s="467">
        <v>0</v>
      </c>
      <c r="D99" s="454">
        <v>0</v>
      </c>
      <c r="E99" s="454">
        <v>0</v>
      </c>
      <c r="F99" s="454">
        <v>0</v>
      </c>
      <c r="G99" s="454">
        <v>0</v>
      </c>
      <c r="H99" s="454">
        <v>21959.952999999998</v>
      </c>
      <c r="I99" s="454">
        <v>0</v>
      </c>
      <c r="J99" s="454">
        <v>21959.952999999998</v>
      </c>
      <c r="K99" s="456">
        <v>0</v>
      </c>
      <c r="L99" s="456">
        <v>0</v>
      </c>
      <c r="M99" s="456">
        <v>0</v>
      </c>
      <c r="N99" s="456">
        <v>1850</v>
      </c>
      <c r="O99" s="456">
        <v>1850</v>
      </c>
      <c r="P99" s="456">
        <v>13543</v>
      </c>
      <c r="Q99" s="457">
        <v>15393</v>
      </c>
    </row>
    <row r="100" spans="1:17" x14ac:dyDescent="0.25">
      <c r="A100" s="556">
        <v>5501</v>
      </c>
      <c r="B100" s="570" t="s">
        <v>787</v>
      </c>
      <c r="C100" s="467"/>
      <c r="D100" s="454">
        <v>0</v>
      </c>
      <c r="E100" s="454">
        <v>0</v>
      </c>
      <c r="F100" s="454">
        <v>0</v>
      </c>
      <c r="G100" s="454">
        <v>0</v>
      </c>
      <c r="H100" s="454">
        <v>1955.4670000000001</v>
      </c>
      <c r="I100" s="454">
        <v>0</v>
      </c>
      <c r="J100" s="454">
        <v>1955.4670000000001</v>
      </c>
      <c r="K100" s="456">
        <v>0</v>
      </c>
      <c r="L100" s="456">
        <v>0</v>
      </c>
      <c r="M100" s="456">
        <v>0</v>
      </c>
      <c r="N100" s="456">
        <v>0</v>
      </c>
      <c r="O100" s="456">
        <v>0</v>
      </c>
      <c r="P100" s="456">
        <v>1955</v>
      </c>
      <c r="Q100" s="457">
        <v>1955</v>
      </c>
    </row>
    <row r="101" spans="1:17" x14ac:dyDescent="0.25">
      <c r="A101" s="556">
        <v>5502</v>
      </c>
      <c r="B101" s="570" t="s">
        <v>788</v>
      </c>
      <c r="C101" s="467"/>
      <c r="D101" s="454">
        <v>0</v>
      </c>
      <c r="E101" s="454">
        <v>0</v>
      </c>
      <c r="F101" s="454">
        <v>0</v>
      </c>
      <c r="G101" s="454">
        <v>0</v>
      </c>
      <c r="H101" s="454">
        <v>0</v>
      </c>
      <c r="I101" s="454">
        <v>0</v>
      </c>
      <c r="J101" s="454">
        <v>0</v>
      </c>
      <c r="K101" s="456">
        <v>0</v>
      </c>
      <c r="L101" s="456">
        <v>0</v>
      </c>
      <c r="M101" s="456">
        <v>0</v>
      </c>
      <c r="N101" s="456">
        <v>0</v>
      </c>
      <c r="O101" s="456">
        <v>0</v>
      </c>
      <c r="P101" s="456">
        <v>0</v>
      </c>
      <c r="Q101" s="457">
        <v>0</v>
      </c>
    </row>
    <row r="102" spans="1:17" x14ac:dyDescent="0.25">
      <c r="A102" s="556">
        <v>5503</v>
      </c>
      <c r="B102" s="570" t="s">
        <v>789</v>
      </c>
      <c r="C102" s="467"/>
      <c r="D102" s="454">
        <v>0</v>
      </c>
      <c r="E102" s="454">
        <v>0</v>
      </c>
      <c r="F102" s="454">
        <v>0</v>
      </c>
      <c r="G102" s="454">
        <v>0</v>
      </c>
      <c r="H102" s="454">
        <v>8160.45</v>
      </c>
      <c r="I102" s="454">
        <v>0</v>
      </c>
      <c r="J102" s="454">
        <v>8160.45</v>
      </c>
      <c r="K102" s="456">
        <v>0</v>
      </c>
      <c r="L102" s="456">
        <v>0</v>
      </c>
      <c r="M102" s="456">
        <v>0</v>
      </c>
      <c r="N102" s="456">
        <v>0</v>
      </c>
      <c r="O102" s="456">
        <v>0</v>
      </c>
      <c r="P102" s="456">
        <v>8182</v>
      </c>
      <c r="Q102" s="457">
        <v>8182</v>
      </c>
    </row>
    <row r="103" spans="1:17" x14ac:dyDescent="0.25">
      <c r="A103" s="556">
        <v>5504</v>
      </c>
      <c r="B103" s="570" t="s">
        <v>790</v>
      </c>
      <c r="C103" s="467"/>
      <c r="D103" s="454">
        <v>0</v>
      </c>
      <c r="E103" s="454">
        <v>0</v>
      </c>
      <c r="F103" s="454">
        <v>0</v>
      </c>
      <c r="G103" s="454">
        <v>0</v>
      </c>
      <c r="H103" s="454">
        <v>0</v>
      </c>
      <c r="I103" s="454">
        <v>0</v>
      </c>
      <c r="J103" s="454">
        <v>0</v>
      </c>
      <c r="K103" s="456">
        <v>0</v>
      </c>
      <c r="L103" s="456">
        <v>0</v>
      </c>
      <c r="M103" s="456">
        <v>0</v>
      </c>
      <c r="N103" s="456">
        <v>0</v>
      </c>
      <c r="O103" s="456">
        <v>0</v>
      </c>
      <c r="P103" s="456">
        <v>0</v>
      </c>
      <c r="Q103" s="457">
        <v>0</v>
      </c>
    </row>
    <row r="104" spans="1:17" x14ac:dyDescent="0.25">
      <c r="A104" s="556">
        <v>5505</v>
      </c>
      <c r="B104" s="570" t="s">
        <v>463</v>
      </c>
      <c r="C104" s="467"/>
      <c r="D104" s="454">
        <v>0</v>
      </c>
      <c r="E104" s="454">
        <v>0</v>
      </c>
      <c r="F104" s="454">
        <v>0</v>
      </c>
      <c r="G104" s="454">
        <v>0</v>
      </c>
      <c r="H104" s="454">
        <v>889.2</v>
      </c>
      <c r="I104" s="454">
        <v>0</v>
      </c>
      <c r="J104" s="454">
        <v>889.2</v>
      </c>
      <c r="K104" s="456">
        <v>0</v>
      </c>
      <c r="L104" s="456">
        <v>0</v>
      </c>
      <c r="M104" s="456">
        <v>0</v>
      </c>
      <c r="N104" s="456">
        <v>74</v>
      </c>
      <c r="O104" s="456">
        <v>74</v>
      </c>
      <c r="P104" s="456">
        <v>0</v>
      </c>
      <c r="Q104" s="457">
        <v>74</v>
      </c>
    </row>
    <row r="105" spans="1:17" x14ac:dyDescent="0.25">
      <c r="A105" s="556">
        <v>5506</v>
      </c>
      <c r="B105" s="570" t="s">
        <v>791</v>
      </c>
      <c r="C105" s="467"/>
      <c r="D105" s="454">
        <v>0</v>
      </c>
      <c r="E105" s="454">
        <v>0</v>
      </c>
      <c r="F105" s="454">
        <v>0</v>
      </c>
      <c r="G105" s="454">
        <v>0</v>
      </c>
      <c r="H105" s="454">
        <v>3117.4850000000001</v>
      </c>
      <c r="I105" s="454">
        <v>0</v>
      </c>
      <c r="J105" s="454">
        <v>3117.4850000000001</v>
      </c>
      <c r="K105" s="456">
        <v>0</v>
      </c>
      <c r="L105" s="456">
        <v>0</v>
      </c>
      <c r="M105" s="456">
        <v>0</v>
      </c>
      <c r="N105" s="456">
        <v>0</v>
      </c>
      <c r="O105" s="456">
        <v>0</v>
      </c>
      <c r="P105" s="456">
        <v>3117</v>
      </c>
      <c r="Q105" s="457">
        <v>3117</v>
      </c>
    </row>
    <row r="106" spans="1:17" x14ac:dyDescent="0.25">
      <c r="A106" s="556">
        <v>5507</v>
      </c>
      <c r="B106" s="570" t="s">
        <v>689</v>
      </c>
      <c r="C106" s="467"/>
      <c r="D106" s="454">
        <v>0</v>
      </c>
      <c r="E106" s="454">
        <v>0</v>
      </c>
      <c r="F106" s="454">
        <v>0</v>
      </c>
      <c r="G106" s="454">
        <v>0</v>
      </c>
      <c r="H106" s="454">
        <v>4270.6149999999998</v>
      </c>
      <c r="I106" s="454">
        <v>0</v>
      </c>
      <c r="J106" s="454">
        <v>4270.6149999999998</v>
      </c>
      <c r="K106" s="456">
        <v>0</v>
      </c>
      <c r="L106" s="456">
        <v>0</v>
      </c>
      <c r="M106" s="456">
        <v>0</v>
      </c>
      <c r="N106" s="456">
        <v>304</v>
      </c>
      <c r="O106" s="456">
        <v>304</v>
      </c>
      <c r="P106" s="456">
        <v>0</v>
      </c>
      <c r="Q106" s="457">
        <v>304</v>
      </c>
    </row>
    <row r="107" spans="1:17" x14ac:dyDescent="0.25">
      <c r="A107" s="556">
        <v>5508</v>
      </c>
      <c r="B107" s="570" t="s">
        <v>792</v>
      </c>
      <c r="C107" s="467"/>
      <c r="D107" s="454">
        <v>0</v>
      </c>
      <c r="E107" s="454">
        <v>0</v>
      </c>
      <c r="F107" s="454">
        <v>0</v>
      </c>
      <c r="G107" s="454">
        <v>0</v>
      </c>
      <c r="H107" s="454">
        <v>0</v>
      </c>
      <c r="I107" s="454">
        <v>0</v>
      </c>
      <c r="J107" s="454">
        <v>0</v>
      </c>
      <c r="K107" s="456">
        <v>0</v>
      </c>
      <c r="L107" s="456">
        <v>0</v>
      </c>
      <c r="M107" s="456">
        <v>0</v>
      </c>
      <c r="N107" s="456">
        <v>0</v>
      </c>
      <c r="O107" s="456">
        <v>0</v>
      </c>
      <c r="P107" s="456">
        <v>0</v>
      </c>
      <c r="Q107" s="457">
        <v>0</v>
      </c>
    </row>
    <row r="108" spans="1:17" x14ac:dyDescent="0.25">
      <c r="A108" s="556">
        <v>5509</v>
      </c>
      <c r="B108" s="570" t="s">
        <v>690</v>
      </c>
      <c r="C108" s="467"/>
      <c r="D108" s="454">
        <v>0</v>
      </c>
      <c r="E108" s="454">
        <v>0</v>
      </c>
      <c r="F108" s="454">
        <v>0</v>
      </c>
      <c r="G108" s="454">
        <v>0</v>
      </c>
      <c r="H108" s="454">
        <v>516.13</v>
      </c>
      <c r="I108" s="454">
        <v>0</v>
      </c>
      <c r="J108" s="454">
        <v>516.13</v>
      </c>
      <c r="K108" s="456">
        <v>0</v>
      </c>
      <c r="L108" s="456">
        <v>0</v>
      </c>
      <c r="M108" s="456">
        <v>0</v>
      </c>
      <c r="N108" s="456">
        <v>516</v>
      </c>
      <c r="O108" s="456">
        <v>516</v>
      </c>
      <c r="P108" s="456">
        <v>0</v>
      </c>
      <c r="Q108" s="457">
        <v>516</v>
      </c>
    </row>
    <row r="109" spans="1:17" x14ac:dyDescent="0.25">
      <c r="A109" s="556">
        <v>5510</v>
      </c>
      <c r="B109" s="570" t="s">
        <v>691</v>
      </c>
      <c r="C109" s="467"/>
      <c r="D109" s="454">
        <v>0</v>
      </c>
      <c r="E109" s="454">
        <v>0</v>
      </c>
      <c r="F109" s="454">
        <v>0</v>
      </c>
      <c r="G109" s="454">
        <v>0</v>
      </c>
      <c r="H109" s="454">
        <v>513</v>
      </c>
      <c r="I109" s="454">
        <v>0</v>
      </c>
      <c r="J109" s="454">
        <v>513</v>
      </c>
      <c r="K109" s="456">
        <v>0</v>
      </c>
      <c r="L109" s="456">
        <v>0</v>
      </c>
      <c r="M109" s="456">
        <v>0</v>
      </c>
      <c r="N109" s="456">
        <v>513</v>
      </c>
      <c r="O109" s="456">
        <v>513</v>
      </c>
      <c r="P109" s="456">
        <v>0</v>
      </c>
      <c r="Q109" s="457">
        <v>513</v>
      </c>
    </row>
    <row r="110" spans="1:17" x14ac:dyDescent="0.25">
      <c r="A110" s="556">
        <v>5511</v>
      </c>
      <c r="B110" s="570" t="s">
        <v>793</v>
      </c>
      <c r="C110" s="467"/>
      <c r="D110" s="454">
        <v>0</v>
      </c>
      <c r="E110" s="454">
        <v>0</v>
      </c>
      <c r="F110" s="454">
        <v>0</v>
      </c>
      <c r="G110" s="454">
        <v>0</v>
      </c>
      <c r="H110" s="454">
        <v>1218</v>
      </c>
      <c r="I110" s="454">
        <v>0</v>
      </c>
      <c r="J110" s="454">
        <v>1218</v>
      </c>
      <c r="K110" s="456">
        <v>0</v>
      </c>
      <c r="L110" s="456">
        <v>0</v>
      </c>
      <c r="M110" s="456">
        <v>0</v>
      </c>
      <c r="N110" s="456">
        <v>0</v>
      </c>
      <c r="O110" s="456">
        <v>0</v>
      </c>
      <c r="P110" s="456">
        <v>0</v>
      </c>
      <c r="Q110" s="457">
        <v>0</v>
      </c>
    </row>
    <row r="111" spans="1:17" x14ac:dyDescent="0.25">
      <c r="A111" s="556">
        <v>5512</v>
      </c>
      <c r="B111" s="570" t="s">
        <v>794</v>
      </c>
      <c r="C111" s="467"/>
      <c r="D111" s="454">
        <v>0</v>
      </c>
      <c r="E111" s="454">
        <v>0</v>
      </c>
      <c r="F111" s="454">
        <v>0</v>
      </c>
      <c r="G111" s="454">
        <v>0</v>
      </c>
      <c r="H111" s="454">
        <v>0</v>
      </c>
      <c r="I111" s="454">
        <v>0</v>
      </c>
      <c r="J111" s="454">
        <v>0</v>
      </c>
      <c r="K111" s="456">
        <v>0</v>
      </c>
      <c r="L111" s="456">
        <v>0</v>
      </c>
      <c r="M111" s="456">
        <v>0</v>
      </c>
      <c r="N111" s="456">
        <v>0</v>
      </c>
      <c r="O111" s="456">
        <v>0</v>
      </c>
      <c r="P111" s="456">
        <v>0</v>
      </c>
      <c r="Q111" s="457">
        <v>0</v>
      </c>
    </row>
    <row r="112" spans="1:17" x14ac:dyDescent="0.25">
      <c r="A112" s="556">
        <v>5513</v>
      </c>
      <c r="B112" s="570" t="s">
        <v>682</v>
      </c>
      <c r="C112" s="467"/>
      <c r="D112" s="454">
        <v>0</v>
      </c>
      <c r="E112" s="454">
        <v>0</v>
      </c>
      <c r="F112" s="454">
        <v>0</v>
      </c>
      <c r="G112" s="454">
        <v>0</v>
      </c>
      <c r="H112" s="454">
        <v>360</v>
      </c>
      <c r="I112" s="454">
        <v>0</v>
      </c>
      <c r="J112" s="454">
        <v>360</v>
      </c>
      <c r="K112" s="456">
        <v>0</v>
      </c>
      <c r="L112" s="456">
        <v>0</v>
      </c>
      <c r="M112" s="456">
        <v>0</v>
      </c>
      <c r="N112" s="456">
        <v>0</v>
      </c>
      <c r="O112" s="456">
        <v>0</v>
      </c>
      <c r="P112" s="456">
        <v>0</v>
      </c>
      <c r="Q112" s="457">
        <v>0</v>
      </c>
    </row>
    <row r="113" spans="1:18" x14ac:dyDescent="0.25">
      <c r="A113" s="556">
        <v>5514</v>
      </c>
      <c r="B113" s="570" t="s">
        <v>795</v>
      </c>
      <c r="C113" s="467"/>
      <c r="D113" s="454">
        <v>0</v>
      </c>
      <c r="E113" s="454">
        <v>0</v>
      </c>
      <c r="F113" s="454">
        <v>0</v>
      </c>
      <c r="G113" s="454">
        <v>0</v>
      </c>
      <c r="H113" s="454">
        <v>0</v>
      </c>
      <c r="I113" s="454">
        <v>0</v>
      </c>
      <c r="J113" s="454">
        <v>0</v>
      </c>
      <c r="K113" s="456">
        <v>0</v>
      </c>
      <c r="L113" s="456">
        <v>0</v>
      </c>
      <c r="M113" s="456">
        <v>0</v>
      </c>
      <c r="N113" s="456">
        <v>0</v>
      </c>
      <c r="O113" s="456">
        <v>0</v>
      </c>
      <c r="P113" s="456">
        <v>0</v>
      </c>
      <c r="Q113" s="457">
        <v>0</v>
      </c>
    </row>
    <row r="114" spans="1:18" x14ac:dyDescent="0.25">
      <c r="A114" s="556">
        <v>5515</v>
      </c>
      <c r="B114" s="570" t="s">
        <v>796</v>
      </c>
      <c r="C114" s="467"/>
      <c r="D114" s="454">
        <v>0</v>
      </c>
      <c r="E114" s="454">
        <v>0</v>
      </c>
      <c r="F114" s="454">
        <v>0</v>
      </c>
      <c r="G114" s="454">
        <v>0</v>
      </c>
      <c r="H114" s="454">
        <v>50</v>
      </c>
      <c r="I114" s="454">
        <v>0</v>
      </c>
      <c r="J114" s="454">
        <v>50</v>
      </c>
      <c r="K114" s="456">
        <v>0</v>
      </c>
      <c r="L114" s="456">
        <v>0</v>
      </c>
      <c r="M114" s="456">
        <v>0</v>
      </c>
      <c r="N114" s="456">
        <v>60</v>
      </c>
      <c r="O114" s="456">
        <v>60</v>
      </c>
      <c r="P114" s="456">
        <v>0</v>
      </c>
      <c r="Q114" s="457">
        <v>60</v>
      </c>
    </row>
    <row r="115" spans="1:18" x14ac:dyDescent="0.25">
      <c r="A115" s="556">
        <v>5516</v>
      </c>
      <c r="B115" s="570" t="s">
        <v>797</v>
      </c>
      <c r="C115" s="467"/>
      <c r="D115" s="454">
        <v>0</v>
      </c>
      <c r="E115" s="454">
        <v>0</v>
      </c>
      <c r="F115" s="454">
        <v>0</v>
      </c>
      <c r="G115" s="454">
        <v>0</v>
      </c>
      <c r="H115" s="454">
        <v>0</v>
      </c>
      <c r="I115" s="454">
        <v>0</v>
      </c>
      <c r="J115" s="454">
        <v>0</v>
      </c>
      <c r="K115" s="456">
        <v>0</v>
      </c>
      <c r="L115" s="456">
        <v>0</v>
      </c>
      <c r="M115" s="456">
        <v>0</v>
      </c>
      <c r="N115" s="456">
        <v>0</v>
      </c>
      <c r="O115" s="456">
        <v>0</v>
      </c>
      <c r="P115" s="456">
        <v>0</v>
      </c>
      <c r="Q115" s="457">
        <v>0</v>
      </c>
    </row>
    <row r="116" spans="1:18" x14ac:dyDescent="0.25">
      <c r="A116" s="556">
        <v>5517</v>
      </c>
      <c r="B116" s="570" t="s">
        <v>798</v>
      </c>
      <c r="C116" s="467"/>
      <c r="D116" s="454">
        <v>0</v>
      </c>
      <c r="E116" s="454">
        <v>0</v>
      </c>
      <c r="F116" s="454">
        <v>0</v>
      </c>
      <c r="G116" s="454">
        <v>0</v>
      </c>
      <c r="H116" s="454">
        <v>200.53200000000001</v>
      </c>
      <c r="I116" s="454">
        <v>0</v>
      </c>
      <c r="J116" s="454">
        <v>200.53200000000001</v>
      </c>
      <c r="K116" s="456">
        <v>0</v>
      </c>
      <c r="L116" s="456">
        <v>0</v>
      </c>
      <c r="M116" s="456">
        <v>0</v>
      </c>
      <c r="N116" s="456">
        <v>201</v>
      </c>
      <c r="O116" s="456">
        <v>201</v>
      </c>
      <c r="P116" s="456">
        <v>0</v>
      </c>
      <c r="Q116" s="457">
        <v>201</v>
      </c>
    </row>
    <row r="117" spans="1:18" x14ac:dyDescent="0.25">
      <c r="A117" s="556">
        <v>5518</v>
      </c>
      <c r="B117" s="570" t="s">
        <v>799</v>
      </c>
      <c r="C117" s="467"/>
      <c r="D117" s="454">
        <v>0</v>
      </c>
      <c r="E117" s="454">
        <v>0</v>
      </c>
      <c r="F117" s="454">
        <v>0</v>
      </c>
      <c r="G117" s="454">
        <v>0</v>
      </c>
      <c r="H117" s="454">
        <v>0</v>
      </c>
      <c r="I117" s="454">
        <v>0</v>
      </c>
      <c r="J117" s="454">
        <v>0</v>
      </c>
      <c r="K117" s="456">
        <v>0</v>
      </c>
      <c r="L117" s="456">
        <v>0</v>
      </c>
      <c r="M117" s="456">
        <v>0</v>
      </c>
      <c r="N117" s="456">
        <v>0</v>
      </c>
      <c r="O117" s="456">
        <v>0</v>
      </c>
      <c r="P117" s="456">
        <v>0</v>
      </c>
      <c r="Q117" s="457">
        <v>0</v>
      </c>
    </row>
    <row r="118" spans="1:18" x14ac:dyDescent="0.25">
      <c r="A118" s="556">
        <v>5519</v>
      </c>
      <c r="B118" s="570" t="s">
        <v>464</v>
      </c>
      <c r="C118" s="467"/>
      <c r="D118" s="454">
        <v>0</v>
      </c>
      <c r="E118" s="454">
        <v>0</v>
      </c>
      <c r="F118" s="454">
        <v>0</v>
      </c>
      <c r="G118" s="454">
        <v>0</v>
      </c>
      <c r="H118" s="454">
        <v>133</v>
      </c>
      <c r="I118" s="454">
        <v>0</v>
      </c>
      <c r="J118" s="454">
        <v>133</v>
      </c>
      <c r="K118" s="456">
        <v>0</v>
      </c>
      <c r="L118" s="456">
        <v>0</v>
      </c>
      <c r="M118" s="456">
        <v>0</v>
      </c>
      <c r="N118" s="456">
        <v>0</v>
      </c>
      <c r="O118" s="456">
        <v>0</v>
      </c>
      <c r="P118" s="456">
        <v>0</v>
      </c>
      <c r="Q118" s="457">
        <v>0</v>
      </c>
    </row>
    <row r="119" spans="1:18" x14ac:dyDescent="0.25">
      <c r="A119" s="556">
        <v>5520</v>
      </c>
      <c r="B119" s="570" t="s">
        <v>800</v>
      </c>
      <c r="C119" s="467"/>
      <c r="D119" s="454">
        <v>0</v>
      </c>
      <c r="E119" s="454">
        <v>0</v>
      </c>
      <c r="F119" s="454">
        <v>0</v>
      </c>
      <c r="G119" s="454">
        <v>0</v>
      </c>
      <c r="H119" s="454">
        <v>287.35000000000002</v>
      </c>
      <c r="I119" s="454">
        <v>0</v>
      </c>
      <c r="J119" s="454">
        <v>287.35000000000002</v>
      </c>
      <c r="K119" s="456">
        <v>0</v>
      </c>
      <c r="L119" s="456">
        <v>0</v>
      </c>
      <c r="M119" s="456">
        <v>0</v>
      </c>
      <c r="N119" s="456">
        <v>182</v>
      </c>
      <c r="O119" s="456">
        <v>182</v>
      </c>
      <c r="P119" s="456">
        <v>0</v>
      </c>
      <c r="Q119" s="457">
        <v>182</v>
      </c>
    </row>
    <row r="120" spans="1:18" x14ac:dyDescent="0.25">
      <c r="A120" s="556">
        <v>5521</v>
      </c>
      <c r="B120" s="570" t="s">
        <v>684</v>
      </c>
      <c r="C120" s="467"/>
      <c r="D120" s="454">
        <v>0</v>
      </c>
      <c r="E120" s="454">
        <v>0</v>
      </c>
      <c r="F120" s="454">
        <v>0</v>
      </c>
      <c r="G120" s="454">
        <v>0</v>
      </c>
      <c r="H120" s="454">
        <v>288.72399999999999</v>
      </c>
      <c r="I120" s="454">
        <v>0</v>
      </c>
      <c r="J120" s="454">
        <v>288.72399999999999</v>
      </c>
      <c r="K120" s="456">
        <v>0</v>
      </c>
      <c r="L120" s="456">
        <v>0</v>
      </c>
      <c r="M120" s="456">
        <v>0</v>
      </c>
      <c r="N120" s="456">
        <v>0</v>
      </c>
      <c r="O120" s="456">
        <v>0</v>
      </c>
      <c r="P120" s="456">
        <v>289</v>
      </c>
      <c r="Q120" s="457">
        <v>289</v>
      </c>
    </row>
    <row r="121" spans="1:18" x14ac:dyDescent="0.25">
      <c r="A121" s="556">
        <v>5522</v>
      </c>
      <c r="B121" s="570" t="s">
        <v>683</v>
      </c>
      <c r="C121" s="467"/>
      <c r="D121" s="454">
        <v>0</v>
      </c>
      <c r="E121" s="454">
        <v>0</v>
      </c>
      <c r="F121" s="454">
        <v>0</v>
      </c>
      <c r="G121" s="454">
        <v>0</v>
      </c>
      <c r="H121" s="454">
        <v>0</v>
      </c>
      <c r="I121" s="454">
        <v>0</v>
      </c>
      <c r="J121" s="454">
        <v>0</v>
      </c>
      <c r="K121" s="456">
        <v>0</v>
      </c>
      <c r="L121" s="456">
        <v>0</v>
      </c>
      <c r="M121" s="456">
        <v>0</v>
      </c>
      <c r="N121" s="456">
        <v>0</v>
      </c>
      <c r="O121" s="456">
        <v>0</v>
      </c>
      <c r="P121" s="456">
        <v>0</v>
      </c>
      <c r="Q121" s="457">
        <v>0</v>
      </c>
    </row>
    <row r="122" spans="1:18" ht="25.5" x14ac:dyDescent="0.25">
      <c r="A122" s="556">
        <v>56</v>
      </c>
      <c r="B122" s="557" t="s">
        <v>801</v>
      </c>
      <c r="C122" s="467">
        <v>0</v>
      </c>
      <c r="D122" s="454">
        <v>0</v>
      </c>
      <c r="E122" s="454">
        <v>0</v>
      </c>
      <c r="F122" s="454">
        <v>0</v>
      </c>
      <c r="G122" s="454">
        <v>0</v>
      </c>
      <c r="H122" s="454">
        <v>214290.91700000002</v>
      </c>
      <c r="I122" s="454">
        <v>300</v>
      </c>
      <c r="J122" s="454">
        <v>214590.91700000002</v>
      </c>
      <c r="K122" s="456">
        <v>0</v>
      </c>
      <c r="L122" s="456">
        <v>0</v>
      </c>
      <c r="M122" s="456">
        <v>0</v>
      </c>
      <c r="N122" s="456">
        <v>5884</v>
      </c>
      <c r="O122" s="456">
        <v>5884</v>
      </c>
      <c r="P122" s="456">
        <v>13543</v>
      </c>
      <c r="Q122" s="457">
        <v>19427</v>
      </c>
    </row>
    <row r="123" spans="1:18" x14ac:dyDescent="0.25">
      <c r="A123" s="556">
        <v>57</v>
      </c>
      <c r="B123" s="557" t="s">
        <v>802</v>
      </c>
      <c r="C123" s="467"/>
      <c r="D123" s="454">
        <v>0</v>
      </c>
      <c r="E123" s="454">
        <v>0</v>
      </c>
      <c r="F123" s="454">
        <v>0</v>
      </c>
      <c r="G123" s="454">
        <v>0</v>
      </c>
      <c r="H123" s="454">
        <v>0</v>
      </c>
      <c r="I123" s="454">
        <v>0</v>
      </c>
      <c r="J123" s="454">
        <v>0</v>
      </c>
      <c r="K123" s="456">
        <v>0</v>
      </c>
      <c r="L123" s="456">
        <v>0</v>
      </c>
      <c r="M123" s="456">
        <v>0</v>
      </c>
      <c r="N123" s="456">
        <v>0</v>
      </c>
      <c r="O123" s="456">
        <f>1351+2668</f>
        <v>4019</v>
      </c>
      <c r="P123" s="456">
        <v>0</v>
      </c>
      <c r="Q123" s="457">
        <f>1351+2668</f>
        <v>4019</v>
      </c>
    </row>
    <row r="124" spans="1:18" x14ac:dyDescent="0.25">
      <c r="A124" s="556">
        <v>58</v>
      </c>
      <c r="B124" s="557" t="s">
        <v>803</v>
      </c>
      <c r="C124" s="467"/>
      <c r="D124" s="454">
        <v>313</v>
      </c>
      <c r="E124" s="454">
        <v>0</v>
      </c>
      <c r="F124" s="454">
        <v>0</v>
      </c>
      <c r="G124" s="454">
        <v>0</v>
      </c>
      <c r="H124" s="454">
        <v>-111</v>
      </c>
      <c r="I124" s="454">
        <v>0</v>
      </c>
      <c r="J124" s="454">
        <v>202</v>
      </c>
      <c r="K124" s="456">
        <v>0</v>
      </c>
      <c r="L124" s="456">
        <v>0</v>
      </c>
      <c r="M124" s="456">
        <v>0</v>
      </c>
      <c r="N124" s="456">
        <v>0</v>
      </c>
      <c r="O124" s="456">
        <v>0</v>
      </c>
      <c r="P124" s="456">
        <v>0</v>
      </c>
      <c r="Q124" s="457">
        <v>0</v>
      </c>
    </row>
    <row r="125" spans="1:18" ht="30" x14ac:dyDescent="0.25">
      <c r="A125" s="468">
        <v>59</v>
      </c>
      <c r="B125" s="469" t="s">
        <v>804</v>
      </c>
      <c r="C125" s="558">
        <v>0</v>
      </c>
      <c r="D125" s="558">
        <v>313</v>
      </c>
      <c r="E125" s="558">
        <v>0</v>
      </c>
      <c r="F125" s="558">
        <v>0</v>
      </c>
      <c r="G125" s="558">
        <v>0</v>
      </c>
      <c r="H125" s="558">
        <v>214179.91700000002</v>
      </c>
      <c r="I125" s="558">
        <v>300</v>
      </c>
      <c r="J125" s="558">
        <v>214792.91700000002</v>
      </c>
      <c r="K125" s="558">
        <v>0</v>
      </c>
      <c r="L125" s="558">
        <v>0</v>
      </c>
      <c r="M125" s="558">
        <v>0</v>
      </c>
      <c r="N125" s="558">
        <v>5884</v>
      </c>
      <c r="O125" s="558">
        <f>5884+4019</f>
        <v>9903</v>
      </c>
      <c r="P125" s="558">
        <v>13543</v>
      </c>
      <c r="Q125" s="558">
        <f>19427+4019</f>
        <v>23446</v>
      </c>
      <c r="R125" s="536"/>
    </row>
    <row r="126" spans="1:18" x14ac:dyDescent="0.25">
      <c r="A126" s="468">
        <v>60</v>
      </c>
      <c r="B126" s="469" t="s">
        <v>805</v>
      </c>
      <c r="C126" s="558"/>
      <c r="D126" s="558">
        <v>0</v>
      </c>
      <c r="E126" s="558">
        <v>0</v>
      </c>
      <c r="F126" s="558">
        <v>0</v>
      </c>
      <c r="G126" s="558">
        <v>0</v>
      </c>
      <c r="H126" s="558">
        <v>0</v>
      </c>
      <c r="I126" s="558">
        <v>0</v>
      </c>
      <c r="J126" s="558">
        <v>0</v>
      </c>
      <c r="K126" s="558">
        <v>0</v>
      </c>
      <c r="L126" s="558">
        <v>0</v>
      </c>
      <c r="M126" s="558">
        <v>0</v>
      </c>
      <c r="N126" s="558">
        <v>0</v>
      </c>
      <c r="O126" s="558">
        <v>0</v>
      </c>
      <c r="P126" s="558">
        <v>0</v>
      </c>
      <c r="Q126" s="558">
        <v>0</v>
      </c>
    </row>
    <row r="127" spans="1:18" x14ac:dyDescent="0.25">
      <c r="A127" s="468">
        <v>61</v>
      </c>
      <c r="B127" s="469" t="s">
        <v>806</v>
      </c>
      <c r="C127" s="558">
        <v>0</v>
      </c>
      <c r="D127" s="558">
        <v>84495.775000000009</v>
      </c>
      <c r="E127" s="558">
        <v>22752.658000000003</v>
      </c>
      <c r="F127" s="558">
        <v>16580.095999999998</v>
      </c>
      <c r="G127" s="558">
        <v>4763.2980000000007</v>
      </c>
      <c r="H127" s="558">
        <v>378336.49300000002</v>
      </c>
      <c r="I127" s="558">
        <v>65667.757999999987</v>
      </c>
      <c r="J127" s="558">
        <v>572596.07799999998</v>
      </c>
      <c r="K127" s="558">
        <v>70679.687616191994</v>
      </c>
      <c r="L127" s="558">
        <v>12934.713988976378</v>
      </c>
      <c r="M127" s="558">
        <v>7948.7669249999999</v>
      </c>
      <c r="N127" s="558">
        <v>74300.264901820468</v>
      </c>
      <c r="O127" s="558">
        <v>87234.978890796847</v>
      </c>
      <c r="P127" s="558">
        <v>75810.091716930008</v>
      </c>
      <c r="Q127" s="558">
        <v>241673.52514891891</v>
      </c>
    </row>
    <row r="128" spans="1:18" x14ac:dyDescent="0.25">
      <c r="A128" s="556">
        <v>62</v>
      </c>
      <c r="B128" s="557" t="s">
        <v>807</v>
      </c>
      <c r="C128" s="467"/>
      <c r="D128" s="454">
        <v>0</v>
      </c>
      <c r="E128" s="454">
        <v>0</v>
      </c>
      <c r="F128" s="454">
        <v>0</v>
      </c>
      <c r="G128" s="454">
        <v>0</v>
      </c>
      <c r="H128" s="454">
        <v>830.56399999999996</v>
      </c>
      <c r="I128" s="454">
        <v>0</v>
      </c>
      <c r="J128" s="454">
        <v>830.56399999999996</v>
      </c>
      <c r="K128" s="456">
        <v>0</v>
      </c>
      <c r="L128" s="456">
        <v>0</v>
      </c>
      <c r="M128" s="456">
        <v>0</v>
      </c>
      <c r="N128" s="456"/>
      <c r="O128" s="456"/>
      <c r="P128" s="456">
        <v>0</v>
      </c>
      <c r="Q128" s="457"/>
    </row>
    <row r="129" spans="1:18" x14ac:dyDescent="0.25">
      <c r="A129" s="556">
        <v>63</v>
      </c>
      <c r="B129" s="557" t="s">
        <v>808</v>
      </c>
      <c r="C129" s="467"/>
      <c r="D129" s="454">
        <v>0</v>
      </c>
      <c r="E129" s="454">
        <v>0</v>
      </c>
      <c r="F129" s="454">
        <v>0</v>
      </c>
      <c r="G129" s="454">
        <v>0</v>
      </c>
      <c r="H129" s="454">
        <v>184143.348</v>
      </c>
      <c r="I129" s="454">
        <v>83.45</v>
      </c>
      <c r="J129" s="454">
        <v>184226.79800000001</v>
      </c>
      <c r="K129" s="456">
        <v>0</v>
      </c>
      <c r="L129" s="456">
        <v>0</v>
      </c>
      <c r="M129" s="456">
        <v>0</v>
      </c>
      <c r="N129" s="456">
        <v>27105</v>
      </c>
      <c r="O129" s="456">
        <f>24275.79+4180-1351</f>
        <v>27104.79</v>
      </c>
      <c r="P129" s="456">
        <v>0</v>
      </c>
      <c r="Q129" s="457">
        <v>27104</v>
      </c>
    </row>
    <row r="130" spans="1:18" ht="25.5" x14ac:dyDescent="0.25">
      <c r="A130" s="556">
        <v>64</v>
      </c>
      <c r="B130" s="557" t="s">
        <v>809</v>
      </c>
      <c r="C130" s="467"/>
      <c r="D130" s="454">
        <v>0</v>
      </c>
      <c r="E130" s="454">
        <v>0</v>
      </c>
      <c r="F130" s="454">
        <v>0</v>
      </c>
      <c r="G130" s="454">
        <v>0</v>
      </c>
      <c r="H130" s="454">
        <v>0</v>
      </c>
      <c r="I130" s="454">
        <v>0</v>
      </c>
      <c r="J130" s="454">
        <v>0</v>
      </c>
      <c r="K130" s="456">
        <v>0</v>
      </c>
      <c r="L130" s="456">
        <v>0</v>
      </c>
      <c r="M130" s="456">
        <v>0</v>
      </c>
      <c r="N130" s="456">
        <v>0</v>
      </c>
      <c r="O130" s="456">
        <v>0</v>
      </c>
      <c r="P130" s="456">
        <v>0</v>
      </c>
      <c r="Q130" s="457">
        <v>0</v>
      </c>
    </row>
    <row r="131" spans="1:18" x14ac:dyDescent="0.25">
      <c r="A131" s="556">
        <v>65</v>
      </c>
      <c r="B131" s="557" t="s">
        <v>4</v>
      </c>
      <c r="C131" s="467"/>
      <c r="D131" s="454">
        <v>0</v>
      </c>
      <c r="E131" s="454">
        <v>0</v>
      </c>
      <c r="F131" s="454">
        <v>0</v>
      </c>
      <c r="G131" s="454">
        <v>0</v>
      </c>
      <c r="H131" s="454">
        <v>0</v>
      </c>
      <c r="I131" s="454">
        <v>0</v>
      </c>
      <c r="J131" s="454">
        <v>0</v>
      </c>
      <c r="K131" s="456">
        <v>0</v>
      </c>
      <c r="L131" s="456">
        <v>0</v>
      </c>
      <c r="M131" s="456">
        <v>0</v>
      </c>
      <c r="N131" s="456">
        <v>2668.348</v>
      </c>
      <c r="O131" s="456">
        <v>0</v>
      </c>
      <c r="P131" s="456">
        <v>0</v>
      </c>
      <c r="Q131" s="457">
        <v>0</v>
      </c>
    </row>
    <row r="132" spans="1:18" x14ac:dyDescent="0.25">
      <c r="A132" s="556">
        <v>66</v>
      </c>
      <c r="B132" s="557" t="s">
        <v>810</v>
      </c>
      <c r="C132" s="467"/>
      <c r="D132" s="454">
        <v>0</v>
      </c>
      <c r="E132" s="454">
        <v>0</v>
      </c>
      <c r="F132" s="454">
        <v>0</v>
      </c>
      <c r="G132" s="454">
        <v>0</v>
      </c>
      <c r="H132" s="454">
        <v>0</v>
      </c>
      <c r="I132" s="454">
        <v>0</v>
      </c>
      <c r="J132" s="454">
        <v>0</v>
      </c>
      <c r="K132" s="456">
        <v>0</v>
      </c>
      <c r="L132" s="456">
        <v>0</v>
      </c>
      <c r="M132" s="456">
        <v>0</v>
      </c>
      <c r="N132" s="456">
        <v>0</v>
      </c>
      <c r="O132" s="456">
        <v>0</v>
      </c>
      <c r="P132" s="456">
        <v>0</v>
      </c>
      <c r="Q132" s="457">
        <v>0</v>
      </c>
    </row>
    <row r="133" spans="1:18" ht="25.5" x14ac:dyDescent="0.25">
      <c r="A133" s="556">
        <v>67</v>
      </c>
      <c r="B133" s="557" t="s">
        <v>811</v>
      </c>
      <c r="C133" s="467"/>
      <c r="D133" s="454">
        <v>0</v>
      </c>
      <c r="E133" s="454">
        <v>0</v>
      </c>
      <c r="F133" s="454">
        <v>0</v>
      </c>
      <c r="G133" s="454">
        <v>0</v>
      </c>
      <c r="H133" s="454">
        <v>0</v>
      </c>
      <c r="I133" s="454">
        <v>0</v>
      </c>
      <c r="J133" s="454">
        <v>0</v>
      </c>
      <c r="K133" s="456">
        <v>0</v>
      </c>
      <c r="L133" s="456">
        <v>0</v>
      </c>
      <c r="M133" s="456">
        <v>0</v>
      </c>
      <c r="N133" s="456">
        <v>0</v>
      </c>
      <c r="O133" s="456">
        <v>0</v>
      </c>
      <c r="P133" s="456">
        <v>0</v>
      </c>
      <c r="Q133" s="457">
        <v>0</v>
      </c>
    </row>
    <row r="134" spans="1:18" ht="25.5" x14ac:dyDescent="0.25">
      <c r="A134" s="556">
        <v>68</v>
      </c>
      <c r="B134" s="557" t="s">
        <v>812</v>
      </c>
      <c r="C134" s="467"/>
      <c r="D134" s="454">
        <v>0</v>
      </c>
      <c r="E134" s="454">
        <v>0</v>
      </c>
      <c r="F134" s="454">
        <v>0</v>
      </c>
      <c r="G134" s="454">
        <v>0</v>
      </c>
      <c r="H134" s="454">
        <v>0</v>
      </c>
      <c r="I134" s="454">
        <v>0</v>
      </c>
      <c r="J134" s="454">
        <v>0</v>
      </c>
      <c r="K134" s="456">
        <v>0</v>
      </c>
      <c r="L134" s="456">
        <v>0</v>
      </c>
      <c r="M134" s="456">
        <v>0</v>
      </c>
      <c r="N134" s="456">
        <v>0</v>
      </c>
      <c r="O134" s="456">
        <v>0</v>
      </c>
      <c r="P134" s="456">
        <v>0</v>
      </c>
      <c r="Q134" s="457">
        <v>0</v>
      </c>
      <c r="R134" s="536"/>
    </row>
    <row r="135" spans="1:18" s="536" customFormat="1" x14ac:dyDescent="0.25">
      <c r="A135" s="556">
        <v>69</v>
      </c>
      <c r="B135" s="557" t="s">
        <v>813</v>
      </c>
      <c r="C135" s="467"/>
      <c r="D135" s="454">
        <v>0</v>
      </c>
      <c r="E135" s="454">
        <v>0</v>
      </c>
      <c r="F135" s="454">
        <v>0</v>
      </c>
      <c r="G135" s="454">
        <v>0</v>
      </c>
      <c r="H135" s="454">
        <v>0</v>
      </c>
      <c r="I135" s="454">
        <v>0</v>
      </c>
      <c r="J135" s="454">
        <v>0</v>
      </c>
      <c r="K135" s="456">
        <v>0</v>
      </c>
      <c r="L135" s="456">
        <v>0</v>
      </c>
      <c r="M135" s="456">
        <v>0</v>
      </c>
      <c r="N135" s="456">
        <v>0</v>
      </c>
      <c r="O135" s="456">
        <v>0</v>
      </c>
      <c r="P135" s="456">
        <v>0</v>
      </c>
      <c r="Q135" s="457">
        <v>0</v>
      </c>
    </row>
    <row r="136" spans="1:18" x14ac:dyDescent="0.25">
      <c r="A136" s="468">
        <v>70</v>
      </c>
      <c r="B136" s="469" t="s">
        <v>814</v>
      </c>
      <c r="C136" s="558">
        <v>0</v>
      </c>
      <c r="D136" s="558">
        <v>0</v>
      </c>
      <c r="E136" s="558">
        <v>0</v>
      </c>
      <c r="F136" s="558">
        <v>0</v>
      </c>
      <c r="G136" s="558">
        <v>0</v>
      </c>
      <c r="H136" s="558">
        <v>184973.91200000001</v>
      </c>
      <c r="I136" s="558">
        <v>83.45</v>
      </c>
      <c r="J136" s="558">
        <v>185057.36200000002</v>
      </c>
      <c r="K136" s="558">
        <v>0</v>
      </c>
      <c r="L136" s="558">
        <v>0</v>
      </c>
      <c r="M136" s="558">
        <v>0</v>
      </c>
      <c r="N136" s="558">
        <v>31124.137999999999</v>
      </c>
      <c r="O136" s="558">
        <f>SUM(O129:O135)</f>
        <v>27104.79</v>
      </c>
      <c r="P136" s="558">
        <v>0</v>
      </c>
      <c r="Q136" s="558">
        <v>27105</v>
      </c>
      <c r="R136" s="536"/>
    </row>
    <row r="137" spans="1:18" s="536" customFormat="1" x14ac:dyDescent="0.25">
      <c r="A137" s="556">
        <v>71</v>
      </c>
      <c r="B137" s="557" t="s">
        <v>815</v>
      </c>
      <c r="C137" s="467"/>
      <c r="D137" s="454">
        <v>0</v>
      </c>
      <c r="E137" s="454">
        <v>0</v>
      </c>
      <c r="F137" s="454">
        <v>0</v>
      </c>
      <c r="G137" s="454">
        <v>0</v>
      </c>
      <c r="H137" s="454">
        <v>0</v>
      </c>
      <c r="I137" s="454">
        <v>0</v>
      </c>
      <c r="J137" s="454">
        <v>0</v>
      </c>
      <c r="K137" s="456">
        <v>0</v>
      </c>
      <c r="L137" s="456">
        <v>0</v>
      </c>
      <c r="M137" s="456">
        <v>0</v>
      </c>
      <c r="N137" s="456">
        <v>0</v>
      </c>
      <c r="O137" s="456">
        <v>0</v>
      </c>
      <c r="P137" s="456">
        <v>0</v>
      </c>
      <c r="Q137" s="457">
        <v>0</v>
      </c>
      <c r="R137" s="498"/>
    </row>
    <row r="138" spans="1:18" x14ac:dyDescent="0.25">
      <c r="A138" s="468">
        <v>72</v>
      </c>
      <c r="B138" s="469" t="s">
        <v>816</v>
      </c>
      <c r="C138" s="558">
        <v>0</v>
      </c>
      <c r="D138" s="558">
        <v>84495.775000000009</v>
      </c>
      <c r="E138" s="558">
        <v>22752.658000000003</v>
      </c>
      <c r="F138" s="558">
        <v>16580.095999999998</v>
      </c>
      <c r="G138" s="558">
        <v>4763.2980000000007</v>
      </c>
      <c r="H138" s="558">
        <v>563310.40500000003</v>
      </c>
      <c r="I138" s="558">
        <v>65751.207999999984</v>
      </c>
      <c r="J138" s="558">
        <v>757653.44000000006</v>
      </c>
      <c r="K138" s="558">
        <v>70679.687616191994</v>
      </c>
      <c r="L138" s="558">
        <v>12934.713988976378</v>
      </c>
      <c r="M138" s="558">
        <v>7948.7669249999999</v>
      </c>
      <c r="N138" s="558">
        <v>105424.40290182046</v>
      </c>
      <c r="O138" s="558">
        <v>118359.11689079684</v>
      </c>
      <c r="P138" s="558">
        <v>75810.091716930008</v>
      </c>
      <c r="Q138" s="558">
        <v>272797.66314891889</v>
      </c>
    </row>
    <row r="139" spans="1:18" x14ac:dyDescent="0.25">
      <c r="A139" s="556">
        <v>73</v>
      </c>
      <c r="B139" s="557" t="s">
        <v>817</v>
      </c>
      <c r="C139" s="467"/>
      <c r="D139" s="454">
        <v>0</v>
      </c>
      <c r="E139" s="454">
        <v>0</v>
      </c>
      <c r="F139" s="454">
        <v>0</v>
      </c>
      <c r="G139" s="454">
        <v>0</v>
      </c>
      <c r="H139" s="454">
        <v>0</v>
      </c>
      <c r="I139" s="454">
        <v>0</v>
      </c>
      <c r="J139" s="454">
        <v>0</v>
      </c>
      <c r="K139" s="456">
        <v>0</v>
      </c>
      <c r="L139" s="456">
        <v>0</v>
      </c>
      <c r="M139" s="456">
        <v>0</v>
      </c>
      <c r="N139" s="456">
        <v>0</v>
      </c>
      <c r="O139" s="456">
        <v>0</v>
      </c>
      <c r="P139" s="456">
        <v>0</v>
      </c>
      <c r="Q139" s="457">
        <v>0</v>
      </c>
    </row>
    <row r="140" spans="1:18" x14ac:dyDescent="0.25">
      <c r="A140" s="556">
        <v>74</v>
      </c>
      <c r="B140" s="557" t="s">
        <v>818</v>
      </c>
      <c r="C140" s="467"/>
      <c r="D140" s="454">
        <v>0</v>
      </c>
      <c r="E140" s="454">
        <v>0</v>
      </c>
      <c r="F140" s="454">
        <v>0</v>
      </c>
      <c r="G140" s="454">
        <v>0</v>
      </c>
      <c r="H140" s="454">
        <v>109862.193</v>
      </c>
      <c r="I140" s="454">
        <v>0</v>
      </c>
      <c r="J140" s="454">
        <v>109862.193</v>
      </c>
      <c r="K140" s="456">
        <v>0</v>
      </c>
      <c r="L140" s="456">
        <v>0</v>
      </c>
      <c r="M140" s="456">
        <v>0</v>
      </c>
      <c r="N140" s="456">
        <v>0</v>
      </c>
      <c r="O140" s="456">
        <v>0</v>
      </c>
      <c r="P140" s="456">
        <v>0</v>
      </c>
      <c r="Q140" s="457">
        <v>0</v>
      </c>
    </row>
    <row r="141" spans="1:18" x14ac:dyDescent="0.25">
      <c r="A141" s="556">
        <v>75</v>
      </c>
      <c r="B141" s="569" t="s">
        <v>819</v>
      </c>
      <c r="C141" s="467"/>
      <c r="D141" s="454">
        <v>0</v>
      </c>
      <c r="E141" s="454">
        <v>0</v>
      </c>
      <c r="F141" s="454">
        <v>0</v>
      </c>
      <c r="G141" s="454">
        <v>0</v>
      </c>
      <c r="H141" s="454">
        <v>125604.49400000001</v>
      </c>
      <c r="I141" s="454">
        <v>0</v>
      </c>
      <c r="J141" s="454">
        <v>125604.49400000001</v>
      </c>
      <c r="K141" s="456">
        <v>0</v>
      </c>
      <c r="L141" s="456">
        <v>0</v>
      </c>
      <c r="M141" s="456">
        <v>0</v>
      </c>
      <c r="N141" s="456">
        <v>0</v>
      </c>
      <c r="O141" s="456">
        <v>0</v>
      </c>
      <c r="P141" s="456">
        <v>0</v>
      </c>
      <c r="Q141" s="457">
        <v>0</v>
      </c>
    </row>
    <row r="142" spans="1:18" x14ac:dyDescent="0.25">
      <c r="A142" s="556">
        <v>76</v>
      </c>
      <c r="B142" s="557" t="s">
        <v>820</v>
      </c>
      <c r="C142" s="467"/>
      <c r="D142" s="454">
        <v>0</v>
      </c>
      <c r="E142" s="454">
        <v>0</v>
      </c>
      <c r="F142" s="454">
        <v>0</v>
      </c>
      <c r="G142" s="454">
        <v>0</v>
      </c>
      <c r="H142" s="454">
        <v>0</v>
      </c>
      <c r="I142" s="454">
        <v>0</v>
      </c>
      <c r="J142" s="454">
        <v>0</v>
      </c>
      <c r="K142" s="456">
        <v>0</v>
      </c>
      <c r="L142" s="456">
        <v>0</v>
      </c>
      <c r="M142" s="456">
        <v>0</v>
      </c>
      <c r="N142" s="456">
        <v>0</v>
      </c>
      <c r="O142" s="456">
        <v>0</v>
      </c>
      <c r="P142" s="456">
        <v>0</v>
      </c>
      <c r="Q142" s="457">
        <v>0</v>
      </c>
    </row>
    <row r="143" spans="1:18" x14ac:dyDescent="0.25">
      <c r="A143" s="556">
        <v>77</v>
      </c>
      <c r="B143" s="557" t="s">
        <v>821</v>
      </c>
      <c r="C143" s="467"/>
      <c r="D143" s="454">
        <v>0</v>
      </c>
      <c r="E143" s="454">
        <v>0</v>
      </c>
      <c r="F143" s="454">
        <v>0</v>
      </c>
      <c r="G143" s="454">
        <v>0</v>
      </c>
      <c r="H143" s="454">
        <v>0</v>
      </c>
      <c r="I143" s="454">
        <v>0</v>
      </c>
      <c r="J143" s="454">
        <v>0</v>
      </c>
      <c r="K143" s="456">
        <v>0</v>
      </c>
      <c r="L143" s="456">
        <v>0</v>
      </c>
      <c r="M143" s="456">
        <v>0</v>
      </c>
      <c r="N143" s="456">
        <v>0</v>
      </c>
      <c r="O143" s="456">
        <v>0</v>
      </c>
      <c r="P143" s="456">
        <v>0</v>
      </c>
      <c r="Q143" s="457">
        <v>0</v>
      </c>
    </row>
    <row r="144" spans="1:18" x14ac:dyDescent="0.25">
      <c r="A144" s="556">
        <v>78</v>
      </c>
      <c r="B144" s="557" t="s">
        <v>822</v>
      </c>
      <c r="C144" s="467"/>
      <c r="D144" s="454">
        <v>0</v>
      </c>
      <c r="E144" s="454">
        <v>0</v>
      </c>
      <c r="F144" s="454">
        <v>0</v>
      </c>
      <c r="G144" s="454">
        <v>0</v>
      </c>
      <c r="H144" s="454">
        <v>0</v>
      </c>
      <c r="I144" s="454">
        <v>0</v>
      </c>
      <c r="J144" s="454">
        <v>0</v>
      </c>
      <c r="K144" s="456">
        <v>0</v>
      </c>
      <c r="L144" s="456">
        <v>0</v>
      </c>
      <c r="M144" s="456">
        <v>0</v>
      </c>
      <c r="N144" s="456">
        <v>0</v>
      </c>
      <c r="O144" s="456">
        <v>0</v>
      </c>
      <c r="P144" s="456">
        <v>0</v>
      </c>
      <c r="Q144" s="457">
        <v>0</v>
      </c>
    </row>
    <row r="145" spans="1:18" x14ac:dyDescent="0.25">
      <c r="A145" s="556">
        <v>79</v>
      </c>
      <c r="B145" s="557" t="s">
        <v>823</v>
      </c>
      <c r="C145" s="467"/>
      <c r="D145" s="454">
        <v>0</v>
      </c>
      <c r="E145" s="454">
        <v>0</v>
      </c>
      <c r="F145" s="454">
        <v>0</v>
      </c>
      <c r="G145" s="454">
        <v>0</v>
      </c>
      <c r="H145" s="454">
        <v>0</v>
      </c>
      <c r="I145" s="454">
        <v>0</v>
      </c>
      <c r="J145" s="454">
        <v>0</v>
      </c>
      <c r="K145" s="456">
        <v>0</v>
      </c>
      <c r="L145" s="456">
        <v>0</v>
      </c>
      <c r="M145" s="456">
        <v>0</v>
      </c>
      <c r="N145" s="456">
        <v>0</v>
      </c>
      <c r="O145" s="456">
        <v>0</v>
      </c>
      <c r="P145" s="456">
        <v>0</v>
      </c>
      <c r="Q145" s="457">
        <v>0</v>
      </c>
    </row>
    <row r="146" spans="1:18" x14ac:dyDescent="0.25">
      <c r="A146" s="556">
        <v>80</v>
      </c>
      <c r="B146" s="557" t="s">
        <v>824</v>
      </c>
      <c r="C146" s="467"/>
      <c r="D146" s="454">
        <v>0</v>
      </c>
      <c r="E146" s="454">
        <v>0</v>
      </c>
      <c r="F146" s="454">
        <v>0</v>
      </c>
      <c r="G146" s="454">
        <v>0</v>
      </c>
      <c r="H146" s="454">
        <v>0</v>
      </c>
      <c r="I146" s="454">
        <v>0</v>
      </c>
      <c r="J146" s="454">
        <v>0</v>
      </c>
      <c r="K146" s="456">
        <v>0</v>
      </c>
      <c r="L146" s="456">
        <v>0</v>
      </c>
      <c r="M146" s="456">
        <v>0</v>
      </c>
      <c r="N146" s="456">
        <v>0</v>
      </c>
      <c r="O146" s="456">
        <v>0</v>
      </c>
      <c r="P146" s="456">
        <v>0</v>
      </c>
      <c r="Q146" s="457">
        <v>0</v>
      </c>
    </row>
    <row r="147" spans="1:18" x14ac:dyDescent="0.25">
      <c r="A147" s="556">
        <v>81</v>
      </c>
      <c r="B147" s="557" t="s">
        <v>825</v>
      </c>
      <c r="C147" s="467"/>
      <c r="D147" s="454">
        <v>0</v>
      </c>
      <c r="E147" s="454">
        <v>0</v>
      </c>
      <c r="F147" s="454">
        <v>0</v>
      </c>
      <c r="G147" s="454">
        <v>0</v>
      </c>
      <c r="H147" s="454">
        <v>0</v>
      </c>
      <c r="I147" s="454">
        <v>0</v>
      </c>
      <c r="J147" s="454">
        <v>0</v>
      </c>
      <c r="K147" s="456">
        <v>0</v>
      </c>
      <c r="L147" s="456">
        <v>0</v>
      </c>
      <c r="M147" s="456">
        <v>0</v>
      </c>
      <c r="N147" s="456">
        <v>0</v>
      </c>
      <c r="O147" s="456">
        <v>0</v>
      </c>
      <c r="P147" s="456">
        <v>0</v>
      </c>
      <c r="Q147" s="457">
        <v>0</v>
      </c>
      <c r="R147" s="536"/>
    </row>
    <row r="148" spans="1:18" s="536" customFormat="1" x14ac:dyDescent="0.25">
      <c r="A148" s="556">
        <v>82</v>
      </c>
      <c r="B148" s="557" t="s">
        <v>826</v>
      </c>
      <c r="C148" s="467"/>
      <c r="D148" s="454">
        <v>-531.072</v>
      </c>
      <c r="E148" s="454">
        <v>20.548999999999999</v>
      </c>
      <c r="F148" s="454">
        <v>41.667000000000002</v>
      </c>
      <c r="G148" s="454">
        <v>0</v>
      </c>
      <c r="H148" s="454">
        <v>-1643.0579999999998</v>
      </c>
      <c r="I148" s="454">
        <v>389.738</v>
      </c>
      <c r="J148" s="454">
        <v>-1722.1759999999997</v>
      </c>
      <c r="K148" s="456">
        <v>0</v>
      </c>
      <c r="L148" s="456">
        <v>0</v>
      </c>
      <c r="M148" s="456">
        <v>0</v>
      </c>
      <c r="N148" s="456">
        <v>0</v>
      </c>
      <c r="O148" s="456">
        <v>0</v>
      </c>
      <c r="P148" s="456">
        <v>0</v>
      </c>
      <c r="Q148" s="457">
        <v>0</v>
      </c>
    </row>
    <row r="149" spans="1:18" x14ac:dyDescent="0.25">
      <c r="A149" s="468">
        <v>83</v>
      </c>
      <c r="B149" s="469" t="s">
        <v>827</v>
      </c>
      <c r="C149" s="558">
        <v>0</v>
      </c>
      <c r="D149" s="558">
        <v>-531.072</v>
      </c>
      <c r="E149" s="558">
        <v>20.548999999999999</v>
      </c>
      <c r="F149" s="558">
        <v>41.667000000000002</v>
      </c>
      <c r="G149" s="558">
        <v>0</v>
      </c>
      <c r="H149" s="558">
        <v>233823.62900000002</v>
      </c>
      <c r="I149" s="558">
        <v>389.738</v>
      </c>
      <c r="J149" s="558">
        <v>233744.51100000003</v>
      </c>
      <c r="K149" s="558">
        <v>0</v>
      </c>
      <c r="L149" s="558">
        <v>0</v>
      </c>
      <c r="M149" s="558">
        <v>0</v>
      </c>
      <c r="N149" s="558">
        <v>0</v>
      </c>
      <c r="O149" s="558">
        <v>0</v>
      </c>
      <c r="P149" s="558">
        <v>0</v>
      </c>
      <c r="Q149" s="558">
        <v>0</v>
      </c>
    </row>
    <row r="150" spans="1:18" x14ac:dyDescent="0.25">
      <c r="A150" s="468">
        <v>84</v>
      </c>
      <c r="B150" s="469" t="s">
        <v>828</v>
      </c>
      <c r="C150" s="558">
        <v>0</v>
      </c>
      <c r="D150" s="558">
        <v>83964.703000000009</v>
      </c>
      <c r="E150" s="558">
        <v>22773.207000000002</v>
      </c>
      <c r="F150" s="558">
        <v>16621.762999999999</v>
      </c>
      <c r="G150" s="558">
        <v>4763.2980000000007</v>
      </c>
      <c r="H150" s="558">
        <v>797134.03399999999</v>
      </c>
      <c r="I150" s="558">
        <v>66140.945999999982</v>
      </c>
      <c r="J150" s="558">
        <v>991397.951</v>
      </c>
      <c r="K150" s="558">
        <v>70679.687616191994</v>
      </c>
      <c r="L150" s="558">
        <v>12934.713988976378</v>
      </c>
      <c r="M150" s="558">
        <v>7948.7669249999999</v>
      </c>
      <c r="N150" s="558">
        <v>105424.40290182046</v>
      </c>
      <c r="O150" s="558">
        <v>118359.11689079684</v>
      </c>
      <c r="P150" s="558">
        <v>75810.091716930008</v>
      </c>
      <c r="Q150" s="558">
        <v>272797.66314891889</v>
      </c>
    </row>
    <row r="153" spans="1:18" x14ac:dyDescent="0.25">
      <c r="D153" s="535">
        <v>83964.702999999994</v>
      </c>
      <c r="E153" s="535">
        <v>22773.207000000006</v>
      </c>
      <c r="F153" s="535">
        <v>16621.763000000003</v>
      </c>
      <c r="G153" s="535">
        <v>4763.2979999999989</v>
      </c>
      <c r="H153" s="535">
        <v>797134.03399999975</v>
      </c>
      <c r="I153" s="535">
        <v>66140.945999999996</v>
      </c>
      <c r="J153" s="535">
        <v>991397.95099999977</v>
      </c>
      <c r="K153" s="535">
        <v>70679.687616191994</v>
      </c>
      <c r="L153" s="535">
        <v>12934.713988976378</v>
      </c>
      <c r="M153" s="535">
        <v>7948.7669249999999</v>
      </c>
      <c r="N153" s="535">
        <v>105424.40290182045</v>
      </c>
      <c r="P153" s="535">
        <v>75810.091716930008</v>
      </c>
      <c r="Q153" s="547">
        <v>272797.66314891877</v>
      </c>
    </row>
    <row r="155" spans="1:18" x14ac:dyDescent="0.25">
      <c r="D155" s="535">
        <v>0</v>
      </c>
      <c r="E155" s="535">
        <v>0</v>
      </c>
      <c r="F155" s="547">
        <v>0</v>
      </c>
      <c r="G155" s="535">
        <v>0</v>
      </c>
      <c r="H155" s="535">
        <v>0</v>
      </c>
      <c r="I155" s="535">
        <v>0</v>
      </c>
      <c r="J155" s="535">
        <v>0</v>
      </c>
      <c r="K155" s="535">
        <v>0</v>
      </c>
      <c r="L155" s="535">
        <v>0</v>
      </c>
      <c r="M155" s="535">
        <v>0</v>
      </c>
      <c r="N155" s="535">
        <v>0</v>
      </c>
      <c r="P155" s="535">
        <v>0</v>
      </c>
      <c r="Q155" s="547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 tint="0.79998168889431442"/>
  </sheetPr>
  <dimension ref="A1:Q83"/>
  <sheetViews>
    <sheetView topLeftCell="A3" zoomScale="85" zoomScaleNormal="85" workbookViewId="0">
      <selection activeCell="L23" sqref="L23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4" width="9" style="129" customWidth="1"/>
    <col min="5" max="5" width="9.5" style="129" customWidth="1"/>
    <col min="6" max="6" width="8.83203125" style="129" customWidth="1"/>
    <col min="7" max="7" width="8.6640625" style="129" customWidth="1"/>
    <col min="8" max="8" width="8.83203125" style="129" customWidth="1"/>
    <col min="9" max="9" width="8.1640625" style="129" customWidth="1"/>
    <col min="10" max="14" width="9.5" style="129" customWidth="1"/>
    <col min="15" max="15" width="12.6640625" style="110" customWidth="1"/>
    <col min="16" max="16" width="0" style="129" hidden="1" customWidth="1"/>
    <col min="17" max="17" width="10.1640625" style="531" bestFit="1" customWidth="1"/>
    <col min="18" max="16384" width="9.33203125" style="129"/>
  </cols>
  <sheetData>
    <row r="1" spans="1:17" ht="31.5" customHeight="1" x14ac:dyDescent="0.25">
      <c r="A1" s="1378" t="s">
        <v>989</v>
      </c>
      <c r="B1" s="1379"/>
      <c r="C1" s="1379"/>
      <c r="D1" s="1379"/>
      <c r="E1" s="1379"/>
      <c r="F1" s="1379"/>
      <c r="G1" s="1379"/>
      <c r="H1" s="1379"/>
      <c r="I1" s="1379"/>
      <c r="J1" s="1379"/>
      <c r="K1" s="1379"/>
      <c r="L1" s="1379"/>
      <c r="M1" s="1379"/>
      <c r="N1" s="1379"/>
      <c r="O1" s="1379"/>
    </row>
    <row r="2" spans="1:17" ht="16.5" thickBot="1" x14ac:dyDescent="0.3">
      <c r="O2" s="5" t="s">
        <v>942</v>
      </c>
      <c r="P2" s="129">
        <f>90200/99604</f>
        <v>0.90558612103931568</v>
      </c>
    </row>
    <row r="3" spans="1:17" s="110" customFormat="1" ht="26.1" customHeight="1" thickBot="1" x14ac:dyDescent="0.3">
      <c r="A3" s="107" t="s">
        <v>901</v>
      </c>
      <c r="B3" s="108" t="s">
        <v>12</v>
      </c>
      <c r="C3" s="108" t="s">
        <v>21</v>
      </c>
      <c r="D3" s="108" t="s">
        <v>22</v>
      </c>
      <c r="E3" s="108" t="s">
        <v>23</v>
      </c>
      <c r="F3" s="108" t="s">
        <v>24</v>
      </c>
      <c r="G3" s="108" t="s">
        <v>25</v>
      </c>
      <c r="H3" s="108" t="s">
        <v>26</v>
      </c>
      <c r="I3" s="108" t="s">
        <v>27</v>
      </c>
      <c r="J3" s="108" t="s">
        <v>28</v>
      </c>
      <c r="K3" s="108" t="s">
        <v>29</v>
      </c>
      <c r="L3" s="108" t="s">
        <v>30</v>
      </c>
      <c r="M3" s="108" t="s">
        <v>31</v>
      </c>
      <c r="N3" s="108" t="s">
        <v>32</v>
      </c>
      <c r="O3" s="109" t="s">
        <v>938</v>
      </c>
      <c r="Q3" s="532"/>
    </row>
    <row r="4" spans="1:17" s="112" customFormat="1" ht="15" customHeight="1" thickBot="1" x14ac:dyDescent="0.25">
      <c r="A4" s="111" t="s">
        <v>903</v>
      </c>
      <c r="B4" s="1375" t="s">
        <v>945</v>
      </c>
      <c r="C4" s="1376"/>
      <c r="D4" s="1376"/>
      <c r="E4" s="1376"/>
      <c r="F4" s="1376"/>
      <c r="G4" s="1376"/>
      <c r="H4" s="1376"/>
      <c r="I4" s="1376"/>
      <c r="J4" s="1376"/>
      <c r="K4" s="1376"/>
      <c r="L4" s="1376"/>
      <c r="M4" s="1376"/>
      <c r="N4" s="1376"/>
      <c r="O4" s="1377"/>
      <c r="Q4" s="533"/>
    </row>
    <row r="5" spans="1:17" s="112" customFormat="1" ht="15" customHeight="1" x14ac:dyDescent="0.2">
      <c r="A5" s="113" t="s">
        <v>904</v>
      </c>
      <c r="B5" s="114" t="s">
        <v>142</v>
      </c>
      <c r="C5" s="115">
        <f>1548-78</f>
        <v>1470</v>
      </c>
      <c r="D5" s="115">
        <f>4105-270</f>
        <v>3835</v>
      </c>
      <c r="E5" s="115">
        <f>37002-2998</f>
        <v>34004</v>
      </c>
      <c r="F5" s="115">
        <f>4425-565</f>
        <v>3860</v>
      </c>
      <c r="G5" s="115">
        <f>5921-292</f>
        <v>5629</v>
      </c>
      <c r="H5" s="115">
        <f>4575-197</f>
        <v>4378</v>
      </c>
      <c r="I5" s="115">
        <f>3890-97</f>
        <v>3793</v>
      </c>
      <c r="J5" s="115">
        <f>2367-324</f>
        <v>2043</v>
      </c>
      <c r="K5" s="115">
        <f>28923-2109</f>
        <v>26814</v>
      </c>
      <c r="L5" s="115">
        <f>3926-586</f>
        <v>3340</v>
      </c>
      <c r="M5" s="115">
        <f>7142-125</f>
        <v>7017</v>
      </c>
      <c r="N5" s="115">
        <f>98689-96183</f>
        <v>2506</v>
      </c>
      <c r="O5" s="116">
        <f t="shared" ref="O5:O27" si="0">SUM(C5:N5)</f>
        <v>98689</v>
      </c>
      <c r="P5" s="112">
        <f>'1.1.sz.mell.'!E6</f>
        <v>98689</v>
      </c>
      <c r="Q5" s="533"/>
    </row>
    <row r="6" spans="1:17" s="120" customFormat="1" ht="14.1" customHeight="1" x14ac:dyDescent="0.2">
      <c r="A6" s="117" t="s">
        <v>905</v>
      </c>
      <c r="B6" s="310" t="s">
        <v>946</v>
      </c>
      <c r="C6" s="118">
        <v>297</v>
      </c>
      <c r="D6" s="118">
        <f>514+(828/2)+(636/2)+288</f>
        <v>1534</v>
      </c>
      <c r="E6" s="118">
        <f>513+598/2+288+1700/4</f>
        <v>1525</v>
      </c>
      <c r="F6" s="118">
        <f>515+288+7508-4200</f>
        <v>4111</v>
      </c>
      <c r="G6" s="118">
        <f>515+288+263</f>
        <v>1066</v>
      </c>
      <c r="H6" s="118">
        <f>515+288+577+1700/4</f>
        <v>1805</v>
      </c>
      <c r="I6" s="118">
        <f>513+(828+636)/2+249+577+288</f>
        <v>2359</v>
      </c>
      <c r="J6" s="118">
        <v>288</v>
      </c>
      <c r="K6" s="118">
        <f>514+598/2+288+1700/4</f>
        <v>1526</v>
      </c>
      <c r="L6" s="118">
        <f>515+577+288+4200</f>
        <v>5580</v>
      </c>
      <c r="M6" s="118">
        <f>514+288</f>
        <v>802</v>
      </c>
      <c r="N6" s="118">
        <f>22409-20893</f>
        <v>1516</v>
      </c>
      <c r="O6" s="119">
        <f t="shared" si="0"/>
        <v>22409</v>
      </c>
      <c r="P6" s="120">
        <f>'1.1.sz.mell.'!E11</f>
        <v>22409</v>
      </c>
      <c r="Q6" s="534"/>
    </row>
    <row r="7" spans="1:17" s="120" customFormat="1" x14ac:dyDescent="0.2">
      <c r="A7" s="117" t="s">
        <v>906</v>
      </c>
      <c r="B7" s="311" t="s">
        <v>0</v>
      </c>
      <c r="C7" s="121">
        <v>78</v>
      </c>
      <c r="D7" s="121">
        <v>270</v>
      </c>
      <c r="E7" s="121">
        <v>2998</v>
      </c>
      <c r="F7" s="121">
        <v>565</v>
      </c>
      <c r="G7" s="121">
        <v>292</v>
      </c>
      <c r="H7" s="121">
        <v>197</v>
      </c>
      <c r="I7" s="121">
        <v>97</v>
      </c>
      <c r="J7" s="121">
        <v>324</v>
      </c>
      <c r="K7" s="121">
        <v>2109</v>
      </c>
      <c r="L7" s="121">
        <f>496+90</f>
        <v>586</v>
      </c>
      <c r="M7" s="121">
        <f>354+37</f>
        <v>391</v>
      </c>
      <c r="N7" s="121">
        <v>225</v>
      </c>
      <c r="O7" s="122">
        <f t="shared" si="0"/>
        <v>8132</v>
      </c>
      <c r="P7" s="120">
        <f>'1.1.sz.mell.'!E20</f>
        <v>8132</v>
      </c>
      <c r="Q7" s="534"/>
    </row>
    <row r="8" spans="1:17" s="120" customFormat="1" ht="14.1" customHeight="1" x14ac:dyDescent="0.2">
      <c r="A8" s="117" t="s">
        <v>907</v>
      </c>
      <c r="B8" s="310" t="s">
        <v>891</v>
      </c>
      <c r="C8" s="118">
        <f>173423/12</f>
        <v>14451.916666666666</v>
      </c>
      <c r="D8" s="118">
        <f t="shared" ref="D8:N8" si="1">173423/12</f>
        <v>14451.916666666666</v>
      </c>
      <c r="E8" s="118">
        <f t="shared" si="1"/>
        <v>14451.916666666666</v>
      </c>
      <c r="F8" s="118">
        <f t="shared" si="1"/>
        <v>14451.916666666666</v>
      </c>
      <c r="G8" s="118">
        <f t="shared" si="1"/>
        <v>14451.916666666666</v>
      </c>
      <c r="H8" s="118">
        <f t="shared" si="1"/>
        <v>14451.916666666666</v>
      </c>
      <c r="I8" s="118">
        <f t="shared" si="1"/>
        <v>14451.916666666666</v>
      </c>
      <c r="J8" s="118">
        <f t="shared" si="1"/>
        <v>14451.916666666666</v>
      </c>
      <c r="K8" s="118">
        <f t="shared" si="1"/>
        <v>14451.916666666666</v>
      </c>
      <c r="L8" s="118">
        <f t="shared" si="1"/>
        <v>14451.916666666666</v>
      </c>
      <c r="M8" s="118">
        <f t="shared" si="1"/>
        <v>14451.916666666666</v>
      </c>
      <c r="N8" s="118">
        <f t="shared" si="1"/>
        <v>14451.916666666666</v>
      </c>
      <c r="O8" s="119">
        <f t="shared" si="0"/>
        <v>173423</v>
      </c>
      <c r="P8" s="120">
        <f>'1.1.sz.mell.'!E21</f>
        <v>166940</v>
      </c>
      <c r="Q8" s="534"/>
    </row>
    <row r="9" spans="1:17" s="120" customFormat="1" ht="14.1" customHeight="1" x14ac:dyDescent="0.2">
      <c r="A9" s="117" t="s">
        <v>908</v>
      </c>
      <c r="B9" s="310" t="s">
        <v>892</v>
      </c>
      <c r="C9" s="118">
        <f>4696/12+5723/3</f>
        <v>2299</v>
      </c>
      <c r="D9" s="118">
        <v>2299</v>
      </c>
      <c r="E9" s="118">
        <v>5299</v>
      </c>
      <c r="F9" s="118">
        <f>4696/12</f>
        <v>391.33333333333331</v>
      </c>
      <c r="G9" s="118">
        <v>391</v>
      </c>
      <c r="H9" s="118">
        <v>391</v>
      </c>
      <c r="I9" s="118">
        <f>391-10416+12951</f>
        <v>2926</v>
      </c>
      <c r="J9" s="118">
        <v>391</v>
      </c>
      <c r="K9" s="118">
        <v>391</v>
      </c>
      <c r="L9" s="118">
        <v>391</v>
      </c>
      <c r="M9" s="118">
        <v>391</v>
      </c>
      <c r="N9" s="118">
        <v>391</v>
      </c>
      <c r="O9" s="119">
        <f t="shared" si="0"/>
        <v>15951.333333333334</v>
      </c>
      <c r="P9" s="120">
        <f>'1.1.sz.mell.'!E30</f>
        <v>22434</v>
      </c>
      <c r="Q9" s="534"/>
    </row>
    <row r="10" spans="1:17" s="120" customFormat="1" ht="14.1" customHeight="1" x14ac:dyDescent="0.2">
      <c r="A10" s="117" t="s">
        <v>909</v>
      </c>
      <c r="B10" s="310" t="s">
        <v>893</v>
      </c>
      <c r="C10" s="118">
        <v>209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>
        <f t="shared" si="0"/>
        <v>209</v>
      </c>
      <c r="P10" s="120">
        <f>'1.1.sz.mell.'!E43</f>
        <v>209</v>
      </c>
      <c r="Q10" s="534"/>
    </row>
    <row r="11" spans="1:17" s="120" customFormat="1" ht="14.1" customHeight="1" x14ac:dyDescent="0.2">
      <c r="A11" s="117" t="s">
        <v>910</v>
      </c>
      <c r="B11" s="310" t="s">
        <v>894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9">
        <f t="shared" si="0"/>
        <v>0</v>
      </c>
      <c r="P11" s="120">
        <f>'1.1.sz.mell.'!E46</f>
        <v>0</v>
      </c>
      <c r="Q11" s="534"/>
    </row>
    <row r="12" spans="1:17" s="120" customFormat="1" x14ac:dyDescent="0.2">
      <c r="A12" s="117" t="s">
        <v>911</v>
      </c>
      <c r="B12" s="312" t="s">
        <v>895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>
        <f t="shared" si="0"/>
        <v>0</v>
      </c>
      <c r="Q12" s="534"/>
    </row>
    <row r="13" spans="1:17" s="120" customFormat="1" ht="14.1" customHeight="1" thickBot="1" x14ac:dyDescent="0.25">
      <c r="A13" s="117" t="s">
        <v>912</v>
      </c>
      <c r="B13" s="310" t="s">
        <v>896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>
        <f t="shared" si="0"/>
        <v>0</v>
      </c>
      <c r="Q13" s="534"/>
    </row>
    <row r="14" spans="1:17" s="112" customFormat="1" ht="15.95" customHeight="1" thickBot="1" x14ac:dyDescent="0.25">
      <c r="A14" s="111" t="s">
        <v>913</v>
      </c>
      <c r="B14" s="42" t="s">
        <v>68</v>
      </c>
      <c r="C14" s="123">
        <f t="shared" ref="C14:N14" si="2">SUM(C5:C13)</f>
        <v>18804.916666666664</v>
      </c>
      <c r="D14" s="123">
        <f t="shared" si="2"/>
        <v>22389.916666666664</v>
      </c>
      <c r="E14" s="123">
        <f t="shared" si="2"/>
        <v>58277.916666666664</v>
      </c>
      <c r="F14" s="123">
        <f t="shared" si="2"/>
        <v>23379.249999999996</v>
      </c>
      <c r="G14" s="123">
        <f t="shared" si="2"/>
        <v>21829.916666666664</v>
      </c>
      <c r="H14" s="123">
        <f t="shared" si="2"/>
        <v>21222.916666666664</v>
      </c>
      <c r="I14" s="123">
        <f t="shared" si="2"/>
        <v>23626.916666666664</v>
      </c>
      <c r="J14" s="123">
        <f t="shared" si="2"/>
        <v>17497.916666666664</v>
      </c>
      <c r="K14" s="123">
        <f t="shared" si="2"/>
        <v>45291.916666666664</v>
      </c>
      <c r="L14" s="123">
        <f t="shared" si="2"/>
        <v>24348.916666666664</v>
      </c>
      <c r="M14" s="123">
        <f t="shared" si="2"/>
        <v>23052.916666666664</v>
      </c>
      <c r="N14" s="123">
        <f t="shared" si="2"/>
        <v>19089.916666666664</v>
      </c>
      <c r="O14" s="124">
        <f>SUM(C14:N14)</f>
        <v>318813.33333333331</v>
      </c>
      <c r="P14" s="112">
        <f>SUM(P5:P13)</f>
        <v>318813</v>
      </c>
      <c r="Q14" s="533"/>
    </row>
    <row r="15" spans="1:17" s="112" customFormat="1" ht="15" customHeight="1" thickBot="1" x14ac:dyDescent="0.25">
      <c r="A15" s="111" t="s">
        <v>914</v>
      </c>
      <c r="B15" s="1375" t="s">
        <v>1</v>
      </c>
      <c r="C15" s="1376"/>
      <c r="D15" s="1376"/>
      <c r="E15" s="1376"/>
      <c r="F15" s="1376"/>
      <c r="G15" s="1376"/>
      <c r="H15" s="1376"/>
      <c r="I15" s="1376"/>
      <c r="J15" s="1376"/>
      <c r="K15" s="1376"/>
      <c r="L15" s="1376"/>
      <c r="M15" s="1376"/>
      <c r="N15" s="1376"/>
      <c r="O15" s="1377"/>
      <c r="Q15" s="533"/>
    </row>
    <row r="16" spans="1:17" s="120" customFormat="1" ht="14.1" customHeight="1" x14ac:dyDescent="0.2">
      <c r="A16" s="125" t="s">
        <v>915</v>
      </c>
      <c r="B16" s="937" t="s">
        <v>13</v>
      </c>
      <c r="C16" s="938">
        <f>128480/12</f>
        <v>10706.666666666666</v>
      </c>
      <c r="D16" s="938">
        <f t="shared" ref="D16:N16" si="3">128480/12</f>
        <v>10706.666666666666</v>
      </c>
      <c r="E16" s="938">
        <f t="shared" si="3"/>
        <v>10706.666666666666</v>
      </c>
      <c r="F16" s="938">
        <f t="shared" si="3"/>
        <v>10706.666666666666</v>
      </c>
      <c r="G16" s="938">
        <f t="shared" si="3"/>
        <v>10706.666666666666</v>
      </c>
      <c r="H16" s="938">
        <f t="shared" si="3"/>
        <v>10706.666666666666</v>
      </c>
      <c r="I16" s="938">
        <f t="shared" si="3"/>
        <v>10706.666666666666</v>
      </c>
      <c r="J16" s="938">
        <f t="shared" si="3"/>
        <v>10706.666666666666</v>
      </c>
      <c r="K16" s="938">
        <f t="shared" si="3"/>
        <v>10706.666666666666</v>
      </c>
      <c r="L16" s="938">
        <f t="shared" si="3"/>
        <v>10706.666666666666</v>
      </c>
      <c r="M16" s="938">
        <f t="shared" si="3"/>
        <v>10706.666666666666</v>
      </c>
      <c r="N16" s="938">
        <f t="shared" si="3"/>
        <v>10706.666666666666</v>
      </c>
      <c r="O16" s="939">
        <f t="shared" si="0"/>
        <v>128480.00000000001</v>
      </c>
      <c r="P16" s="120">
        <f>'1.1.sz.mell.'!E74</f>
        <v>128480</v>
      </c>
      <c r="Q16" s="534"/>
    </row>
    <row r="17" spans="1:17" s="120" customFormat="1" ht="27" customHeight="1" x14ac:dyDescent="0.2">
      <c r="A17" s="117" t="s">
        <v>916</v>
      </c>
      <c r="B17" s="940" t="s">
        <v>164</v>
      </c>
      <c r="C17" s="941">
        <f>33112/12</f>
        <v>2759.3333333333335</v>
      </c>
      <c r="D17" s="941">
        <f t="shared" ref="D17:N17" si="4">33112/12</f>
        <v>2759.3333333333335</v>
      </c>
      <c r="E17" s="941">
        <f t="shared" si="4"/>
        <v>2759.3333333333335</v>
      </c>
      <c r="F17" s="941">
        <f t="shared" si="4"/>
        <v>2759.3333333333335</v>
      </c>
      <c r="G17" s="941">
        <f t="shared" si="4"/>
        <v>2759.3333333333335</v>
      </c>
      <c r="H17" s="941">
        <f t="shared" si="4"/>
        <v>2759.3333333333335</v>
      </c>
      <c r="I17" s="941">
        <f t="shared" si="4"/>
        <v>2759.3333333333335</v>
      </c>
      <c r="J17" s="941">
        <f t="shared" si="4"/>
        <v>2759.3333333333335</v>
      </c>
      <c r="K17" s="941">
        <f t="shared" si="4"/>
        <v>2759.3333333333335</v>
      </c>
      <c r="L17" s="941">
        <f t="shared" si="4"/>
        <v>2759.3333333333335</v>
      </c>
      <c r="M17" s="941">
        <f t="shared" si="4"/>
        <v>2759.3333333333335</v>
      </c>
      <c r="N17" s="941">
        <f t="shared" si="4"/>
        <v>2759.3333333333335</v>
      </c>
      <c r="O17" s="942">
        <f t="shared" si="0"/>
        <v>33111.999999999993</v>
      </c>
      <c r="P17" s="120">
        <f>'1.1.sz.mell.'!E75</f>
        <v>33112</v>
      </c>
      <c r="Q17" s="534"/>
    </row>
    <row r="18" spans="1:17" s="120" customFormat="1" ht="14.1" customHeight="1" x14ac:dyDescent="0.2">
      <c r="A18" s="117" t="s">
        <v>917</v>
      </c>
      <c r="B18" s="310" t="s">
        <v>88</v>
      </c>
      <c r="C18" s="118">
        <v>4500</v>
      </c>
      <c r="D18" s="118">
        <f>88289/12+450</f>
        <v>7807.416666666667</v>
      </c>
      <c r="E18" s="118">
        <v>9715</v>
      </c>
      <c r="F18" s="118">
        <v>8358</v>
      </c>
      <c r="G18" s="118">
        <f t="shared" ref="G18:N18" si="5">88289/12</f>
        <v>7357.416666666667</v>
      </c>
      <c r="H18" s="118">
        <v>6500</v>
      </c>
      <c r="I18" s="118">
        <f>88289/12+857</f>
        <v>8214.4166666666679</v>
      </c>
      <c r="J18" s="118">
        <v>2400</v>
      </c>
      <c r="K18" s="118">
        <v>8327</v>
      </c>
      <c r="L18" s="118">
        <f>88289/12+1080+1957</f>
        <v>10394.416666666668</v>
      </c>
      <c r="M18" s="118">
        <f t="shared" si="5"/>
        <v>7357.416666666667</v>
      </c>
      <c r="N18" s="118">
        <f t="shared" si="5"/>
        <v>7357.416666666667</v>
      </c>
      <c r="O18" s="119">
        <f t="shared" si="0"/>
        <v>88288.500000000015</v>
      </c>
      <c r="P18" s="120">
        <f>'1.1.sz.mell.'!E76</f>
        <v>88289</v>
      </c>
      <c r="Q18" s="534"/>
    </row>
    <row r="19" spans="1:17" s="120" customFormat="1" ht="14.1" customHeight="1" x14ac:dyDescent="0.2">
      <c r="A19" s="117" t="s">
        <v>918</v>
      </c>
      <c r="B19" s="310" t="s">
        <v>165</v>
      </c>
      <c r="C19" s="118">
        <v>300</v>
      </c>
      <c r="D19" s="118">
        <v>290</v>
      </c>
      <c r="E19" s="118">
        <f>8924/10</f>
        <v>892.4</v>
      </c>
      <c r="F19" s="118">
        <v>892</v>
      </c>
      <c r="G19" s="118">
        <v>892</v>
      </c>
      <c r="H19" s="118">
        <v>892</v>
      </c>
      <c r="I19" s="118">
        <f t="shared" ref="I19" si="6">8924/10</f>
        <v>892.4</v>
      </c>
      <c r="J19" s="118">
        <v>892</v>
      </c>
      <c r="K19" s="118">
        <v>892</v>
      </c>
      <c r="L19" s="118">
        <v>892</v>
      </c>
      <c r="M19" s="118">
        <f t="shared" ref="M19" si="7">8924/10</f>
        <v>892.4</v>
      </c>
      <c r="N19" s="118">
        <f>892+73</f>
        <v>965</v>
      </c>
      <c r="O19" s="119">
        <f>SUM(C19:N19)</f>
        <v>9584.1999999999989</v>
      </c>
      <c r="P19" s="120">
        <f>'1.1.sz.mell.'!E77</f>
        <v>9584</v>
      </c>
      <c r="Q19" s="534"/>
    </row>
    <row r="20" spans="1:17" s="120" customFormat="1" ht="14.1" customHeight="1" x14ac:dyDescent="0.2">
      <c r="A20" s="117" t="s">
        <v>919</v>
      </c>
      <c r="B20" s="310" t="s">
        <v>897</v>
      </c>
      <c r="C20" s="118">
        <f>(6287-1200)/11</f>
        <v>462.45454545454544</v>
      </c>
      <c r="D20" s="118">
        <v>700</v>
      </c>
      <c r="E20" s="118">
        <v>962</v>
      </c>
      <c r="F20" s="118">
        <v>462</v>
      </c>
      <c r="G20" s="118">
        <v>462</v>
      </c>
      <c r="H20" s="118">
        <v>462</v>
      </c>
      <c r="I20" s="118">
        <v>462</v>
      </c>
      <c r="J20" s="118">
        <v>462</v>
      </c>
      <c r="K20" s="118">
        <v>462</v>
      </c>
      <c r="L20" s="118">
        <v>462</v>
      </c>
      <c r="M20" s="118">
        <v>462</v>
      </c>
      <c r="N20" s="118">
        <v>467</v>
      </c>
      <c r="O20" s="119">
        <f t="shared" si="0"/>
        <v>6287.454545454546</v>
      </c>
      <c r="P20" s="120">
        <f>'1.1.sz.mell.'!E78</f>
        <v>6287</v>
      </c>
      <c r="Q20" s="534"/>
    </row>
    <row r="21" spans="1:17" s="120" customFormat="1" ht="14.1" customHeight="1" x14ac:dyDescent="0.2">
      <c r="A21" s="117" t="s">
        <v>920</v>
      </c>
      <c r="B21" s="310" t="s">
        <v>280</v>
      </c>
      <c r="C21" s="118">
        <v>0</v>
      </c>
      <c r="D21" s="118">
        <v>167</v>
      </c>
      <c r="E21" s="118">
        <v>2440</v>
      </c>
      <c r="F21" s="118">
        <v>500</v>
      </c>
      <c r="G21" s="118"/>
      <c r="H21" s="118"/>
      <c r="I21" s="118"/>
      <c r="J21" s="118">
        <v>432</v>
      </c>
      <c r="K21" s="118">
        <v>6063</v>
      </c>
      <c r="L21" s="118"/>
      <c r="M21" s="118"/>
      <c r="N21" s="118"/>
      <c r="O21" s="119">
        <f t="shared" si="0"/>
        <v>9602</v>
      </c>
      <c r="P21" s="120">
        <f>'1.1.sz.mell.'!E88</f>
        <v>9602</v>
      </c>
      <c r="Q21" s="534"/>
    </row>
    <row r="22" spans="1:17" s="120" customFormat="1" x14ac:dyDescent="0.2">
      <c r="A22" s="117" t="s">
        <v>921</v>
      </c>
      <c r="B22" s="312" t="s">
        <v>168</v>
      </c>
      <c r="C22" s="118"/>
      <c r="D22" s="118"/>
      <c r="E22" s="118">
        <v>12255</v>
      </c>
      <c r="F22" s="118">
        <v>17000</v>
      </c>
      <c r="G22" s="118"/>
      <c r="H22" s="118"/>
      <c r="I22" s="118">
        <v>500</v>
      </c>
      <c r="J22" s="118"/>
      <c r="K22" s="118">
        <v>7112</v>
      </c>
      <c r="L22" s="118"/>
      <c r="M22" s="118"/>
      <c r="N22" s="118"/>
      <c r="O22" s="119">
        <f t="shared" si="0"/>
        <v>36867</v>
      </c>
      <c r="Q22" s="534"/>
    </row>
    <row r="23" spans="1:17" s="120" customFormat="1" ht="14.1" customHeight="1" x14ac:dyDescent="0.2">
      <c r="A23" s="117" t="s">
        <v>922</v>
      </c>
      <c r="B23" s="310" t="s">
        <v>311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9">
        <f t="shared" si="0"/>
        <v>0</v>
      </c>
      <c r="Q23" s="534"/>
    </row>
    <row r="24" spans="1:17" s="120" customFormat="1" ht="14.1" customHeight="1" x14ac:dyDescent="0.2">
      <c r="A24" s="117" t="s">
        <v>923</v>
      </c>
      <c r="B24" s="310" t="s">
        <v>935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>
        <v>6592</v>
      </c>
      <c r="N24" s="118"/>
      <c r="O24" s="119">
        <f t="shared" si="0"/>
        <v>6592</v>
      </c>
      <c r="P24" s="120">
        <f>'1.1.sz.mell.'!E98</f>
        <v>6592</v>
      </c>
      <c r="Q24" s="534"/>
    </row>
    <row r="25" spans="1:17" s="120" customFormat="1" ht="13.5" customHeight="1" x14ac:dyDescent="0.2">
      <c r="A25" s="117" t="s">
        <v>924</v>
      </c>
      <c r="B25" s="310" t="s">
        <v>898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9">
        <f t="shared" si="0"/>
        <v>0</v>
      </c>
      <c r="Q25" s="534"/>
    </row>
    <row r="26" spans="1:17" s="120" customFormat="1" ht="14.1" customHeight="1" thickBot="1" x14ac:dyDescent="0.25">
      <c r="A26" s="117" t="s">
        <v>925</v>
      </c>
      <c r="B26" s="310" t="s">
        <v>899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9">
        <f t="shared" si="0"/>
        <v>0</v>
      </c>
      <c r="Q26" s="534"/>
    </row>
    <row r="27" spans="1:17" s="112" customFormat="1" ht="15.95" customHeight="1" thickBot="1" x14ac:dyDescent="0.25">
      <c r="A27" s="126" t="s">
        <v>926</v>
      </c>
      <c r="B27" s="42" t="s">
        <v>69</v>
      </c>
      <c r="C27" s="123">
        <f t="shared" ref="C27:N27" si="8">SUM(C16:C26)</f>
        <v>18728.454545454544</v>
      </c>
      <c r="D27" s="123">
        <f t="shared" si="8"/>
        <v>22430.416666666668</v>
      </c>
      <c r="E27" s="123">
        <f t="shared" si="8"/>
        <v>39730.400000000001</v>
      </c>
      <c r="F27" s="123">
        <f t="shared" si="8"/>
        <v>40678</v>
      </c>
      <c r="G27" s="123">
        <f t="shared" si="8"/>
        <v>22177.416666666668</v>
      </c>
      <c r="H27" s="123">
        <f t="shared" si="8"/>
        <v>21320</v>
      </c>
      <c r="I27" s="123">
        <f t="shared" si="8"/>
        <v>23534.816666666669</v>
      </c>
      <c r="J27" s="123">
        <f t="shared" si="8"/>
        <v>17652</v>
      </c>
      <c r="K27" s="123">
        <f t="shared" si="8"/>
        <v>36322</v>
      </c>
      <c r="L27" s="123">
        <f t="shared" si="8"/>
        <v>25214.416666666668</v>
      </c>
      <c r="M27" s="123">
        <f t="shared" si="8"/>
        <v>28769.816666666669</v>
      </c>
      <c r="N27" s="123">
        <f t="shared" si="8"/>
        <v>22255.416666666668</v>
      </c>
      <c r="O27" s="124">
        <f t="shared" si="0"/>
        <v>318813.15454545454</v>
      </c>
      <c r="P27" s="112">
        <f>SUM(P16:P26)</f>
        <v>281946</v>
      </c>
      <c r="Q27" s="533"/>
    </row>
    <row r="28" spans="1:17" ht="16.5" thickBot="1" x14ac:dyDescent="0.3">
      <c r="A28" s="126" t="s">
        <v>927</v>
      </c>
      <c r="B28" s="314" t="s">
        <v>70</v>
      </c>
      <c r="C28" s="127">
        <f t="shared" ref="C28:O28" si="9">C14-C27</f>
        <v>76.46212121212011</v>
      </c>
      <c r="D28" s="127">
        <f t="shared" si="9"/>
        <v>-40.500000000003638</v>
      </c>
      <c r="E28" s="127">
        <f t="shared" si="9"/>
        <v>18547.516666666663</v>
      </c>
      <c r="F28" s="127">
        <f t="shared" si="9"/>
        <v>-17298.750000000004</v>
      </c>
      <c r="G28" s="127">
        <f t="shared" si="9"/>
        <v>-347.50000000000364</v>
      </c>
      <c r="H28" s="127">
        <f t="shared" si="9"/>
        <v>-97.083333333335759</v>
      </c>
      <c r="I28" s="127">
        <f t="shared" si="9"/>
        <v>92.099999999994907</v>
      </c>
      <c r="J28" s="127">
        <f t="shared" si="9"/>
        <v>-154.08333333333576</v>
      </c>
      <c r="K28" s="127">
        <f t="shared" si="9"/>
        <v>8969.9166666666642</v>
      </c>
      <c r="L28" s="127">
        <f t="shared" si="9"/>
        <v>-865.50000000000364</v>
      </c>
      <c r="M28" s="127">
        <f t="shared" si="9"/>
        <v>-5716.9000000000051</v>
      </c>
      <c r="N28" s="127">
        <f t="shared" si="9"/>
        <v>-3165.5000000000036</v>
      </c>
      <c r="O28" s="128">
        <f t="shared" si="9"/>
        <v>0.17878787877270952</v>
      </c>
    </row>
    <row r="29" spans="1:17" ht="16.5" thickBot="1" x14ac:dyDescent="0.3">
      <c r="A29" s="130"/>
    </row>
    <row r="30" spans="1:17" ht="16.5" thickBot="1" x14ac:dyDescent="0.3">
      <c r="A30" s="126" t="s">
        <v>928</v>
      </c>
      <c r="B30" s="314" t="s">
        <v>833</v>
      </c>
      <c r="C30" s="127">
        <f>C28</f>
        <v>76.46212121212011</v>
      </c>
      <c r="D30" s="127">
        <f>C30+D28</f>
        <v>35.962121212116472</v>
      </c>
      <c r="E30" s="127">
        <f>D30+E28</f>
        <v>18583.478787878779</v>
      </c>
      <c r="F30" s="127">
        <f t="shared" ref="F30:N30" si="10">E30+F28</f>
        <v>1284.7287878787756</v>
      </c>
      <c r="G30" s="127">
        <f t="shared" si="10"/>
        <v>937.22878787877198</v>
      </c>
      <c r="H30" s="127">
        <f t="shared" si="10"/>
        <v>840.14545454543622</v>
      </c>
      <c r="I30" s="127">
        <f t="shared" si="10"/>
        <v>932.24545454543113</v>
      </c>
      <c r="J30" s="127">
        <f t="shared" si="10"/>
        <v>778.16212121209537</v>
      </c>
      <c r="K30" s="127">
        <f t="shared" si="10"/>
        <v>9748.0787878787596</v>
      </c>
      <c r="L30" s="127">
        <f t="shared" si="10"/>
        <v>8882.578787878756</v>
      </c>
      <c r="M30" s="127">
        <f t="shared" si="10"/>
        <v>3165.6787878787509</v>
      </c>
      <c r="N30" s="127">
        <f t="shared" si="10"/>
        <v>0.17878787874724367</v>
      </c>
      <c r="O30" s="127">
        <v>0</v>
      </c>
    </row>
    <row r="31" spans="1:17" x14ac:dyDescent="0.25">
      <c r="O31" s="129"/>
    </row>
    <row r="32" spans="1:17" x14ac:dyDescent="0.25">
      <c r="O32" s="129"/>
    </row>
    <row r="33" spans="15:15" x14ac:dyDescent="0.25">
      <c r="O33" s="129"/>
    </row>
    <row r="34" spans="15:15" x14ac:dyDescent="0.25">
      <c r="O34" s="129"/>
    </row>
    <row r="35" spans="15:15" x14ac:dyDescent="0.25">
      <c r="O35" s="129"/>
    </row>
    <row r="36" spans="15:15" x14ac:dyDescent="0.25">
      <c r="O36" s="129"/>
    </row>
    <row r="37" spans="15:15" x14ac:dyDescent="0.25">
      <c r="O37" s="129"/>
    </row>
    <row r="38" spans="15:15" x14ac:dyDescent="0.25">
      <c r="O38" s="129"/>
    </row>
    <row r="39" spans="15:15" x14ac:dyDescent="0.25">
      <c r="O39" s="129"/>
    </row>
    <row r="40" spans="15:15" x14ac:dyDescent="0.25">
      <c r="O40" s="129"/>
    </row>
    <row r="41" spans="15:15" x14ac:dyDescent="0.25">
      <c r="O41" s="129"/>
    </row>
    <row r="42" spans="15:15" x14ac:dyDescent="0.25">
      <c r="O42" s="129"/>
    </row>
    <row r="43" spans="15:15" x14ac:dyDescent="0.25">
      <c r="O43" s="129"/>
    </row>
    <row r="44" spans="15:15" x14ac:dyDescent="0.25">
      <c r="O44" s="129"/>
    </row>
    <row r="45" spans="15:15" x14ac:dyDescent="0.25">
      <c r="O45" s="129"/>
    </row>
    <row r="46" spans="15:15" x14ac:dyDescent="0.25">
      <c r="O46" s="129"/>
    </row>
    <row r="47" spans="15:15" x14ac:dyDescent="0.25">
      <c r="O47" s="129"/>
    </row>
    <row r="48" spans="15:15" x14ac:dyDescent="0.25">
      <c r="O48" s="129"/>
    </row>
    <row r="49" spans="15:15" x14ac:dyDescent="0.25">
      <c r="O49" s="129"/>
    </row>
    <row r="50" spans="15:15" x14ac:dyDescent="0.25">
      <c r="O50" s="129"/>
    </row>
    <row r="51" spans="15:15" x14ac:dyDescent="0.25">
      <c r="O51" s="129"/>
    </row>
    <row r="52" spans="15:15" x14ac:dyDescent="0.25">
      <c r="O52" s="129"/>
    </row>
    <row r="53" spans="15:15" x14ac:dyDescent="0.25">
      <c r="O53" s="129"/>
    </row>
    <row r="54" spans="15:15" x14ac:dyDescent="0.25">
      <c r="O54" s="129"/>
    </row>
    <row r="55" spans="15:15" x14ac:dyDescent="0.25">
      <c r="O55" s="129"/>
    </row>
    <row r="56" spans="15:15" x14ac:dyDescent="0.25">
      <c r="O56" s="129"/>
    </row>
    <row r="57" spans="15:15" x14ac:dyDescent="0.25">
      <c r="O57" s="129"/>
    </row>
    <row r="58" spans="15:15" x14ac:dyDescent="0.25">
      <c r="O58" s="129"/>
    </row>
    <row r="59" spans="15:15" x14ac:dyDescent="0.25">
      <c r="O59" s="129"/>
    </row>
    <row r="60" spans="15:15" x14ac:dyDescent="0.25">
      <c r="O60" s="129"/>
    </row>
    <row r="61" spans="15:15" x14ac:dyDescent="0.25">
      <c r="O61" s="129"/>
    </row>
    <row r="62" spans="15:15" x14ac:dyDescent="0.25">
      <c r="O62" s="129"/>
    </row>
    <row r="63" spans="15:15" x14ac:dyDescent="0.25">
      <c r="O63" s="129"/>
    </row>
    <row r="64" spans="15:15" x14ac:dyDescent="0.25">
      <c r="O64" s="129"/>
    </row>
    <row r="65" spans="15:15" x14ac:dyDescent="0.25">
      <c r="O65" s="129"/>
    </row>
    <row r="66" spans="15:15" x14ac:dyDescent="0.25">
      <c r="O66" s="129"/>
    </row>
    <row r="67" spans="15:15" x14ac:dyDescent="0.25">
      <c r="O67" s="129"/>
    </row>
    <row r="68" spans="15:15" x14ac:dyDescent="0.25">
      <c r="O68" s="129"/>
    </row>
    <row r="69" spans="15:15" x14ac:dyDescent="0.25">
      <c r="O69" s="129"/>
    </row>
    <row r="70" spans="15:15" x14ac:dyDescent="0.25">
      <c r="O70" s="129"/>
    </row>
    <row r="71" spans="15:15" x14ac:dyDescent="0.25">
      <c r="O71" s="129"/>
    </row>
    <row r="72" spans="15:15" x14ac:dyDescent="0.25">
      <c r="O72" s="129"/>
    </row>
    <row r="73" spans="15:15" x14ac:dyDescent="0.25">
      <c r="O73" s="129"/>
    </row>
    <row r="74" spans="15:15" x14ac:dyDescent="0.25">
      <c r="O74" s="129"/>
    </row>
    <row r="75" spans="15:15" x14ac:dyDescent="0.25">
      <c r="O75" s="129"/>
    </row>
    <row r="76" spans="15:15" x14ac:dyDescent="0.25">
      <c r="O76" s="129"/>
    </row>
    <row r="77" spans="15:15" x14ac:dyDescent="0.25">
      <c r="O77" s="129"/>
    </row>
    <row r="78" spans="15:15" x14ac:dyDescent="0.25">
      <c r="O78" s="129"/>
    </row>
    <row r="79" spans="15:15" x14ac:dyDescent="0.25">
      <c r="O79" s="129"/>
    </row>
    <row r="80" spans="15:15" x14ac:dyDescent="0.25">
      <c r="O80" s="129"/>
    </row>
    <row r="81" spans="15:15" x14ac:dyDescent="0.25">
      <c r="O81" s="129"/>
    </row>
    <row r="82" spans="15:15" x14ac:dyDescent="0.25">
      <c r="O82" s="129"/>
    </row>
    <row r="83" spans="15:15" x14ac:dyDescent="0.25">
      <c r="O83" s="12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SheetLayoutView="100" workbookViewId="0">
      <selection sqref="A1:C1"/>
    </sheetView>
  </sheetViews>
  <sheetFormatPr defaultColWidth="9.33203125" defaultRowHeight="12.75" x14ac:dyDescent="0.2"/>
  <cols>
    <col min="1" max="1" width="39.5" style="1119" bestFit="1" customWidth="1"/>
    <col min="2" max="2" width="20.33203125" style="1119" customWidth="1"/>
    <col min="3" max="3" width="21.5" style="1119" customWidth="1"/>
    <col min="4" max="8" width="17" style="1119" customWidth="1"/>
    <col min="9" max="9" width="12.83203125" style="1122" customWidth="1"/>
    <col min="10" max="16384" width="9.33203125" style="1119"/>
  </cols>
  <sheetData>
    <row r="1" spans="1:9" ht="13.5" x14ac:dyDescent="0.25">
      <c r="A1" s="1313" t="s">
        <v>1215</v>
      </c>
      <c r="B1" s="1313"/>
      <c r="C1" s="1313"/>
      <c r="D1" s="1132"/>
      <c r="E1" s="1132"/>
      <c r="F1" s="1132"/>
      <c r="G1" s="1132"/>
      <c r="H1" s="1132"/>
      <c r="I1" s="1132"/>
    </row>
    <row r="4" spans="1:9" ht="12.75" customHeight="1" x14ac:dyDescent="0.2">
      <c r="A4" s="1311" t="s">
        <v>829</v>
      </c>
      <c r="B4" s="1311"/>
      <c r="C4" s="1311"/>
      <c r="D4" s="1005"/>
      <c r="E4" s="1005"/>
      <c r="F4" s="1005"/>
      <c r="G4" s="1005"/>
      <c r="H4" s="1005"/>
      <c r="I4" s="1005"/>
    </row>
    <row r="5" spans="1:9" x14ac:dyDescent="0.2">
      <c r="A5" s="1312" t="s">
        <v>1147</v>
      </c>
      <c r="B5" s="1312"/>
      <c r="C5" s="1312"/>
      <c r="D5" s="1131"/>
      <c r="E5" s="1131"/>
      <c r="F5" s="1131"/>
      <c r="G5" s="1131"/>
      <c r="H5" s="1131"/>
      <c r="I5" s="1131"/>
    </row>
    <row r="6" spans="1:9" ht="13.5" thickBot="1" x14ac:dyDescent="0.25">
      <c r="A6" s="1120"/>
      <c r="B6" s="1121"/>
    </row>
    <row r="7" spans="1:9" ht="14.25" thickTop="1" thickBot="1" x14ac:dyDescent="0.25">
      <c r="A7" s="1308" t="s">
        <v>1148</v>
      </c>
      <c r="B7" s="1309"/>
      <c r="C7" s="1310"/>
    </row>
    <row r="8" spans="1:9" ht="14.25" thickTop="1" thickBot="1" x14ac:dyDescent="0.25">
      <c r="A8" s="1123" t="s">
        <v>1149</v>
      </c>
      <c r="B8" s="1124" t="s">
        <v>1150</v>
      </c>
      <c r="C8" s="1125" t="s">
        <v>1151</v>
      </c>
    </row>
    <row r="9" spans="1:9" ht="14.25" thickTop="1" thickBot="1" x14ac:dyDescent="0.25">
      <c r="A9" s="1316" t="s">
        <v>1152</v>
      </c>
      <c r="B9" s="1126" t="s">
        <v>1153</v>
      </c>
      <c r="C9" s="1126" t="s">
        <v>1154</v>
      </c>
    </row>
    <row r="10" spans="1:9" ht="13.5" thickBot="1" x14ac:dyDescent="0.25">
      <c r="A10" s="1315"/>
      <c r="B10" s="1126" t="s">
        <v>1155</v>
      </c>
      <c r="C10" s="1126" t="s">
        <v>1154</v>
      </c>
    </row>
    <row r="11" spans="1:9" ht="13.5" thickBot="1" x14ac:dyDescent="0.25">
      <c r="A11" s="1127" t="s">
        <v>1156</v>
      </c>
      <c r="B11" s="1126" t="s">
        <v>1158</v>
      </c>
      <c r="C11" s="1126" t="s">
        <v>1159</v>
      </c>
    </row>
    <row r="12" spans="1:9" ht="26.25" thickBot="1" x14ac:dyDescent="0.25">
      <c r="A12" s="1128" t="s">
        <v>1157</v>
      </c>
      <c r="B12" s="1126" t="s">
        <v>1160</v>
      </c>
      <c r="C12" s="1126" t="s">
        <v>1161</v>
      </c>
    </row>
    <row r="13" spans="1:9" x14ac:dyDescent="0.2">
      <c r="A13" s="1127" t="s">
        <v>1162</v>
      </c>
      <c r="B13" s="1314" t="s">
        <v>1164</v>
      </c>
      <c r="C13" s="1314" t="s">
        <v>1154</v>
      </c>
    </row>
    <row r="14" spans="1:9" ht="13.5" thickBot="1" x14ac:dyDescent="0.25">
      <c r="A14" s="1128" t="s">
        <v>1163</v>
      </c>
      <c r="B14" s="1315"/>
      <c r="C14" s="1315"/>
    </row>
    <row r="15" spans="1:9" x14ac:dyDescent="0.2">
      <c r="A15" s="1127" t="s">
        <v>1165</v>
      </c>
      <c r="B15" s="1314" t="s">
        <v>1166</v>
      </c>
      <c r="C15" s="1314" t="s">
        <v>1154</v>
      </c>
    </row>
    <row r="16" spans="1:9" ht="13.5" thickBot="1" x14ac:dyDescent="0.25">
      <c r="A16" s="1128" t="s">
        <v>1163</v>
      </c>
      <c r="B16" s="1315"/>
      <c r="C16" s="1315"/>
    </row>
    <row r="17" spans="1:3" ht="13.5" thickBot="1" x14ac:dyDescent="0.25">
      <c r="A17" s="1128"/>
      <c r="B17" s="1126" t="s">
        <v>1167</v>
      </c>
      <c r="C17" s="1126" t="s">
        <v>1161</v>
      </c>
    </row>
    <row r="18" spans="1:3" x14ac:dyDescent="0.2">
      <c r="A18" s="1127" t="s">
        <v>831</v>
      </c>
      <c r="B18" s="1314" t="s">
        <v>1168</v>
      </c>
      <c r="C18" s="1314" t="s">
        <v>1154</v>
      </c>
    </row>
    <row r="19" spans="1:3" ht="13.5" thickBot="1" x14ac:dyDescent="0.25">
      <c r="A19" s="1128" t="s">
        <v>1163</v>
      </c>
      <c r="B19" s="1315"/>
      <c r="C19" s="1315"/>
    </row>
    <row r="20" spans="1:3" x14ac:dyDescent="0.2">
      <c r="A20" s="1127" t="s">
        <v>967</v>
      </c>
      <c r="B20" s="1314" t="s">
        <v>1169</v>
      </c>
      <c r="C20" s="1314" t="s">
        <v>1154</v>
      </c>
    </row>
    <row r="21" spans="1:3" ht="13.5" thickBot="1" x14ac:dyDescent="0.25">
      <c r="A21" s="1128" t="s">
        <v>1163</v>
      </c>
      <c r="B21" s="1315"/>
      <c r="C21" s="1315"/>
    </row>
    <row r="22" spans="1:3" ht="13.5" thickBot="1" x14ac:dyDescent="0.25"/>
    <row r="23" spans="1:3" ht="14.25" thickTop="1" thickBot="1" x14ac:dyDescent="0.25">
      <c r="A23" s="1308" t="s">
        <v>830</v>
      </c>
      <c r="B23" s="1309"/>
      <c r="C23" s="1310"/>
    </row>
    <row r="24" spans="1:3" ht="14.25" thickTop="1" thickBot="1" x14ac:dyDescent="0.25">
      <c r="A24" s="1123" t="s">
        <v>1149</v>
      </c>
      <c r="B24" s="1124" t="s">
        <v>1150</v>
      </c>
      <c r="C24" s="1125" t="s">
        <v>1151</v>
      </c>
    </row>
    <row r="25" spans="1:3" ht="14.25" thickTop="1" thickBot="1" x14ac:dyDescent="0.25">
      <c r="A25" s="1127" t="s">
        <v>1170</v>
      </c>
      <c r="B25" s="1129" t="s">
        <v>1172</v>
      </c>
      <c r="C25" s="1129" t="s">
        <v>1154</v>
      </c>
    </row>
    <row r="26" spans="1:3" ht="13.5" thickBot="1" x14ac:dyDescent="0.25">
      <c r="A26" s="1128" t="s">
        <v>1171</v>
      </c>
      <c r="B26" s="1126" t="s">
        <v>1170</v>
      </c>
      <c r="C26" s="1126" t="s">
        <v>1173</v>
      </c>
    </row>
    <row r="27" spans="1:3" ht="13.5" thickBot="1" x14ac:dyDescent="0.25"/>
    <row r="28" spans="1:3" ht="14.25" thickTop="1" thickBot="1" x14ac:dyDescent="0.25">
      <c r="A28" s="1308" t="s">
        <v>479</v>
      </c>
      <c r="B28" s="1309"/>
      <c r="C28" s="1310"/>
    </row>
    <row r="29" spans="1:3" ht="14.25" thickTop="1" thickBot="1" x14ac:dyDescent="0.25">
      <c r="A29" s="1123" t="s">
        <v>1149</v>
      </c>
      <c r="B29" s="1124" t="s">
        <v>1150</v>
      </c>
      <c r="C29" s="1125" t="s">
        <v>1151</v>
      </c>
    </row>
    <row r="30" spans="1:3" ht="14.25" thickTop="1" thickBot="1" x14ac:dyDescent="0.25">
      <c r="A30" s="1127" t="s">
        <v>1174</v>
      </c>
      <c r="B30" s="1129" t="s">
        <v>1176</v>
      </c>
      <c r="C30" s="1129" t="s">
        <v>1154</v>
      </c>
    </row>
    <row r="31" spans="1:3" ht="13.5" thickBot="1" x14ac:dyDescent="0.25">
      <c r="A31" s="1127" t="s">
        <v>1175</v>
      </c>
      <c r="B31" s="1129" t="s">
        <v>1177</v>
      </c>
      <c r="C31" s="1129" t="s">
        <v>1178</v>
      </c>
    </row>
    <row r="32" spans="1:3" ht="26.25" thickBot="1" x14ac:dyDescent="0.25">
      <c r="A32" s="1130"/>
      <c r="B32" s="1126" t="s">
        <v>1179</v>
      </c>
      <c r="C32" s="1126" t="s">
        <v>1154</v>
      </c>
    </row>
    <row r="33" spans="1:3" ht="13.5" thickBot="1" x14ac:dyDescent="0.25">
      <c r="A33" s="1117"/>
      <c r="B33" s="1126" t="s">
        <v>1180</v>
      </c>
      <c r="C33" s="1126" t="s">
        <v>1181</v>
      </c>
    </row>
    <row r="34" spans="1:3" ht="13.5" thickBot="1" x14ac:dyDescent="0.25">
      <c r="A34" s="1117"/>
      <c r="B34" s="1126" t="s">
        <v>1182</v>
      </c>
      <c r="C34" s="1126" t="s">
        <v>1154</v>
      </c>
    </row>
    <row r="35" spans="1:3" ht="26.25" thickBot="1" x14ac:dyDescent="0.25">
      <c r="A35" s="1118"/>
      <c r="B35" s="1126" t="s">
        <v>1164</v>
      </c>
      <c r="C35" s="1126" t="s">
        <v>1159</v>
      </c>
    </row>
  </sheetData>
  <mergeCells count="15">
    <mergeCell ref="A28:C28"/>
    <mergeCell ref="A4:C4"/>
    <mergeCell ref="A5:C5"/>
    <mergeCell ref="A1:C1"/>
    <mergeCell ref="B18:B19"/>
    <mergeCell ref="C18:C19"/>
    <mergeCell ref="B20:B21"/>
    <mergeCell ref="C20:C21"/>
    <mergeCell ref="A23:C23"/>
    <mergeCell ref="A7:C7"/>
    <mergeCell ref="A9:A10"/>
    <mergeCell ref="B13:B14"/>
    <mergeCell ref="C13:C14"/>
    <mergeCell ref="B15:B16"/>
    <mergeCell ref="C15:C16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67"/>
  <sheetViews>
    <sheetView view="pageBreakPreview" zoomScaleSheetLayoutView="100" workbookViewId="0">
      <selection activeCell="B16" sqref="B16"/>
    </sheetView>
  </sheetViews>
  <sheetFormatPr defaultColWidth="9.33203125" defaultRowHeight="12.75" x14ac:dyDescent="0.2"/>
  <cols>
    <col min="1" max="1" width="6.6640625" style="1010" bestFit="1" customWidth="1"/>
    <col min="2" max="2" width="51.33203125" style="1009" customWidth="1"/>
    <col min="3" max="3" width="43.6640625" style="1009" customWidth="1"/>
    <col min="4" max="4" width="12.1640625" style="1009" hidden="1" customWidth="1"/>
    <col min="5" max="5" width="13.6640625" style="1009" bestFit="1" customWidth="1"/>
    <col min="6" max="6" width="41.1640625" style="1033" bestFit="1" customWidth="1"/>
    <col min="7" max="7" width="36" style="1009" customWidth="1"/>
    <col min="8" max="16384" width="9.33203125" style="1009"/>
  </cols>
  <sheetData>
    <row r="1" spans="1:6" ht="13.5" x14ac:dyDescent="0.2">
      <c r="B1" s="1380" t="s">
        <v>695</v>
      </c>
      <c r="C1" s="1380"/>
      <c r="D1" s="1380"/>
      <c r="E1" s="1380"/>
      <c r="F1" s="1380"/>
    </row>
    <row r="2" spans="1:6" x14ac:dyDescent="0.2">
      <c r="B2" s="1010"/>
      <c r="C2" s="1011"/>
    </row>
    <row r="3" spans="1:6" x14ac:dyDescent="0.2">
      <c r="A3" s="1381" t="s">
        <v>1077</v>
      </c>
      <c r="B3" s="1381"/>
      <c r="C3" s="1381"/>
      <c r="D3" s="1381"/>
      <c r="E3" s="1381"/>
      <c r="F3" s="1381"/>
    </row>
    <row r="4" spans="1:6" ht="13.5" thickBot="1" x14ac:dyDescent="0.25">
      <c r="B4" s="1010"/>
      <c r="C4" s="1011"/>
    </row>
    <row r="5" spans="1:6" ht="26.25" thickBot="1" x14ac:dyDescent="0.25">
      <c r="A5" s="935" t="s">
        <v>1076</v>
      </c>
      <c r="B5" s="936" t="s">
        <v>980</v>
      </c>
      <c r="C5" s="936" t="s">
        <v>981</v>
      </c>
      <c r="D5" s="936" t="s">
        <v>1075</v>
      </c>
      <c r="E5" s="936" t="s">
        <v>992</v>
      </c>
      <c r="F5" s="1002" t="s">
        <v>949</v>
      </c>
    </row>
    <row r="6" spans="1:6" x14ac:dyDescent="0.2">
      <c r="A6" s="1030">
        <v>1</v>
      </c>
      <c r="B6" s="1001" t="s">
        <v>1064</v>
      </c>
      <c r="C6" s="1001" t="s">
        <v>1065</v>
      </c>
      <c r="D6" s="1012" t="s">
        <v>1030</v>
      </c>
      <c r="E6" s="1003">
        <v>4000000</v>
      </c>
      <c r="F6" s="1034"/>
    </row>
    <row r="7" spans="1:6" x14ac:dyDescent="0.2">
      <c r="A7" s="1031">
        <v>2</v>
      </c>
      <c r="B7" s="997" t="s">
        <v>1022</v>
      </c>
      <c r="C7" s="997" t="s">
        <v>1029</v>
      </c>
      <c r="D7" s="1013" t="s">
        <v>1030</v>
      </c>
      <c r="E7" s="1004">
        <v>250000</v>
      </c>
      <c r="F7" s="1035"/>
    </row>
    <row r="8" spans="1:6" x14ac:dyDescent="0.2">
      <c r="A8" s="1031">
        <v>3</v>
      </c>
      <c r="B8" s="997" t="s">
        <v>1066</v>
      </c>
      <c r="C8" s="997" t="s">
        <v>1065</v>
      </c>
      <c r="D8" s="1013" t="s">
        <v>1030</v>
      </c>
      <c r="E8" s="1004">
        <v>2500000</v>
      </c>
      <c r="F8" s="1035"/>
    </row>
    <row r="9" spans="1:6" x14ac:dyDescent="0.2">
      <c r="A9" s="1030">
        <v>4</v>
      </c>
      <c r="B9" s="997" t="s">
        <v>1057</v>
      </c>
      <c r="C9" s="997" t="s">
        <v>1060</v>
      </c>
      <c r="D9" s="1013" t="s">
        <v>1030</v>
      </c>
      <c r="E9" s="1004">
        <v>1000000</v>
      </c>
      <c r="F9" s="1035"/>
    </row>
    <row r="10" spans="1:6" x14ac:dyDescent="0.2">
      <c r="A10" s="1031">
        <v>5</v>
      </c>
      <c r="B10" s="999" t="s">
        <v>1057</v>
      </c>
      <c r="C10" s="999" t="s">
        <v>1061</v>
      </c>
      <c r="D10" s="1013" t="s">
        <v>1030</v>
      </c>
      <c r="E10" s="1004">
        <v>3900000</v>
      </c>
      <c r="F10" s="1035"/>
    </row>
    <row r="11" spans="1:6" x14ac:dyDescent="0.2">
      <c r="A11" s="1031">
        <v>6</v>
      </c>
      <c r="B11" s="997" t="s">
        <v>1062</v>
      </c>
      <c r="C11" s="997" t="s">
        <v>1063</v>
      </c>
      <c r="D11" s="1013" t="s">
        <v>1030</v>
      </c>
      <c r="E11" s="1004">
        <v>100000</v>
      </c>
      <c r="F11" s="1035"/>
    </row>
    <row r="12" spans="1:6" x14ac:dyDescent="0.2">
      <c r="A12" s="1030">
        <v>7</v>
      </c>
      <c r="B12" s="999" t="s">
        <v>1032</v>
      </c>
      <c r="C12" s="999" t="s">
        <v>1033</v>
      </c>
      <c r="D12" s="1013" t="s">
        <v>1030</v>
      </c>
      <c r="E12" s="1004">
        <v>300000</v>
      </c>
      <c r="F12" s="1035"/>
    </row>
    <row r="13" spans="1:6" x14ac:dyDescent="0.2">
      <c r="A13" s="1031">
        <v>8</v>
      </c>
      <c r="B13" s="999" t="s">
        <v>1051</v>
      </c>
      <c r="C13" s="999" t="s">
        <v>1054</v>
      </c>
      <c r="D13" s="1013" t="s">
        <v>1030</v>
      </c>
      <c r="E13" s="1004">
        <v>100000</v>
      </c>
      <c r="F13" s="1035"/>
    </row>
    <row r="14" spans="1:6" x14ac:dyDescent="0.2">
      <c r="A14" s="1031">
        <v>9</v>
      </c>
      <c r="B14" s="999" t="s">
        <v>1051</v>
      </c>
      <c r="C14" s="999" t="s">
        <v>1056</v>
      </c>
      <c r="D14" s="1013" t="s">
        <v>1030</v>
      </c>
      <c r="E14" s="1004">
        <v>100000</v>
      </c>
      <c r="F14" s="1035"/>
    </row>
    <row r="15" spans="1:6" x14ac:dyDescent="0.2">
      <c r="A15" s="1030">
        <v>10</v>
      </c>
      <c r="B15" s="999" t="s">
        <v>1103</v>
      </c>
      <c r="C15" s="999" t="s">
        <v>1069</v>
      </c>
      <c r="D15" s="1013" t="s">
        <v>1030</v>
      </c>
      <c r="E15" s="1004">
        <v>250000</v>
      </c>
      <c r="F15" s="1035" t="s">
        <v>1122</v>
      </c>
    </row>
    <row r="16" spans="1:6" x14ac:dyDescent="0.2">
      <c r="A16" s="1031">
        <v>11</v>
      </c>
      <c r="B16" s="999" t="s">
        <v>1103</v>
      </c>
      <c r="C16" s="999" t="s">
        <v>1071</v>
      </c>
      <c r="D16" s="1013" t="s">
        <v>1030</v>
      </c>
      <c r="E16" s="1004">
        <v>1205000</v>
      </c>
      <c r="F16" s="1036"/>
    </row>
    <row r="17" spans="1:7" s="1029" customFormat="1" x14ac:dyDescent="0.2">
      <c r="A17" s="1031">
        <v>12</v>
      </c>
      <c r="B17" s="1025" t="s">
        <v>1103</v>
      </c>
      <c r="C17" s="1025" t="s">
        <v>1072</v>
      </c>
      <c r="D17" s="1027" t="s">
        <v>1030</v>
      </c>
      <c r="E17" s="1028">
        <v>723000</v>
      </c>
      <c r="F17" s="1037" t="s">
        <v>1097</v>
      </c>
    </row>
    <row r="18" spans="1:7" x14ac:dyDescent="0.2">
      <c r="A18" s="1030">
        <v>13</v>
      </c>
      <c r="B18" s="997" t="s">
        <v>1103</v>
      </c>
      <c r="C18" s="997" t="s">
        <v>1073</v>
      </c>
      <c r="D18" s="1013" t="s">
        <v>1030</v>
      </c>
      <c r="E18" s="1004">
        <v>800000</v>
      </c>
      <c r="F18" s="1035" t="s">
        <v>1122</v>
      </c>
    </row>
    <row r="19" spans="1:7" x14ac:dyDescent="0.2">
      <c r="A19" s="1031">
        <v>14</v>
      </c>
      <c r="B19" s="997" t="s">
        <v>1103</v>
      </c>
      <c r="C19" s="999" t="s">
        <v>1074</v>
      </c>
      <c r="D19" s="1013" t="s">
        <v>1030</v>
      </c>
      <c r="E19" s="1004">
        <v>50000</v>
      </c>
      <c r="F19" s="1035" t="s">
        <v>1122</v>
      </c>
    </row>
    <row r="20" spans="1:7" x14ac:dyDescent="0.2">
      <c r="A20" s="1031">
        <v>15</v>
      </c>
      <c r="B20" s="997" t="s">
        <v>1103</v>
      </c>
      <c r="C20" s="999" t="s">
        <v>1094</v>
      </c>
      <c r="D20" s="1013"/>
      <c r="E20" s="1004">
        <v>3600000</v>
      </c>
      <c r="F20" s="1054" t="s">
        <v>1095</v>
      </c>
    </row>
    <row r="21" spans="1:7" x14ac:dyDescent="0.2">
      <c r="A21" s="1031">
        <v>16</v>
      </c>
      <c r="B21" s="997" t="s">
        <v>1103</v>
      </c>
      <c r="C21" s="999" t="s">
        <v>1096</v>
      </c>
      <c r="D21" s="1013"/>
      <c r="E21" s="1004">
        <f>126000+64000</f>
        <v>190000</v>
      </c>
      <c r="F21" s="1054"/>
    </row>
    <row r="22" spans="1:7" x14ac:dyDescent="0.2">
      <c r="A22" s="1031">
        <v>17</v>
      </c>
      <c r="B22" s="997" t="s">
        <v>1103</v>
      </c>
      <c r="C22" s="999" t="s">
        <v>1100</v>
      </c>
      <c r="D22" s="1013"/>
      <c r="E22" s="1004">
        <v>250000</v>
      </c>
      <c r="F22" s="1054"/>
    </row>
    <row r="23" spans="1:7" x14ac:dyDescent="0.2">
      <c r="A23" s="1031">
        <v>18</v>
      </c>
      <c r="B23" s="997" t="s">
        <v>1103</v>
      </c>
      <c r="C23" s="999" t="s">
        <v>1098</v>
      </c>
      <c r="D23" s="1013"/>
      <c r="E23" s="1004">
        <v>620000</v>
      </c>
      <c r="F23" s="1054"/>
    </row>
    <row r="24" spans="1:7" ht="13.5" thickBot="1" x14ac:dyDescent="0.25">
      <c r="A24" s="1057">
        <v>19</v>
      </c>
      <c r="B24" s="997" t="s">
        <v>1103</v>
      </c>
      <c r="C24" s="1055" t="s">
        <v>1099</v>
      </c>
      <c r="D24" s="1014"/>
      <c r="E24" s="1008">
        <v>200000</v>
      </c>
      <c r="F24" s="1056"/>
    </row>
    <row r="25" spans="1:7" ht="13.5" thickBot="1" x14ac:dyDescent="0.25">
      <c r="A25" s="1032"/>
      <c r="B25" s="1018" t="s">
        <v>1078</v>
      </c>
      <c r="C25" s="1019"/>
      <c r="D25" s="1020"/>
      <c r="E25" s="1021">
        <f>SUM(E6:E24)</f>
        <v>20138000</v>
      </c>
      <c r="F25" s="1038"/>
      <c r="G25" s="1053"/>
    </row>
    <row r="26" spans="1:7" x14ac:dyDescent="0.2">
      <c r="A26" s="1030">
        <v>1</v>
      </c>
      <c r="B26" s="1007" t="s">
        <v>1043</v>
      </c>
      <c r="C26" s="1007" t="s">
        <v>983</v>
      </c>
      <c r="D26" s="1012" t="s">
        <v>982</v>
      </c>
      <c r="E26" s="1003">
        <v>1000000</v>
      </c>
      <c r="F26" s="1034"/>
    </row>
    <row r="27" spans="1:7" x14ac:dyDescent="0.2">
      <c r="A27" s="1031">
        <v>2</v>
      </c>
      <c r="B27" s="999" t="s">
        <v>1022</v>
      </c>
      <c r="C27" s="999" t="s">
        <v>988</v>
      </c>
      <c r="D27" s="1013" t="s">
        <v>982</v>
      </c>
      <c r="E27" s="1004">
        <v>50000</v>
      </c>
      <c r="F27" s="1035" t="s">
        <v>1122</v>
      </c>
    </row>
    <row r="28" spans="1:7" x14ac:dyDescent="0.2">
      <c r="A28" s="1031">
        <v>3</v>
      </c>
      <c r="B28" s="999" t="s">
        <v>1022</v>
      </c>
      <c r="C28" s="999" t="s">
        <v>1023</v>
      </c>
      <c r="D28" s="1013" t="s">
        <v>982</v>
      </c>
      <c r="E28" s="1004">
        <v>100000</v>
      </c>
      <c r="F28" s="1035" t="s">
        <v>1122</v>
      </c>
    </row>
    <row r="29" spans="1:7" x14ac:dyDescent="0.2">
      <c r="A29" s="1030">
        <v>4</v>
      </c>
      <c r="B29" s="997" t="s">
        <v>1022</v>
      </c>
      <c r="C29" s="997" t="s">
        <v>1024</v>
      </c>
      <c r="D29" s="1013" t="s">
        <v>982</v>
      </c>
      <c r="E29" s="1004">
        <v>80000</v>
      </c>
      <c r="F29" s="1035" t="s">
        <v>1122</v>
      </c>
    </row>
    <row r="30" spans="1:7" x14ac:dyDescent="0.2">
      <c r="A30" s="1031">
        <v>5</v>
      </c>
      <c r="B30" s="999" t="s">
        <v>1022</v>
      </c>
      <c r="C30" s="999" t="s">
        <v>1025</v>
      </c>
      <c r="D30" s="1013" t="s">
        <v>982</v>
      </c>
      <c r="E30" s="1004">
        <v>30000</v>
      </c>
      <c r="F30" s="1035" t="s">
        <v>1122</v>
      </c>
    </row>
    <row r="31" spans="1:7" x14ac:dyDescent="0.2">
      <c r="A31" s="1031">
        <v>6</v>
      </c>
      <c r="B31" s="999" t="s">
        <v>1022</v>
      </c>
      <c r="C31" s="999" t="s">
        <v>1026</v>
      </c>
      <c r="D31" s="1013" t="s">
        <v>982</v>
      </c>
      <c r="E31" s="1004">
        <v>75000</v>
      </c>
      <c r="F31" s="1035" t="s">
        <v>1122</v>
      </c>
    </row>
    <row r="32" spans="1:7" x14ac:dyDescent="0.2">
      <c r="A32" s="1030">
        <v>7</v>
      </c>
      <c r="B32" s="997" t="s">
        <v>1022</v>
      </c>
      <c r="C32" s="997" t="s">
        <v>1027</v>
      </c>
      <c r="D32" s="1013" t="s">
        <v>982</v>
      </c>
      <c r="E32" s="1004">
        <v>150000</v>
      </c>
      <c r="F32" s="1035" t="s">
        <v>1122</v>
      </c>
    </row>
    <row r="33" spans="1:6" x14ac:dyDescent="0.2">
      <c r="A33" s="1031">
        <v>8</v>
      </c>
      <c r="B33" s="999" t="s">
        <v>1022</v>
      </c>
      <c r="C33" s="999" t="s">
        <v>1028</v>
      </c>
      <c r="D33" s="1013" t="s">
        <v>982</v>
      </c>
      <c r="E33" s="1004">
        <v>200000</v>
      </c>
      <c r="F33" s="1035"/>
    </row>
    <row r="34" spans="1:6" s="1029" customFormat="1" x14ac:dyDescent="0.2">
      <c r="A34" s="1031">
        <v>9</v>
      </c>
      <c r="B34" s="1026" t="s">
        <v>1022</v>
      </c>
      <c r="C34" s="1026" t="s">
        <v>1031</v>
      </c>
      <c r="D34" s="1027" t="s">
        <v>982</v>
      </c>
      <c r="E34" s="1028">
        <v>80000</v>
      </c>
      <c r="F34" s="1037" t="s">
        <v>1097</v>
      </c>
    </row>
    <row r="35" spans="1:6" x14ac:dyDescent="0.2">
      <c r="A35" s="1030">
        <v>10</v>
      </c>
      <c r="B35" s="999" t="s">
        <v>1041</v>
      </c>
      <c r="C35" s="999" t="s">
        <v>985</v>
      </c>
      <c r="D35" s="1013" t="s">
        <v>982</v>
      </c>
      <c r="E35" s="1004">
        <v>150000</v>
      </c>
      <c r="F35" s="1035"/>
    </row>
    <row r="36" spans="1:6" x14ac:dyDescent="0.2">
      <c r="A36" s="1031">
        <v>11</v>
      </c>
      <c r="B36" s="999" t="s">
        <v>1034</v>
      </c>
      <c r="C36" s="999" t="s">
        <v>983</v>
      </c>
      <c r="D36" s="1013" t="s">
        <v>982</v>
      </c>
      <c r="E36" s="1004">
        <v>1000000</v>
      </c>
      <c r="F36" s="1035"/>
    </row>
    <row r="37" spans="1:6" x14ac:dyDescent="0.2">
      <c r="A37" s="1031">
        <v>12</v>
      </c>
      <c r="B37" s="997" t="s">
        <v>1034</v>
      </c>
      <c r="C37" s="997" t="s">
        <v>986</v>
      </c>
      <c r="D37" s="1013" t="s">
        <v>982</v>
      </c>
      <c r="E37" s="1004">
        <v>1000000</v>
      </c>
      <c r="F37" s="1035"/>
    </row>
    <row r="38" spans="1:6" x14ac:dyDescent="0.2">
      <c r="A38" s="1030">
        <v>13</v>
      </c>
      <c r="B38" s="999" t="s">
        <v>1034</v>
      </c>
      <c r="C38" s="999" t="s">
        <v>1035</v>
      </c>
      <c r="D38" s="1013" t="s">
        <v>982</v>
      </c>
      <c r="E38" s="1004">
        <v>2000000</v>
      </c>
      <c r="F38" s="1035"/>
    </row>
    <row r="39" spans="1:6" x14ac:dyDescent="0.2">
      <c r="A39" s="1031">
        <v>14</v>
      </c>
      <c r="B39" s="997" t="s">
        <v>1034</v>
      </c>
      <c r="C39" s="997" t="s">
        <v>1036</v>
      </c>
      <c r="D39" s="1013" t="s">
        <v>982</v>
      </c>
      <c r="E39" s="1004">
        <v>100000</v>
      </c>
      <c r="F39" s="1035"/>
    </row>
    <row r="40" spans="1:6" x14ac:dyDescent="0.2">
      <c r="A40" s="1031">
        <v>15</v>
      </c>
      <c r="B40" s="999" t="s">
        <v>1034</v>
      </c>
      <c r="C40" s="999" t="s">
        <v>987</v>
      </c>
      <c r="D40" s="1013" t="s">
        <v>982</v>
      </c>
      <c r="E40" s="1004">
        <v>250000</v>
      </c>
      <c r="F40" s="1035"/>
    </row>
    <row r="41" spans="1:6" s="1029" customFormat="1" x14ac:dyDescent="0.2">
      <c r="A41" s="1030">
        <v>16</v>
      </c>
      <c r="B41" s="1025" t="s">
        <v>1034</v>
      </c>
      <c r="C41" s="1025" t="s">
        <v>1037</v>
      </c>
      <c r="D41" s="1027" t="s">
        <v>982</v>
      </c>
      <c r="E41" s="1028">
        <f>320000-250000</f>
        <v>70000</v>
      </c>
      <c r="F41" s="1037" t="s">
        <v>1081</v>
      </c>
    </row>
    <row r="42" spans="1:6" x14ac:dyDescent="0.2">
      <c r="A42" s="1031">
        <v>17</v>
      </c>
      <c r="B42" s="997" t="s">
        <v>1034</v>
      </c>
      <c r="C42" s="997" t="s">
        <v>1038</v>
      </c>
      <c r="D42" s="1013" t="s">
        <v>982</v>
      </c>
      <c r="E42" s="1004">
        <v>230000</v>
      </c>
      <c r="F42" s="1035"/>
    </row>
    <row r="43" spans="1:6" s="1029" customFormat="1" x14ac:dyDescent="0.2">
      <c r="A43" s="1031">
        <v>18</v>
      </c>
      <c r="B43" s="1026" t="s">
        <v>1034</v>
      </c>
      <c r="C43" s="1026" t="s">
        <v>1039</v>
      </c>
      <c r="D43" s="1027" t="s">
        <v>982</v>
      </c>
      <c r="E43" s="1028">
        <f>110000</f>
        <v>110000</v>
      </c>
      <c r="F43" s="1037" t="s">
        <v>1081</v>
      </c>
    </row>
    <row r="44" spans="1:6" x14ac:dyDescent="0.2">
      <c r="A44" s="1030">
        <v>19</v>
      </c>
      <c r="B44" s="999" t="s">
        <v>1034</v>
      </c>
      <c r="C44" s="999" t="s">
        <v>1040</v>
      </c>
      <c r="D44" s="1013" t="s">
        <v>982</v>
      </c>
      <c r="E44" s="1004">
        <v>100000</v>
      </c>
      <c r="F44" s="1035"/>
    </row>
    <row r="45" spans="1:6" x14ac:dyDescent="0.2">
      <c r="A45" s="1031">
        <v>20</v>
      </c>
      <c r="B45" s="999" t="s">
        <v>1057</v>
      </c>
      <c r="C45" s="999" t="s">
        <v>1038</v>
      </c>
      <c r="D45" s="1013" t="s">
        <v>982</v>
      </c>
      <c r="E45" s="1004">
        <v>102000</v>
      </c>
      <c r="F45" s="1035"/>
    </row>
    <row r="46" spans="1:6" x14ac:dyDescent="0.2">
      <c r="A46" s="1031">
        <v>21</v>
      </c>
      <c r="B46" s="999" t="s">
        <v>1067</v>
      </c>
      <c r="C46" s="999" t="s">
        <v>1068</v>
      </c>
      <c r="D46" s="1013" t="s">
        <v>982</v>
      </c>
      <c r="E46" s="1004">
        <v>200000</v>
      </c>
      <c r="F46" s="1035" t="s">
        <v>1083</v>
      </c>
    </row>
    <row r="47" spans="1:6" x14ac:dyDescent="0.2">
      <c r="A47" s="1031">
        <v>22</v>
      </c>
      <c r="B47" s="997" t="s">
        <v>1042</v>
      </c>
      <c r="C47" s="997" t="s">
        <v>985</v>
      </c>
      <c r="D47" s="1013" t="s">
        <v>982</v>
      </c>
      <c r="E47" s="1004">
        <v>150000</v>
      </c>
      <c r="F47" s="1035"/>
    </row>
    <row r="48" spans="1:6" x14ac:dyDescent="0.2">
      <c r="A48" s="1031">
        <v>23</v>
      </c>
      <c r="B48" s="997" t="s">
        <v>1103</v>
      </c>
      <c r="C48" s="997" t="s">
        <v>1101</v>
      </c>
      <c r="D48" s="1013" t="s">
        <v>982</v>
      </c>
      <c r="E48" s="1004">
        <v>2020000</v>
      </c>
      <c r="F48" s="1054"/>
    </row>
    <row r="49" spans="1:7" ht="13.5" thickBot="1" x14ac:dyDescent="0.25">
      <c r="A49" s="1057">
        <v>24</v>
      </c>
      <c r="B49" s="1000" t="s">
        <v>1103</v>
      </c>
      <c r="C49" s="1000" t="s">
        <v>1102</v>
      </c>
      <c r="D49" s="1014" t="s">
        <v>982</v>
      </c>
      <c r="E49" s="1008">
        <v>7204000</v>
      </c>
      <c r="F49" s="1056"/>
    </row>
    <row r="50" spans="1:7" ht="13.5" thickBot="1" x14ac:dyDescent="0.25">
      <c r="A50" s="1032"/>
      <c r="B50" s="1018" t="s">
        <v>1079</v>
      </c>
      <c r="C50" s="1018"/>
      <c r="D50" s="1020"/>
      <c r="E50" s="1021">
        <f>SUM(E26:E49)</f>
        <v>16451000</v>
      </c>
      <c r="F50" s="1038"/>
      <c r="G50" s="1053"/>
    </row>
    <row r="51" spans="1:7" x14ac:dyDescent="0.2">
      <c r="A51" s="1030">
        <v>1</v>
      </c>
      <c r="B51" s="1001" t="s">
        <v>1043</v>
      </c>
      <c r="C51" s="1001" t="s">
        <v>1044</v>
      </c>
      <c r="D51" s="1012" t="s">
        <v>1053</v>
      </c>
      <c r="E51" s="1003">
        <v>250000</v>
      </c>
      <c r="F51" s="1034"/>
    </row>
    <row r="52" spans="1:7" x14ac:dyDescent="0.2">
      <c r="A52" s="1031">
        <v>2</v>
      </c>
      <c r="B52" s="999" t="s">
        <v>1043</v>
      </c>
      <c r="C52" s="999" t="s">
        <v>1045</v>
      </c>
      <c r="D52" s="1013" t="s">
        <v>1053</v>
      </c>
      <c r="E52" s="1004">
        <v>60000</v>
      </c>
      <c r="F52" s="1035"/>
    </row>
    <row r="53" spans="1:7" x14ac:dyDescent="0.2">
      <c r="A53" s="1031">
        <v>3</v>
      </c>
      <c r="B53" s="999" t="s">
        <v>1043</v>
      </c>
      <c r="C53" s="999" t="s">
        <v>1046</v>
      </c>
      <c r="D53" s="1013" t="s">
        <v>1053</v>
      </c>
      <c r="E53" s="1004">
        <v>50000</v>
      </c>
      <c r="F53" s="1035"/>
    </row>
    <row r="54" spans="1:7" s="1029" customFormat="1" x14ac:dyDescent="0.2">
      <c r="A54" s="1030">
        <v>4</v>
      </c>
      <c r="B54" s="1025" t="s">
        <v>1043</v>
      </c>
      <c r="C54" s="1025" t="s">
        <v>1047</v>
      </c>
      <c r="D54" s="1027" t="s">
        <v>1053</v>
      </c>
      <c r="E54" s="1028">
        <v>250000</v>
      </c>
      <c r="F54" s="1037" t="s">
        <v>1082</v>
      </c>
    </row>
    <row r="55" spans="1:7" x14ac:dyDescent="0.2">
      <c r="A55" s="1031">
        <v>5</v>
      </c>
      <c r="B55" s="997" t="s">
        <v>1048</v>
      </c>
      <c r="C55" s="997" t="s">
        <v>1049</v>
      </c>
      <c r="D55" s="1013" t="s">
        <v>1053</v>
      </c>
      <c r="E55" s="1004">
        <v>15000</v>
      </c>
      <c r="F55" s="1035" t="s">
        <v>1122</v>
      </c>
    </row>
    <row r="56" spans="1:7" x14ac:dyDescent="0.2">
      <c r="A56" s="1031">
        <v>6</v>
      </c>
      <c r="B56" s="999" t="s">
        <v>1048</v>
      </c>
      <c r="C56" s="999" t="s">
        <v>1050</v>
      </c>
      <c r="D56" s="1013" t="s">
        <v>1053</v>
      </c>
      <c r="E56" s="1004">
        <v>40000</v>
      </c>
      <c r="F56" s="1035" t="s">
        <v>1122</v>
      </c>
    </row>
    <row r="57" spans="1:7" x14ac:dyDescent="0.2">
      <c r="A57" s="1030">
        <v>7</v>
      </c>
      <c r="B57" s="997" t="s">
        <v>1018</v>
      </c>
      <c r="C57" s="997" t="s">
        <v>984</v>
      </c>
      <c r="D57" s="1013" t="s">
        <v>1053</v>
      </c>
      <c r="E57" s="1004">
        <v>30000</v>
      </c>
      <c r="F57" s="1035"/>
    </row>
    <row r="58" spans="1:7" x14ac:dyDescent="0.2">
      <c r="A58" s="1031">
        <v>8</v>
      </c>
      <c r="B58" s="997" t="s">
        <v>1019</v>
      </c>
      <c r="C58" s="997" t="s">
        <v>984</v>
      </c>
      <c r="D58" s="1013" t="s">
        <v>1053</v>
      </c>
      <c r="E58" s="1004">
        <v>50000</v>
      </c>
      <c r="F58" s="1035"/>
    </row>
    <row r="59" spans="1:7" x14ac:dyDescent="0.2">
      <c r="A59" s="1031">
        <v>9</v>
      </c>
      <c r="B59" s="997" t="s">
        <v>1019</v>
      </c>
      <c r="C59" s="997" t="s">
        <v>1020</v>
      </c>
      <c r="D59" s="1013" t="s">
        <v>1053</v>
      </c>
      <c r="E59" s="1004">
        <v>20000</v>
      </c>
      <c r="F59" s="1035"/>
    </row>
    <row r="60" spans="1:7" x14ac:dyDescent="0.2">
      <c r="A60" s="1030">
        <v>10</v>
      </c>
      <c r="B60" s="998" t="s">
        <v>1019</v>
      </c>
      <c r="C60" s="998" t="s">
        <v>1021</v>
      </c>
      <c r="D60" s="1013" t="s">
        <v>1053</v>
      </c>
      <c r="E60" s="1004">
        <v>30000</v>
      </c>
      <c r="F60" s="1035"/>
    </row>
    <row r="61" spans="1:7" x14ac:dyDescent="0.2">
      <c r="A61" s="1031">
        <v>11</v>
      </c>
      <c r="B61" s="999" t="s">
        <v>1084</v>
      </c>
      <c r="C61" s="999" t="s">
        <v>1053</v>
      </c>
      <c r="D61" s="1013" t="s">
        <v>1053</v>
      </c>
      <c r="E61" s="1004">
        <v>50000</v>
      </c>
      <c r="F61" s="1035"/>
    </row>
    <row r="62" spans="1:7" x14ac:dyDescent="0.2">
      <c r="A62" s="1031">
        <v>12</v>
      </c>
      <c r="B62" s="997" t="s">
        <v>1057</v>
      </c>
      <c r="C62" s="997" t="s">
        <v>1058</v>
      </c>
      <c r="D62" s="1013" t="s">
        <v>1053</v>
      </c>
      <c r="E62" s="1004">
        <v>100000</v>
      </c>
      <c r="F62" s="1035"/>
    </row>
    <row r="63" spans="1:7" x14ac:dyDescent="0.2">
      <c r="A63" s="1030">
        <v>13</v>
      </c>
      <c r="B63" s="999" t="s">
        <v>1057</v>
      </c>
      <c r="C63" s="999" t="s">
        <v>1059</v>
      </c>
      <c r="D63" s="1013" t="s">
        <v>1053</v>
      </c>
      <c r="E63" s="1004">
        <v>60000</v>
      </c>
      <c r="F63" s="1035"/>
    </row>
    <row r="64" spans="1:7" x14ac:dyDescent="0.2">
      <c r="A64" s="1031">
        <v>14</v>
      </c>
      <c r="B64" s="997" t="s">
        <v>1051</v>
      </c>
      <c r="C64" s="997" t="s">
        <v>1052</v>
      </c>
      <c r="D64" s="1013" t="s">
        <v>1053</v>
      </c>
      <c r="E64" s="1004">
        <v>100000</v>
      </c>
      <c r="F64" s="1035"/>
    </row>
    <row r="65" spans="1:10" x14ac:dyDescent="0.2">
      <c r="A65" s="1031">
        <v>15</v>
      </c>
      <c r="B65" s="997" t="s">
        <v>1051</v>
      </c>
      <c r="C65" s="997" t="s">
        <v>1055</v>
      </c>
      <c r="D65" s="1013" t="s">
        <v>1053</v>
      </c>
      <c r="E65" s="1004">
        <v>40000</v>
      </c>
      <c r="F65" s="1035"/>
    </row>
    <row r="66" spans="1:10" ht="13.5" thickBot="1" x14ac:dyDescent="0.25">
      <c r="A66" s="1030">
        <v>16</v>
      </c>
      <c r="B66" s="1015" t="s">
        <v>1103</v>
      </c>
      <c r="C66" s="1015" t="s">
        <v>1070</v>
      </c>
      <c r="D66" s="1016" t="s">
        <v>1053</v>
      </c>
      <c r="E66" s="1017">
        <v>1500000</v>
      </c>
      <c r="F66" s="1039" t="s">
        <v>1122</v>
      </c>
    </row>
    <row r="67" spans="1:10" s="1023" customFormat="1" ht="13.5" thickBot="1" x14ac:dyDescent="0.25">
      <c r="A67" s="1032"/>
      <c r="B67" s="1020" t="s">
        <v>1080</v>
      </c>
      <c r="C67" s="1020"/>
      <c r="D67" s="1020"/>
      <c r="E67" s="1022">
        <f>SUM(E51:E66)</f>
        <v>2645000</v>
      </c>
      <c r="F67" s="1040"/>
      <c r="J67" s="1024"/>
    </row>
  </sheetData>
  <sortState ref="A7:F61">
    <sortCondition ref="D7:D61"/>
    <sortCondition ref="B7:B61"/>
  </sortState>
  <mergeCells count="2">
    <mergeCell ref="B1:F1"/>
    <mergeCell ref="A3:F3"/>
  </mergeCells>
  <phoneticPr fontId="30" type="noConversion"/>
  <pageMargins left="0.7" right="0.7" top="0.75" bottom="0.75" header="0.3" footer="0.3"/>
  <pageSetup paperSize="9" scale="62" orientation="portrait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100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383" t="s">
        <v>889</v>
      </c>
      <c r="C1" s="1383"/>
      <c r="D1" s="1383"/>
    </row>
    <row r="2" spans="1:4" s="88" customFormat="1" ht="16.5" thickBot="1" x14ac:dyDescent="0.3">
      <c r="A2" s="87"/>
      <c r="B2" s="413"/>
      <c r="D2" s="47" t="s">
        <v>11</v>
      </c>
    </row>
    <row r="3" spans="1:4" s="90" customFormat="1" ht="48" customHeight="1" thickBot="1" x14ac:dyDescent="0.25">
      <c r="A3" s="89" t="s">
        <v>901</v>
      </c>
      <c r="B3" s="209" t="s">
        <v>902</v>
      </c>
      <c r="C3" s="209" t="s">
        <v>19</v>
      </c>
      <c r="D3" s="210" t="s">
        <v>20</v>
      </c>
    </row>
    <row r="4" spans="1:4" s="90" customFormat="1" ht="14.1" customHeight="1" thickBot="1" x14ac:dyDescent="0.25">
      <c r="A4" s="40">
        <v>1</v>
      </c>
      <c r="B4" s="212">
        <v>2</v>
      </c>
      <c r="C4" s="212">
        <v>3</v>
      </c>
      <c r="D4" s="213">
        <v>4</v>
      </c>
    </row>
    <row r="5" spans="1:4" ht="18" customHeight="1" x14ac:dyDescent="0.2">
      <c r="A5" s="144" t="s">
        <v>903</v>
      </c>
      <c r="B5" s="214" t="s">
        <v>119</v>
      </c>
      <c r="C5" s="142">
        <v>0</v>
      </c>
      <c r="D5" s="91"/>
    </row>
    <row r="6" spans="1:4" ht="18" customHeight="1" x14ac:dyDescent="0.2">
      <c r="A6" s="92" t="s">
        <v>904</v>
      </c>
      <c r="B6" s="215" t="s">
        <v>120</v>
      </c>
      <c r="C6" s="143">
        <v>0</v>
      </c>
      <c r="D6" s="94"/>
    </row>
    <row r="7" spans="1:4" ht="18" customHeight="1" x14ac:dyDescent="0.2">
      <c r="A7" s="92" t="s">
        <v>905</v>
      </c>
      <c r="B7" s="215" t="s">
        <v>79</v>
      </c>
      <c r="C7" s="143">
        <v>0</v>
      </c>
      <c r="D7" s="94"/>
    </row>
    <row r="8" spans="1:4" ht="18" customHeight="1" x14ac:dyDescent="0.2">
      <c r="A8" s="92" t="s">
        <v>906</v>
      </c>
      <c r="B8" s="215" t="s">
        <v>80</v>
      </c>
      <c r="C8" s="143">
        <v>0</v>
      </c>
      <c r="D8" s="94"/>
    </row>
    <row r="9" spans="1:4" ht="18" customHeight="1" x14ac:dyDescent="0.2">
      <c r="A9" s="92" t="s">
        <v>907</v>
      </c>
      <c r="B9" s="215" t="s">
        <v>111</v>
      </c>
      <c r="C9" s="143"/>
      <c r="D9" s="94"/>
    </row>
    <row r="10" spans="1:4" ht="18" customHeight="1" x14ac:dyDescent="0.2">
      <c r="A10" s="92" t="s">
        <v>908</v>
      </c>
      <c r="B10" s="215" t="s">
        <v>112</v>
      </c>
      <c r="C10" s="143">
        <f>3310+16057+292+154+109</f>
        <v>19922</v>
      </c>
      <c r="D10" s="94">
        <v>19922</v>
      </c>
    </row>
    <row r="11" spans="1:4" ht="18" customHeight="1" x14ac:dyDescent="0.2">
      <c r="A11" s="92" t="s">
        <v>909</v>
      </c>
      <c r="B11" s="216" t="s">
        <v>113</v>
      </c>
      <c r="C11" s="143"/>
      <c r="D11" s="94"/>
    </row>
    <row r="12" spans="1:4" ht="18" customHeight="1" x14ac:dyDescent="0.2">
      <c r="A12" s="92" t="s">
        <v>910</v>
      </c>
      <c r="B12" s="216" t="s">
        <v>114</v>
      </c>
      <c r="C12" s="143"/>
      <c r="D12" s="94"/>
    </row>
    <row r="13" spans="1:4" ht="18" customHeight="1" x14ac:dyDescent="0.2">
      <c r="A13" s="92" t="s">
        <v>911</v>
      </c>
      <c r="B13" s="216" t="s">
        <v>115</v>
      </c>
      <c r="C13" s="143"/>
      <c r="D13" s="94"/>
    </row>
    <row r="14" spans="1:4" ht="18" customHeight="1" x14ac:dyDescent="0.2">
      <c r="A14" s="92" t="s">
        <v>912</v>
      </c>
      <c r="B14" s="216" t="s">
        <v>116</v>
      </c>
      <c r="C14" s="143"/>
      <c r="D14" s="94"/>
    </row>
    <row r="15" spans="1:4" ht="18" customHeight="1" x14ac:dyDescent="0.2">
      <c r="A15" s="92" t="s">
        <v>913</v>
      </c>
      <c r="B15" s="216" t="s">
        <v>117</v>
      </c>
      <c r="C15" s="143"/>
      <c r="D15" s="94"/>
    </row>
    <row r="16" spans="1:4" ht="22.5" customHeight="1" x14ac:dyDescent="0.2">
      <c r="A16" s="92" t="s">
        <v>914</v>
      </c>
      <c r="B16" s="216" t="s">
        <v>118</v>
      </c>
      <c r="C16" s="143"/>
      <c r="D16" s="94"/>
    </row>
    <row r="17" spans="1:8" ht="18" customHeight="1" x14ac:dyDescent="0.2">
      <c r="A17" s="92" t="s">
        <v>915</v>
      </c>
      <c r="B17" s="215" t="s">
        <v>81</v>
      </c>
      <c r="C17" s="143"/>
      <c r="D17" s="94"/>
    </row>
    <row r="18" spans="1:8" ht="22.5" x14ac:dyDescent="0.2">
      <c r="A18" s="92" t="s">
        <v>916</v>
      </c>
      <c r="B18" s="215" t="s">
        <v>676</v>
      </c>
      <c r="C18" s="143">
        <f>SUM(C19:C29)</f>
        <v>1665.3000000000002</v>
      </c>
      <c r="D18" s="94">
        <f>SUM(D19:D29)</f>
        <v>1665.3000000000002</v>
      </c>
      <c r="F18" s="4" t="s">
        <v>677</v>
      </c>
      <c r="G18" s="4">
        <v>3640</v>
      </c>
      <c r="H18" s="4" t="s">
        <v>678</v>
      </c>
    </row>
    <row r="19" spans="1:8" ht="18" hidden="1" customHeight="1" x14ac:dyDescent="0.2">
      <c r="A19" s="92"/>
      <c r="B19" s="216" t="s">
        <v>665</v>
      </c>
      <c r="C19" s="143">
        <f>H19</f>
        <v>660.66</v>
      </c>
      <c r="D19" s="94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2"/>
      <c r="B20" s="216" t="s">
        <v>666</v>
      </c>
      <c r="C20" s="143">
        <f t="shared" ref="C20:C29" si="0">H20</f>
        <v>305.76</v>
      </c>
      <c r="D20" s="94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2"/>
      <c r="B21" s="216" t="s">
        <v>667</v>
      </c>
      <c r="C21" s="143">
        <f t="shared" si="0"/>
        <v>145.6</v>
      </c>
      <c r="D21" s="94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2"/>
      <c r="B22" s="216" t="s">
        <v>668</v>
      </c>
      <c r="C22" s="143">
        <f t="shared" si="0"/>
        <v>72.8</v>
      </c>
      <c r="D22" s="94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2"/>
      <c r="B23" s="216" t="s">
        <v>669</v>
      </c>
      <c r="C23" s="143">
        <f t="shared" si="0"/>
        <v>182</v>
      </c>
      <c r="D23" s="94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2"/>
      <c r="B24" s="216" t="s">
        <v>670</v>
      </c>
      <c r="C24" s="143">
        <f t="shared" si="0"/>
        <v>141.96</v>
      </c>
      <c r="D24" s="94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2"/>
      <c r="B25" s="216" t="s">
        <v>671</v>
      </c>
      <c r="C25" s="143">
        <f t="shared" si="0"/>
        <v>61.88</v>
      </c>
      <c r="D25" s="94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2"/>
      <c r="B26" s="216" t="s">
        <v>672</v>
      </c>
      <c r="C26" s="143">
        <f t="shared" si="0"/>
        <v>36.4</v>
      </c>
      <c r="D26" s="94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2"/>
      <c r="B27" s="216" t="s">
        <v>673</v>
      </c>
      <c r="C27" s="143">
        <f t="shared" si="0"/>
        <v>36.4</v>
      </c>
      <c r="D27" s="94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2"/>
      <c r="B28" s="216" t="s">
        <v>674</v>
      </c>
      <c r="C28" s="143">
        <f t="shared" si="0"/>
        <v>7.28</v>
      </c>
      <c r="D28" s="94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2"/>
      <c r="B29" s="216" t="s">
        <v>675</v>
      </c>
      <c r="C29" s="143">
        <f t="shared" si="0"/>
        <v>14.56</v>
      </c>
      <c r="D29" s="94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2"/>
      <c r="B30" s="215"/>
      <c r="C30" s="143"/>
      <c r="D30" s="94"/>
    </row>
    <row r="31" spans="1:8" ht="18" customHeight="1" x14ac:dyDescent="0.2">
      <c r="A31" s="92" t="s">
        <v>917</v>
      </c>
      <c r="B31" s="215" t="s">
        <v>890</v>
      </c>
      <c r="C31" s="143"/>
      <c r="D31" s="94"/>
    </row>
    <row r="32" spans="1:8" ht="18" customHeight="1" x14ac:dyDescent="0.2">
      <c r="A32" s="92" t="s">
        <v>918</v>
      </c>
      <c r="B32" s="215" t="s">
        <v>82</v>
      </c>
      <c r="C32" s="143"/>
      <c r="D32" s="94"/>
    </row>
    <row r="33" spans="1:4" ht="18" customHeight="1" x14ac:dyDescent="0.2">
      <c r="A33" s="92" t="s">
        <v>919</v>
      </c>
      <c r="B33" s="215" t="s">
        <v>83</v>
      </c>
      <c r="C33" s="143"/>
      <c r="D33" s="94"/>
    </row>
    <row r="34" spans="1:4" ht="18" customHeight="1" x14ac:dyDescent="0.2">
      <c r="A34" s="92" t="s">
        <v>927</v>
      </c>
      <c r="B34" s="95"/>
      <c r="C34" s="93"/>
      <c r="D34" s="94"/>
    </row>
    <row r="35" spans="1:4" ht="18" customHeight="1" thickBot="1" x14ac:dyDescent="0.25">
      <c r="A35" s="145" t="s">
        <v>928</v>
      </c>
      <c r="B35" s="96"/>
      <c r="C35" s="97"/>
      <c r="D35" s="98"/>
    </row>
    <row r="36" spans="1:4" ht="18" customHeight="1" thickBot="1" x14ac:dyDescent="0.25">
      <c r="A36" s="41" t="s">
        <v>929</v>
      </c>
      <c r="B36" s="220" t="s">
        <v>938</v>
      </c>
      <c r="C36" s="221">
        <f>SUM(C5:C35)-C18</f>
        <v>21587.3</v>
      </c>
      <c r="D36" s="221">
        <f>SUM(D5:D35)-D18</f>
        <v>21587.3</v>
      </c>
    </row>
    <row r="37" spans="1:4" ht="8.25" customHeight="1" x14ac:dyDescent="0.2">
      <c r="A37" s="99"/>
      <c r="B37" s="1382"/>
      <c r="C37" s="1382"/>
      <c r="D37" s="1382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7"/>
  <sheetViews>
    <sheetView zoomScaleNormal="100" workbookViewId="0">
      <selection activeCell="L9" sqref="L9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97" hidden="1" customWidth="1"/>
    <col min="5" max="5" width="14.33203125" hidden="1" customWidth="1"/>
    <col min="6" max="7" width="14.33203125" bestFit="1" customWidth="1"/>
  </cols>
  <sheetData>
    <row r="1" spans="1:7" ht="13.5" x14ac:dyDescent="0.25">
      <c r="A1" s="1384" t="s">
        <v>994</v>
      </c>
      <c r="B1" s="1384"/>
      <c r="C1" s="1384"/>
      <c r="D1" s="1384"/>
      <c r="E1" s="1384"/>
      <c r="F1" s="1384"/>
      <c r="G1" s="1384"/>
    </row>
    <row r="2" spans="1:7" ht="35.25" customHeight="1" x14ac:dyDescent="0.25">
      <c r="A2" s="1385" t="s">
        <v>972</v>
      </c>
      <c r="B2" s="1385"/>
      <c r="C2" s="1385"/>
      <c r="D2" s="1385"/>
      <c r="E2" s="1385"/>
      <c r="F2" s="1385"/>
      <c r="G2" s="1385"/>
    </row>
    <row r="3" spans="1:7" ht="17.25" customHeight="1" x14ac:dyDescent="0.25">
      <c r="A3" s="414"/>
      <c r="B3" s="414"/>
      <c r="C3" s="414"/>
    </row>
    <row r="4" spans="1:7" ht="13.5" thickBot="1" x14ac:dyDescent="0.25">
      <c r="A4" s="222"/>
      <c r="B4" s="222"/>
      <c r="C4" s="862"/>
      <c r="D4" s="1386"/>
      <c r="E4" s="1386"/>
      <c r="F4" s="1150"/>
      <c r="G4" s="1150" t="s">
        <v>942</v>
      </c>
    </row>
    <row r="5" spans="1:7" ht="42.75" customHeight="1" thickBot="1" x14ac:dyDescent="0.25">
      <c r="A5" s="415" t="s">
        <v>17</v>
      </c>
      <c r="B5" s="416" t="s">
        <v>84</v>
      </c>
      <c r="C5" s="416" t="s">
        <v>85</v>
      </c>
      <c r="D5" s="818" t="s">
        <v>1015</v>
      </c>
      <c r="E5" s="622" t="s">
        <v>1001</v>
      </c>
      <c r="F5" s="622" t="s">
        <v>1001</v>
      </c>
      <c r="G5" s="622" t="s">
        <v>1196</v>
      </c>
    </row>
    <row r="6" spans="1:7" ht="15.95" customHeight="1" thickBot="1" x14ac:dyDescent="0.25">
      <c r="A6" s="1045" t="s">
        <v>903</v>
      </c>
      <c r="B6" s="1046" t="s">
        <v>576</v>
      </c>
      <c r="C6" s="1046" t="s">
        <v>577</v>
      </c>
      <c r="D6" s="1047">
        <v>200</v>
      </c>
      <c r="E6" s="1048">
        <v>302</v>
      </c>
      <c r="F6" s="1048">
        <v>302</v>
      </c>
      <c r="G6" s="1048">
        <v>302</v>
      </c>
    </row>
    <row r="7" spans="1:7" ht="15.95" customHeight="1" thickBot="1" x14ac:dyDescent="0.25">
      <c r="A7" s="1390" t="s">
        <v>1090</v>
      </c>
      <c r="B7" s="1391"/>
      <c r="C7" s="1392"/>
      <c r="D7" s="1050">
        <v>200</v>
      </c>
      <c r="E7" s="1051">
        <f>E6</f>
        <v>302</v>
      </c>
      <c r="F7" s="1051">
        <f>F6</f>
        <v>302</v>
      </c>
      <c r="G7" s="1051">
        <f>G6</f>
        <v>302</v>
      </c>
    </row>
    <row r="8" spans="1:7" ht="15.95" customHeight="1" x14ac:dyDescent="0.2">
      <c r="A8" s="1042" t="s">
        <v>904</v>
      </c>
      <c r="B8" s="1043" t="s">
        <v>585</v>
      </c>
      <c r="C8" s="1043" t="s">
        <v>578</v>
      </c>
      <c r="D8" s="1049">
        <v>717</v>
      </c>
      <c r="E8" s="1044">
        <v>732</v>
      </c>
      <c r="F8" s="1044">
        <v>732</v>
      </c>
      <c r="G8" s="1044">
        <v>732</v>
      </c>
    </row>
    <row r="9" spans="1:7" ht="15.95" customHeight="1" x14ac:dyDescent="0.2">
      <c r="A9" s="223" t="s">
        <v>905</v>
      </c>
      <c r="B9" s="37" t="s">
        <v>579</v>
      </c>
      <c r="C9" s="37" t="s">
        <v>580</v>
      </c>
      <c r="D9" s="848">
        <v>80</v>
      </c>
      <c r="E9" s="623">
        <v>80</v>
      </c>
      <c r="F9" s="623">
        <v>80</v>
      </c>
      <c r="G9" s="623">
        <v>80</v>
      </c>
    </row>
    <row r="10" spans="1:7" ht="15.95" customHeight="1" x14ac:dyDescent="0.2">
      <c r="A10" s="223" t="s">
        <v>906</v>
      </c>
      <c r="B10" s="37" t="s">
        <v>579</v>
      </c>
      <c r="C10" s="37" t="s">
        <v>581</v>
      </c>
      <c r="D10" s="848">
        <v>0</v>
      </c>
      <c r="E10" s="623">
        <v>480</v>
      </c>
      <c r="F10" s="623">
        <v>480</v>
      </c>
      <c r="G10" s="623">
        <v>480</v>
      </c>
    </row>
    <row r="11" spans="1:7" ht="15.95" customHeight="1" x14ac:dyDescent="0.2">
      <c r="A11" s="223" t="s">
        <v>907</v>
      </c>
      <c r="B11" s="37" t="s">
        <v>582</v>
      </c>
      <c r="C11" s="37" t="s">
        <v>583</v>
      </c>
      <c r="D11" s="848">
        <v>600</v>
      </c>
      <c r="E11" s="623">
        <v>600</v>
      </c>
      <c r="F11" s="623">
        <v>600</v>
      </c>
      <c r="G11" s="623">
        <v>600</v>
      </c>
    </row>
    <row r="12" spans="1:7" ht="15.95" customHeight="1" x14ac:dyDescent="0.2">
      <c r="A12" s="223" t="s">
        <v>908</v>
      </c>
      <c r="B12" s="37" t="s">
        <v>584</v>
      </c>
      <c r="C12" s="37" t="s">
        <v>1016</v>
      </c>
      <c r="D12" s="848">
        <f>2373-1275</f>
        <v>1098</v>
      </c>
      <c r="E12" s="623">
        <v>1500</v>
      </c>
      <c r="F12" s="623">
        <v>1500</v>
      </c>
      <c r="G12" s="623">
        <v>1500</v>
      </c>
    </row>
    <row r="13" spans="1:7" ht="15.95" customHeight="1" x14ac:dyDescent="0.2">
      <c r="A13" s="223" t="s">
        <v>909</v>
      </c>
      <c r="B13" s="37" t="s">
        <v>584</v>
      </c>
      <c r="C13" s="37" t="s">
        <v>1017</v>
      </c>
      <c r="D13" s="848">
        <v>1275</v>
      </c>
      <c r="E13" s="623">
        <v>1287</v>
      </c>
      <c r="F13" s="623">
        <v>1287</v>
      </c>
      <c r="G13" s="623">
        <v>1287</v>
      </c>
    </row>
    <row r="14" spans="1:7" s="850" customFormat="1" ht="15.95" customHeight="1" x14ac:dyDescent="0.2">
      <c r="A14" s="1137" t="s">
        <v>910</v>
      </c>
      <c r="B14" s="1138" t="s">
        <v>978</v>
      </c>
      <c r="C14" s="1138"/>
      <c r="D14" s="1139">
        <v>1500</v>
      </c>
      <c r="E14" s="1140">
        <v>1000</v>
      </c>
      <c r="F14" s="1140">
        <v>1000</v>
      </c>
      <c r="G14" s="1140">
        <v>1000</v>
      </c>
    </row>
    <row r="15" spans="1:7" s="850" customFormat="1" ht="15.95" customHeight="1" thickBot="1" x14ac:dyDescent="0.25">
      <c r="A15" s="1143" t="s">
        <v>911</v>
      </c>
      <c r="B15" s="1144" t="s">
        <v>1188</v>
      </c>
      <c r="C15" s="1144"/>
      <c r="D15" s="1141">
        <v>400</v>
      </c>
      <c r="E15" s="1142"/>
      <c r="F15" s="1142"/>
      <c r="G15" s="1142">
        <v>264</v>
      </c>
    </row>
    <row r="16" spans="1:7" s="1052" customFormat="1" ht="15.95" customHeight="1" thickBot="1" x14ac:dyDescent="0.25">
      <c r="A16" s="1390" t="s">
        <v>1091</v>
      </c>
      <c r="B16" s="1391"/>
      <c r="C16" s="1392"/>
      <c r="D16" s="1050">
        <f>SUM(D8:D15)</f>
        <v>5670</v>
      </c>
      <c r="E16" s="1051">
        <f>SUM(E8:E14)</f>
        <v>5679</v>
      </c>
      <c r="F16" s="1051">
        <f>SUM(F8:F15)</f>
        <v>5679</v>
      </c>
      <c r="G16" s="1051">
        <f>SUM(G8:G15)</f>
        <v>5943</v>
      </c>
    </row>
    <row r="17" spans="1:7" ht="15.95" customHeight="1" thickBot="1" x14ac:dyDescent="0.25">
      <c r="A17" s="1387" t="s">
        <v>938</v>
      </c>
      <c r="B17" s="1388"/>
      <c r="C17" s="1389"/>
      <c r="D17" s="819">
        <f>D7+D16</f>
        <v>5870</v>
      </c>
      <c r="E17" s="624">
        <f>E7+E16</f>
        <v>5981</v>
      </c>
      <c r="F17" s="624">
        <f>F7+F16</f>
        <v>5981</v>
      </c>
      <c r="G17" s="624">
        <f>G7+G16</f>
        <v>6245</v>
      </c>
    </row>
  </sheetData>
  <mergeCells count="6">
    <mergeCell ref="A1:G1"/>
    <mergeCell ref="A2:G2"/>
    <mergeCell ref="D4:E4"/>
    <mergeCell ref="A17:C17"/>
    <mergeCell ref="A7:C7"/>
    <mergeCell ref="A16:C16"/>
  </mergeCells>
  <phoneticPr fontId="30" type="noConversion"/>
  <conditionalFormatting sqref="D17">
    <cfRule type="cellIs" dxfId="3" priority="4" stopIfTrue="1" operator="equal">
      <formula>0</formula>
    </cfRule>
  </conditionalFormatting>
  <conditionalFormatting sqref="E17">
    <cfRule type="cellIs" dxfId="2" priority="3" stopIfTrue="1" operator="equal">
      <formula>0</formula>
    </cfRule>
  </conditionalFormatting>
  <conditionalFormatting sqref="F17">
    <cfRule type="cellIs" dxfId="1" priority="2" stopIfTrue="1" operator="equal">
      <formula>0</formula>
    </cfRule>
  </conditionalFormatting>
  <conditionalFormatting sqref="G17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sqref="A1:E1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5" width="12" style="129" bestFit="1" customWidth="1"/>
    <col min="6" max="16384" width="9.33203125" style="129"/>
  </cols>
  <sheetData>
    <row r="1" spans="1:5" x14ac:dyDescent="0.25">
      <c r="A1" s="1393" t="s">
        <v>993</v>
      </c>
      <c r="B1" s="1393"/>
      <c r="C1" s="1393"/>
      <c r="D1" s="1393"/>
      <c r="E1" s="1393"/>
    </row>
    <row r="2" spans="1:5" ht="27.75" customHeight="1" x14ac:dyDescent="0.25">
      <c r="A2" s="1378" t="s">
        <v>1014</v>
      </c>
      <c r="B2" s="1378"/>
      <c r="C2" s="1378"/>
      <c r="D2" s="1378"/>
      <c r="E2" s="1378"/>
    </row>
    <row r="3" spans="1:5" ht="16.5" thickBot="1" x14ac:dyDescent="0.3">
      <c r="D3" s="5"/>
      <c r="E3" s="5" t="s">
        <v>942</v>
      </c>
    </row>
    <row r="4" spans="1:5" s="110" customFormat="1" ht="26.1" customHeight="1" thickBot="1" x14ac:dyDescent="0.3">
      <c r="A4" s="107" t="s">
        <v>901</v>
      </c>
      <c r="B4" s="108" t="s">
        <v>12</v>
      </c>
      <c r="C4" s="108" t="s">
        <v>996</v>
      </c>
      <c r="D4" s="108" t="s">
        <v>997</v>
      </c>
      <c r="E4" s="109" t="s">
        <v>1013</v>
      </c>
    </row>
    <row r="5" spans="1:5" s="112" customFormat="1" ht="15" customHeight="1" thickBot="1" x14ac:dyDescent="0.25">
      <c r="A5" s="111" t="s">
        <v>903</v>
      </c>
      <c r="B5" s="1375" t="s">
        <v>945</v>
      </c>
      <c r="C5" s="1376"/>
      <c r="D5" s="1376"/>
      <c r="E5" s="1377"/>
    </row>
    <row r="6" spans="1:5" s="112" customFormat="1" ht="15" customHeight="1" x14ac:dyDescent="0.2">
      <c r="A6" s="113" t="s">
        <v>904</v>
      </c>
      <c r="B6" s="114" t="s">
        <v>142</v>
      </c>
      <c r="C6" s="115">
        <f>'1.1.sz.mell.'!E6</f>
        <v>98689</v>
      </c>
      <c r="D6" s="115">
        <v>90000</v>
      </c>
      <c r="E6" s="1133">
        <v>90000</v>
      </c>
    </row>
    <row r="7" spans="1:5" s="120" customFormat="1" ht="14.1" customHeight="1" x14ac:dyDescent="0.2">
      <c r="A7" s="117" t="s">
        <v>905</v>
      </c>
      <c r="B7" s="310" t="s">
        <v>946</v>
      </c>
      <c r="C7" s="118">
        <f>'1.1.sz.mell.'!E11</f>
        <v>22409</v>
      </c>
      <c r="D7" s="118">
        <v>22000</v>
      </c>
      <c r="E7" s="1134">
        <v>22000</v>
      </c>
    </row>
    <row r="8" spans="1:5" s="120" customFormat="1" x14ac:dyDescent="0.2">
      <c r="A8" s="117" t="s">
        <v>906</v>
      </c>
      <c r="B8" s="311" t="s">
        <v>0</v>
      </c>
      <c r="C8" s="121">
        <f>'1.1.sz.mell.'!E20</f>
        <v>8132</v>
      </c>
      <c r="D8" s="121">
        <v>8000</v>
      </c>
      <c r="E8" s="1135">
        <v>8000</v>
      </c>
    </row>
    <row r="9" spans="1:5" s="120" customFormat="1" ht="14.1" customHeight="1" x14ac:dyDescent="0.2">
      <c r="A9" s="117" t="s">
        <v>907</v>
      </c>
      <c r="B9" s="310" t="s">
        <v>891</v>
      </c>
      <c r="C9" s="118">
        <f>'1.1.sz.mell.'!E21</f>
        <v>166940</v>
      </c>
      <c r="D9" s="118">
        <v>170000</v>
      </c>
      <c r="E9" s="1134">
        <v>170000</v>
      </c>
    </row>
    <row r="10" spans="1:5" s="120" customFormat="1" ht="14.1" customHeight="1" x14ac:dyDescent="0.2">
      <c r="A10" s="117" t="s">
        <v>908</v>
      </c>
      <c r="B10" s="310" t="s">
        <v>892</v>
      </c>
      <c r="C10" s="118">
        <f>'1.1.sz.mell.'!E30</f>
        <v>22434</v>
      </c>
      <c r="D10" s="118"/>
      <c r="E10" s="1134"/>
    </row>
    <row r="11" spans="1:5" s="120" customFormat="1" ht="14.1" customHeight="1" x14ac:dyDescent="0.2">
      <c r="A11" s="117" t="s">
        <v>909</v>
      </c>
      <c r="B11" s="310" t="s">
        <v>893</v>
      </c>
      <c r="C11" s="118">
        <f>'1.1.sz.mell.'!E43</f>
        <v>209</v>
      </c>
      <c r="D11" s="118"/>
      <c r="E11" s="1134"/>
    </row>
    <row r="12" spans="1:5" s="120" customFormat="1" ht="14.1" customHeight="1" x14ac:dyDescent="0.2">
      <c r="A12" s="117" t="s">
        <v>910</v>
      </c>
      <c r="B12" s="310" t="s">
        <v>894</v>
      </c>
      <c r="C12" s="118">
        <f>'1.1.sz.mell.'!E46</f>
        <v>0</v>
      </c>
      <c r="D12" s="118"/>
      <c r="E12" s="1134"/>
    </row>
    <row r="13" spans="1:5" s="120" customFormat="1" x14ac:dyDescent="0.2">
      <c r="A13" s="117" t="s">
        <v>911</v>
      </c>
      <c r="B13" s="312" t="s">
        <v>895</v>
      </c>
      <c r="C13" s="118"/>
      <c r="D13" s="118"/>
      <c r="E13" s="1134"/>
    </row>
    <row r="14" spans="1:5" s="120" customFormat="1" ht="14.1" customHeight="1" thickBot="1" x14ac:dyDescent="0.25">
      <c r="A14" s="117" t="s">
        <v>912</v>
      </c>
      <c r="B14" s="310" t="s">
        <v>896</v>
      </c>
      <c r="C14" s="118"/>
      <c r="D14" s="118"/>
      <c r="E14" s="1134"/>
    </row>
    <row r="15" spans="1:5" s="112" customFormat="1" ht="15.95" customHeight="1" thickBot="1" x14ac:dyDescent="0.25">
      <c r="A15" s="111" t="s">
        <v>913</v>
      </c>
      <c r="B15" s="42" t="s">
        <v>68</v>
      </c>
      <c r="C15" s="123">
        <f>SUM(C6:C14)</f>
        <v>318813</v>
      </c>
      <c r="D15" s="123">
        <f>SUM(D6:D14)</f>
        <v>290000</v>
      </c>
      <c r="E15" s="124">
        <f>SUM(E6:E14)</f>
        <v>290000</v>
      </c>
    </row>
    <row r="16" spans="1:5" s="112" customFormat="1" ht="15" customHeight="1" thickBot="1" x14ac:dyDescent="0.25">
      <c r="A16" s="111" t="s">
        <v>914</v>
      </c>
      <c r="B16" s="1375" t="s">
        <v>1</v>
      </c>
      <c r="C16" s="1376"/>
      <c r="D16" s="1376"/>
      <c r="E16" s="1377"/>
    </row>
    <row r="17" spans="1:5" s="120" customFormat="1" ht="14.1" customHeight="1" x14ac:dyDescent="0.2">
      <c r="A17" s="125" t="s">
        <v>915</v>
      </c>
      <c r="B17" s="313" t="s">
        <v>13</v>
      </c>
      <c r="C17" s="121">
        <f>'1.1.sz.mell.'!E74</f>
        <v>128480</v>
      </c>
      <c r="D17" s="121">
        <v>135000</v>
      </c>
      <c r="E17" s="1135">
        <v>135000</v>
      </c>
    </row>
    <row r="18" spans="1:5" s="120" customFormat="1" ht="22.5" x14ac:dyDescent="0.2">
      <c r="A18" s="117" t="s">
        <v>916</v>
      </c>
      <c r="B18" s="312" t="s">
        <v>164</v>
      </c>
      <c r="C18" s="118">
        <f>'1.1.sz.mell.'!E75</f>
        <v>33112</v>
      </c>
      <c r="D18" s="118">
        <f>D17*0.27</f>
        <v>36450</v>
      </c>
      <c r="E18" s="1134">
        <v>36450</v>
      </c>
    </row>
    <row r="19" spans="1:5" s="120" customFormat="1" x14ac:dyDescent="0.2">
      <c r="A19" s="117" t="s">
        <v>917</v>
      </c>
      <c r="B19" s="310" t="s">
        <v>88</v>
      </c>
      <c r="C19" s="118">
        <f>'1.1.sz.mell.'!E76</f>
        <v>88289</v>
      </c>
      <c r="D19" s="118">
        <v>80000</v>
      </c>
      <c r="E19" s="1134">
        <v>80000</v>
      </c>
    </row>
    <row r="20" spans="1:5" s="120" customFormat="1" x14ac:dyDescent="0.2">
      <c r="A20" s="117" t="s">
        <v>918</v>
      </c>
      <c r="B20" s="310" t="s">
        <v>165</v>
      </c>
      <c r="C20" s="118">
        <f>'1.1.sz.mell.'!E77</f>
        <v>9584</v>
      </c>
      <c r="D20" s="118">
        <v>12000</v>
      </c>
      <c r="E20" s="1134">
        <v>12000</v>
      </c>
    </row>
    <row r="21" spans="1:5" s="120" customFormat="1" x14ac:dyDescent="0.2">
      <c r="A21" s="117" t="s">
        <v>919</v>
      </c>
      <c r="B21" s="310" t="s">
        <v>897</v>
      </c>
      <c r="C21" s="118">
        <f>'1.1.sz.mell.'!E78</f>
        <v>6287</v>
      </c>
      <c r="D21" s="118">
        <v>2757</v>
      </c>
      <c r="E21" s="1134">
        <v>2757</v>
      </c>
    </row>
    <row r="22" spans="1:5" s="120" customFormat="1" x14ac:dyDescent="0.2">
      <c r="A22" s="117" t="s">
        <v>920</v>
      </c>
      <c r="B22" s="310" t="s">
        <v>280</v>
      </c>
      <c r="C22" s="118">
        <f>'1.1.sz.mell.'!E88</f>
        <v>9602</v>
      </c>
      <c r="D22" s="118">
        <f>282000-266207+8000</f>
        <v>23793</v>
      </c>
      <c r="E22" s="1134">
        <v>23793</v>
      </c>
    </row>
    <row r="23" spans="1:5" s="120" customFormat="1" x14ac:dyDescent="0.2">
      <c r="A23" s="117" t="s">
        <v>921</v>
      </c>
      <c r="B23" s="312" t="s">
        <v>168</v>
      </c>
      <c r="C23" s="118">
        <f>'1.1.sz.mell.'!E89</f>
        <v>36867</v>
      </c>
      <c r="D23" s="118"/>
      <c r="E23" s="1134"/>
    </row>
    <row r="24" spans="1:5" s="120" customFormat="1" x14ac:dyDescent="0.2">
      <c r="A24" s="117" t="s">
        <v>922</v>
      </c>
      <c r="B24" s="310" t="s">
        <v>311</v>
      </c>
      <c r="C24" s="118">
        <v>0</v>
      </c>
      <c r="D24" s="118"/>
      <c r="E24" s="1134"/>
    </row>
    <row r="25" spans="1:5" s="120" customFormat="1" x14ac:dyDescent="0.2">
      <c r="A25" s="117" t="s">
        <v>923</v>
      </c>
      <c r="B25" s="310" t="s">
        <v>935</v>
      </c>
      <c r="C25" s="118">
        <f>'1.1.sz.mell.'!E98</f>
        <v>6592</v>
      </c>
      <c r="D25" s="118"/>
      <c r="E25" s="1134"/>
    </row>
    <row r="26" spans="1:5" s="120" customFormat="1" x14ac:dyDescent="0.2">
      <c r="A26" s="117" t="s">
        <v>924</v>
      </c>
      <c r="B26" s="310" t="s">
        <v>898</v>
      </c>
      <c r="C26" s="118"/>
      <c r="D26" s="118"/>
      <c r="E26" s="1134"/>
    </row>
    <row r="27" spans="1:5" s="120" customFormat="1" ht="16.5" thickBot="1" x14ac:dyDescent="0.25">
      <c r="A27" s="117" t="s">
        <v>925</v>
      </c>
      <c r="B27" s="310" t="s">
        <v>899</v>
      </c>
      <c r="C27" s="118"/>
      <c r="D27" s="118"/>
      <c r="E27" s="1134"/>
    </row>
    <row r="28" spans="1:5" s="112" customFormat="1" ht="16.5" thickBot="1" x14ac:dyDescent="0.25">
      <c r="A28" s="126" t="s">
        <v>926</v>
      </c>
      <c r="B28" s="42" t="s">
        <v>69</v>
      </c>
      <c r="C28" s="123">
        <f>SUM(C17:C27)</f>
        <v>318813</v>
      </c>
      <c r="D28" s="123">
        <f>SUM(D17:D27)</f>
        <v>290000</v>
      </c>
      <c r="E28" s="124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L94"/>
  <sheetViews>
    <sheetView workbookViewId="0">
      <selection activeCell="K48" sqref="K48"/>
    </sheetView>
  </sheetViews>
  <sheetFormatPr defaultColWidth="9.33203125" defaultRowHeight="12.75" x14ac:dyDescent="0.2"/>
  <cols>
    <col min="1" max="1" width="3.83203125" style="50" bestFit="1" customWidth="1"/>
    <col min="2" max="2" width="2.33203125" style="50" bestFit="1" customWidth="1"/>
    <col min="3" max="3" width="4.5" style="988" customWidth="1"/>
    <col min="4" max="4" width="61.1640625" style="50" bestFit="1" customWidth="1"/>
    <col min="5" max="7" width="12.6640625" style="50" bestFit="1" customWidth="1"/>
    <col min="8" max="8" width="10.5" style="50" bestFit="1" customWidth="1"/>
    <col min="9" max="12" width="9.33203125" style="50"/>
    <col min="13" max="13" width="9.33203125" style="50" customWidth="1"/>
    <col min="14" max="16384" width="9.33203125" style="50"/>
  </cols>
  <sheetData>
    <row r="1" spans="1:8" ht="13.5" x14ac:dyDescent="0.25">
      <c r="A1" s="1393" t="s">
        <v>1183</v>
      </c>
      <c r="B1" s="1393"/>
      <c r="C1" s="1393"/>
      <c r="D1" s="1393"/>
      <c r="E1" s="1393"/>
      <c r="F1" s="1393"/>
      <c r="G1" s="1393"/>
    </row>
    <row r="2" spans="1:8" ht="32.25" customHeight="1" x14ac:dyDescent="0.2">
      <c r="A2" s="1443" t="s">
        <v>1002</v>
      </c>
      <c r="B2" s="1443"/>
      <c r="C2" s="1443"/>
      <c r="D2" s="1443"/>
      <c r="E2" s="1443"/>
      <c r="F2" s="1443"/>
      <c r="G2" s="1443"/>
    </row>
    <row r="3" spans="1:8" s="51" customFormat="1" ht="13.5" thickBot="1" x14ac:dyDescent="0.25">
      <c r="A3" s="504"/>
      <c r="B3" s="504"/>
      <c r="C3" s="975"/>
      <c r="D3" s="504"/>
    </row>
    <row r="4" spans="1:8" s="52" customFormat="1" ht="26.25" thickBot="1" x14ac:dyDescent="0.25">
      <c r="A4" s="1437" t="s">
        <v>937</v>
      </c>
      <c r="B4" s="1438"/>
      <c r="C4" s="1438"/>
      <c r="D4" s="1439"/>
      <c r="E4" s="517" t="s">
        <v>977</v>
      </c>
      <c r="F4" s="517" t="s">
        <v>963</v>
      </c>
      <c r="G4" s="517" t="s">
        <v>1001</v>
      </c>
    </row>
    <row r="5" spans="1:8" ht="14.25" customHeight="1" x14ac:dyDescent="0.2">
      <c r="A5" s="1444" t="s">
        <v>586</v>
      </c>
      <c r="B5" s="1447">
        <v>1</v>
      </c>
      <c r="C5" s="1449" t="s">
        <v>587</v>
      </c>
      <c r="D5" s="1450"/>
      <c r="E5" s="974">
        <f>E6+E9+E10+E13</f>
        <v>51035884</v>
      </c>
      <c r="F5" s="974">
        <f>F6+F9+F10+F13</f>
        <v>65287243</v>
      </c>
      <c r="G5" s="974">
        <f>G6+G9+G10+G13+G14</f>
        <v>77091476</v>
      </c>
      <c r="H5" s="50">
        <v>77091476</v>
      </c>
    </row>
    <row r="6" spans="1:8" ht="25.5" customHeight="1" x14ac:dyDescent="0.2">
      <c r="A6" s="1445"/>
      <c r="B6" s="1448"/>
      <c r="C6" s="976" t="s">
        <v>588</v>
      </c>
      <c r="D6" s="630" t="s">
        <v>589</v>
      </c>
      <c r="E6" s="511">
        <f>E7+E8</f>
        <v>38014000</v>
      </c>
      <c r="F6" s="511">
        <v>39754400</v>
      </c>
      <c r="G6" s="511">
        <v>40166600</v>
      </c>
      <c r="H6" s="863"/>
    </row>
    <row r="7" spans="1:8" ht="153" hidden="1" customHeight="1" x14ac:dyDescent="0.2">
      <c r="A7" s="1445"/>
      <c r="B7" s="1448"/>
      <c r="C7" s="976"/>
      <c r="D7" s="631" t="s">
        <v>590</v>
      </c>
      <c r="E7" s="512">
        <v>38014000</v>
      </c>
      <c r="F7" s="512">
        <v>38014000</v>
      </c>
      <c r="G7" s="512">
        <v>38014000</v>
      </c>
      <c r="H7" s="863"/>
    </row>
    <row r="8" spans="1:8" ht="102" hidden="1" customHeight="1" x14ac:dyDescent="0.2">
      <c r="A8" s="1445"/>
      <c r="B8" s="1448"/>
      <c r="C8" s="976"/>
      <c r="D8" s="631" t="s">
        <v>591</v>
      </c>
      <c r="E8" s="512">
        <v>0</v>
      </c>
      <c r="F8" s="512">
        <v>0</v>
      </c>
      <c r="G8" s="512">
        <v>0</v>
      </c>
      <c r="H8" s="863"/>
    </row>
    <row r="9" spans="1:8" x14ac:dyDescent="0.2">
      <c r="A9" s="1445"/>
      <c r="B9" s="1448"/>
      <c r="C9" s="976" t="s">
        <v>592</v>
      </c>
      <c r="D9" s="630" t="s">
        <v>593</v>
      </c>
      <c r="E9" s="511">
        <v>12448359</v>
      </c>
      <c r="F9" s="511">
        <v>16814543</v>
      </c>
      <c r="G9" s="511">
        <v>18067916</v>
      </c>
      <c r="H9" s="863"/>
    </row>
    <row r="10" spans="1:8" x14ac:dyDescent="0.2">
      <c r="A10" s="1445"/>
      <c r="B10" s="1448"/>
      <c r="C10" s="976"/>
      <c r="D10" s="630" t="s">
        <v>1003</v>
      </c>
      <c r="E10" s="511">
        <v>-8071875</v>
      </c>
      <c r="F10" s="511"/>
      <c r="G10" s="511">
        <v>10055410</v>
      </c>
      <c r="H10" s="863"/>
    </row>
    <row r="11" spans="1:8" ht="165.75" hidden="1" customHeight="1" x14ac:dyDescent="0.2">
      <c r="A11" s="1445"/>
      <c r="B11" s="1448"/>
      <c r="C11" s="977"/>
      <c r="D11" s="628" t="s">
        <v>595</v>
      </c>
      <c r="E11" s="629">
        <v>42390484</v>
      </c>
      <c r="F11" s="963">
        <v>42390484</v>
      </c>
      <c r="G11" s="963">
        <v>42390484</v>
      </c>
      <c r="H11" s="863"/>
    </row>
    <row r="12" spans="1:8" ht="63.75" hidden="1" customHeight="1" x14ac:dyDescent="0.2">
      <c r="A12" s="1445"/>
      <c r="B12" s="1448"/>
      <c r="C12" s="977"/>
      <c r="D12" s="628" t="s">
        <v>596</v>
      </c>
      <c r="E12" s="629">
        <v>0</v>
      </c>
      <c r="F12" s="963">
        <v>0</v>
      </c>
      <c r="G12" s="963">
        <v>0</v>
      </c>
      <c r="H12" s="863"/>
    </row>
    <row r="13" spans="1:8" x14ac:dyDescent="0.2">
      <c r="A13" s="1445"/>
      <c r="B13" s="1448"/>
      <c r="C13" s="978" t="s">
        <v>594</v>
      </c>
      <c r="D13" s="626" t="s">
        <v>598</v>
      </c>
      <c r="E13" s="627">
        <v>8645400</v>
      </c>
      <c r="F13" s="632">
        <v>8718300</v>
      </c>
      <c r="G13" s="632">
        <v>8793900</v>
      </c>
      <c r="H13" s="863"/>
    </row>
    <row r="14" spans="1:8" x14ac:dyDescent="0.2">
      <c r="A14" s="1445"/>
      <c r="B14" s="970"/>
      <c r="C14" s="979" t="s">
        <v>597</v>
      </c>
      <c r="D14" s="971" t="s">
        <v>662</v>
      </c>
      <c r="E14" s="972"/>
      <c r="F14" s="973"/>
      <c r="G14" s="973">
        <v>7650</v>
      </c>
      <c r="H14" s="863"/>
    </row>
    <row r="15" spans="1:8" ht="13.5" thickBot="1" x14ac:dyDescent="0.25">
      <c r="A15" s="1445"/>
      <c r="B15" s="522">
        <v>6</v>
      </c>
      <c r="C15" s="1451" t="s">
        <v>1004</v>
      </c>
      <c r="D15" s="1452"/>
      <c r="E15" s="523">
        <v>0</v>
      </c>
      <c r="F15" s="964">
        <v>0</v>
      </c>
      <c r="G15" s="964">
        <v>62611</v>
      </c>
      <c r="H15" s="863">
        <v>62611</v>
      </c>
    </row>
    <row r="16" spans="1:8" ht="31.5" customHeight="1" thickBot="1" x14ac:dyDescent="0.25">
      <c r="A16" s="1446"/>
      <c r="B16" s="1411" t="s">
        <v>1186</v>
      </c>
      <c r="C16" s="1453"/>
      <c r="D16" s="1454"/>
      <c r="E16" s="524">
        <f>E5+E15</f>
        <v>51035884</v>
      </c>
      <c r="F16" s="527">
        <f>F5+F15</f>
        <v>65287243</v>
      </c>
      <c r="G16" s="527">
        <f>G5+G15</f>
        <v>77154087</v>
      </c>
      <c r="H16" s="863"/>
    </row>
    <row r="17" spans="1:8" x14ac:dyDescent="0.2">
      <c r="A17" s="1414" t="s">
        <v>599</v>
      </c>
      <c r="B17" s="1442">
        <v>1</v>
      </c>
      <c r="C17" s="1426" t="s">
        <v>958</v>
      </c>
      <c r="D17" s="1426"/>
      <c r="E17" s="861">
        <f>E18+E21</f>
        <v>33648000</v>
      </c>
      <c r="F17" s="967">
        <f>F18+F21</f>
        <v>49017600</v>
      </c>
      <c r="G17" s="967">
        <f>G18+G21+G24</f>
        <v>51957800</v>
      </c>
      <c r="H17" s="863"/>
    </row>
    <row r="18" spans="1:8" x14ac:dyDescent="0.2">
      <c r="A18" s="1415"/>
      <c r="B18" s="1421"/>
      <c r="C18" s="978" t="s">
        <v>1005</v>
      </c>
      <c r="D18" s="626" t="s">
        <v>600</v>
      </c>
      <c r="E18" s="627">
        <f>E19+E20</f>
        <v>25488000</v>
      </c>
      <c r="F18" s="632">
        <f>F19+F20</f>
        <v>36417600</v>
      </c>
      <c r="G18" s="632">
        <v>39028800</v>
      </c>
      <c r="H18" s="863">
        <f>13009600+26019200</f>
        <v>39028800</v>
      </c>
    </row>
    <row r="19" spans="1:8" s="853" customFormat="1" ht="12.75" hidden="1" customHeight="1" x14ac:dyDescent="0.2">
      <c r="A19" s="1415"/>
      <c r="B19" s="1421"/>
      <c r="C19" s="980"/>
      <c r="D19" s="851" t="s">
        <v>602</v>
      </c>
      <c r="E19" s="852">
        <v>16992000</v>
      </c>
      <c r="F19" s="965">
        <v>24072000</v>
      </c>
      <c r="G19" s="965">
        <v>24072000</v>
      </c>
      <c r="H19" s="863"/>
    </row>
    <row r="20" spans="1:8" s="853" customFormat="1" ht="12.75" hidden="1" customHeight="1" x14ac:dyDescent="0.2">
      <c r="A20" s="1415"/>
      <c r="B20" s="1421"/>
      <c r="C20" s="980"/>
      <c r="D20" s="851" t="s">
        <v>973</v>
      </c>
      <c r="E20" s="852">
        <v>8496000</v>
      </c>
      <c r="F20" s="965">
        <f>12036000+309600</f>
        <v>12345600</v>
      </c>
      <c r="G20" s="965">
        <f>12036000+309600</f>
        <v>12345600</v>
      </c>
      <c r="H20" s="863"/>
    </row>
    <row r="21" spans="1:8" ht="25.5" x14ac:dyDescent="0.2">
      <c r="A21" s="1415"/>
      <c r="B21" s="1421"/>
      <c r="C21" s="978" t="s">
        <v>1006</v>
      </c>
      <c r="D21" s="626" t="s">
        <v>961</v>
      </c>
      <c r="E21" s="627">
        <f>E22+E23</f>
        <v>8160000</v>
      </c>
      <c r="F21" s="632">
        <f>F22+F23</f>
        <v>12600000</v>
      </c>
      <c r="G21" s="632">
        <f>G22+G23</f>
        <v>12600000</v>
      </c>
      <c r="H21" s="863">
        <f>4200000+8400000</f>
        <v>12600000</v>
      </c>
    </row>
    <row r="22" spans="1:8" s="853" customFormat="1" ht="12.75" hidden="1" customHeight="1" x14ac:dyDescent="0.2">
      <c r="A22" s="1415"/>
      <c r="B22" s="1421"/>
      <c r="C22" s="980"/>
      <c r="D22" s="851" t="s">
        <v>602</v>
      </c>
      <c r="E22" s="852">
        <v>5440000</v>
      </c>
      <c r="F22" s="965">
        <v>8400000</v>
      </c>
      <c r="G22" s="965">
        <v>8400000</v>
      </c>
      <c r="H22" s="863"/>
    </row>
    <row r="23" spans="1:8" s="853" customFormat="1" ht="12.75" hidden="1" customHeight="1" x14ac:dyDescent="0.2">
      <c r="A23" s="1415"/>
      <c r="B23" s="1421"/>
      <c r="C23" s="980"/>
      <c r="D23" s="851" t="s">
        <v>973</v>
      </c>
      <c r="E23" s="852">
        <v>2720000</v>
      </c>
      <c r="F23" s="965">
        <v>4200000</v>
      </c>
      <c r="G23" s="965">
        <v>4200000</v>
      </c>
      <c r="H23" s="863"/>
    </row>
    <row r="24" spans="1:8" s="850" customFormat="1" x14ac:dyDescent="0.2">
      <c r="A24" s="1415"/>
      <c r="B24" s="1422"/>
      <c r="C24" s="978" t="s">
        <v>1007</v>
      </c>
      <c r="D24" s="626" t="s">
        <v>1008</v>
      </c>
      <c r="E24" s="629"/>
      <c r="F24" s="963"/>
      <c r="G24" s="632">
        <v>329000</v>
      </c>
      <c r="H24" s="863">
        <v>329000</v>
      </c>
    </row>
    <row r="25" spans="1:8" ht="12.75" customHeight="1" x14ac:dyDescent="0.2">
      <c r="A25" s="1415"/>
      <c r="B25" s="1440">
        <v>2</v>
      </c>
      <c r="C25" s="990" t="s">
        <v>1009</v>
      </c>
      <c r="D25" s="991" t="s">
        <v>959</v>
      </c>
      <c r="E25" s="858">
        <f>E26+E27</f>
        <v>5400000</v>
      </c>
      <c r="F25" s="968">
        <f>SUM(F26:F27)</f>
        <v>5600000</v>
      </c>
      <c r="G25" s="968">
        <v>7210000</v>
      </c>
      <c r="H25" s="863">
        <f>2403333+4806667</f>
        <v>7210000</v>
      </c>
    </row>
    <row r="26" spans="1:8" s="854" customFormat="1" ht="12.75" hidden="1" customHeight="1" x14ac:dyDescent="0.2">
      <c r="A26" s="1415"/>
      <c r="B26" s="1440"/>
      <c r="C26" s="990"/>
      <c r="D26" s="992" t="s">
        <v>602</v>
      </c>
      <c r="E26" s="993">
        <v>3600000</v>
      </c>
      <c r="F26" s="994">
        <v>3733333</v>
      </c>
      <c r="G26" s="994">
        <v>3733333</v>
      </c>
    </row>
    <row r="27" spans="1:8" s="853" customFormat="1" ht="12.75" hidden="1" customHeight="1" x14ac:dyDescent="0.2">
      <c r="A27" s="1415"/>
      <c r="B27" s="1440"/>
      <c r="C27" s="990"/>
      <c r="D27" s="992" t="s">
        <v>973</v>
      </c>
      <c r="E27" s="993">
        <v>1800000</v>
      </c>
      <c r="F27" s="994">
        <v>1866667</v>
      </c>
      <c r="G27" s="994">
        <v>1866667</v>
      </c>
    </row>
    <row r="28" spans="1:8" s="989" customFormat="1" x14ac:dyDescent="0.2">
      <c r="A28" s="1415"/>
      <c r="B28" s="995">
        <v>5</v>
      </c>
      <c r="C28" s="990" t="s">
        <v>1005</v>
      </c>
      <c r="D28" s="991" t="s">
        <v>1010</v>
      </c>
      <c r="E28" s="858"/>
      <c r="F28" s="968"/>
      <c r="G28" s="968">
        <v>352000</v>
      </c>
      <c r="H28" s="989">
        <v>352000</v>
      </c>
    </row>
    <row r="29" spans="1:8" x14ac:dyDescent="0.2">
      <c r="A29" s="1415"/>
      <c r="B29" s="1420">
        <v>3</v>
      </c>
      <c r="C29" s="1425" t="s">
        <v>960</v>
      </c>
      <c r="D29" s="1425"/>
      <c r="E29" s="858">
        <f>E30+E31</f>
        <v>8160000</v>
      </c>
      <c r="F29" s="632"/>
      <c r="G29" s="632"/>
    </row>
    <row r="30" spans="1:8" ht="25.5" hidden="1" x14ac:dyDescent="0.2">
      <c r="A30" s="1415"/>
      <c r="B30" s="1421"/>
      <c r="C30" s="978" t="s">
        <v>588</v>
      </c>
      <c r="D30" s="626" t="s">
        <v>603</v>
      </c>
      <c r="E30" s="627">
        <v>0</v>
      </c>
      <c r="F30" s="632">
        <v>0</v>
      </c>
      <c r="G30" s="632">
        <v>0</v>
      </c>
    </row>
    <row r="31" spans="1:8" x14ac:dyDescent="0.2">
      <c r="A31" s="1415"/>
      <c r="B31" s="1422"/>
      <c r="C31" s="978" t="s">
        <v>592</v>
      </c>
      <c r="D31" s="626" t="s">
        <v>604</v>
      </c>
      <c r="E31" s="627">
        <v>8160000</v>
      </c>
      <c r="F31" s="632"/>
      <c r="G31" s="632"/>
    </row>
    <row r="32" spans="1:8" s="850" customFormat="1" ht="13.5" thickBot="1" x14ac:dyDescent="0.25">
      <c r="A32" s="1415"/>
      <c r="B32" s="1423">
        <v>4</v>
      </c>
      <c r="C32" s="1441" t="s">
        <v>976</v>
      </c>
      <c r="D32" s="1441"/>
      <c r="E32" s="857">
        <f>E33+E34</f>
        <v>0</v>
      </c>
      <c r="F32" s="633">
        <f>F33+F34</f>
        <v>0</v>
      </c>
      <c r="G32" s="633">
        <f>G33+G34</f>
        <v>0</v>
      </c>
    </row>
    <row r="33" spans="1:12" s="853" customFormat="1" ht="38.25" hidden="1" customHeight="1" x14ac:dyDescent="0.2">
      <c r="A33" s="1415"/>
      <c r="B33" s="1423"/>
      <c r="C33" s="981"/>
      <c r="D33" s="851" t="s">
        <v>601</v>
      </c>
      <c r="E33" s="852">
        <v>0</v>
      </c>
      <c r="F33" s="965">
        <v>0</v>
      </c>
      <c r="G33" s="965">
        <v>0</v>
      </c>
    </row>
    <row r="34" spans="1:12" s="853" customFormat="1" ht="39" hidden="1" customHeight="1" thickBot="1" x14ac:dyDescent="0.25">
      <c r="A34" s="1415"/>
      <c r="B34" s="1424"/>
      <c r="C34" s="982"/>
      <c r="D34" s="856" t="s">
        <v>602</v>
      </c>
      <c r="E34" s="855">
        <v>0</v>
      </c>
      <c r="F34" s="966">
        <v>0</v>
      </c>
      <c r="G34" s="966">
        <v>0</v>
      </c>
    </row>
    <row r="35" spans="1:12" ht="28.5" customHeight="1" thickBot="1" x14ac:dyDescent="0.25">
      <c r="A35" s="1416"/>
      <c r="B35" s="1436" t="s">
        <v>605</v>
      </c>
      <c r="C35" s="1412"/>
      <c r="D35" s="1413"/>
      <c r="E35" s="524">
        <f>E17+E25+E29+E32</f>
        <v>47208000</v>
      </c>
      <c r="F35" s="527">
        <f>F17+F25+F29+F32</f>
        <v>54617600</v>
      </c>
      <c r="G35" s="527">
        <f>G17+G25+G29+G32+G28</f>
        <v>59519800</v>
      </c>
      <c r="J35" s="50" t="s">
        <v>1192</v>
      </c>
      <c r="K35" s="50" t="s">
        <v>1193</v>
      </c>
      <c r="L35" s="50" t="s">
        <v>1194</v>
      </c>
    </row>
    <row r="36" spans="1:12" s="859" customFormat="1" x14ac:dyDescent="0.2">
      <c r="A36" s="1407" t="s">
        <v>606</v>
      </c>
      <c r="B36" s="860">
        <v>2</v>
      </c>
      <c r="C36" s="1405" t="s">
        <v>469</v>
      </c>
      <c r="D36" s="1406"/>
      <c r="E36" s="861">
        <v>5246099</v>
      </c>
      <c r="F36" s="967">
        <v>4674526</v>
      </c>
      <c r="G36" s="967">
        <v>12494470</v>
      </c>
      <c r="H36" s="859">
        <f>12494470+J36+K36+L36</f>
        <v>14562021</v>
      </c>
      <c r="J36" s="859">
        <v>575776</v>
      </c>
      <c r="K36" s="859">
        <v>657900</v>
      </c>
      <c r="L36" s="859">
        <v>833875</v>
      </c>
    </row>
    <row r="37" spans="1:12" s="859" customFormat="1" x14ac:dyDescent="0.2">
      <c r="A37" s="1408"/>
      <c r="B37" s="1417">
        <v>3</v>
      </c>
      <c r="C37" s="1418" t="s">
        <v>607</v>
      </c>
      <c r="D37" s="1419"/>
      <c r="E37" s="858">
        <v>1214196</v>
      </c>
      <c r="F37" s="968">
        <f>SUM(F38:F49)</f>
        <v>2550910</v>
      </c>
      <c r="G37" s="968">
        <f>SUM(G38:G49)</f>
        <v>2573030</v>
      </c>
      <c r="H37" s="859">
        <v>2573030</v>
      </c>
    </row>
    <row r="38" spans="1:12" x14ac:dyDescent="0.2">
      <c r="A38" s="1408"/>
      <c r="B38" s="1417"/>
      <c r="C38" s="978" t="s">
        <v>588</v>
      </c>
      <c r="D38" s="626" t="s">
        <v>608</v>
      </c>
      <c r="E38" s="627">
        <v>0</v>
      </c>
      <c r="F38" s="632">
        <v>1275455</v>
      </c>
      <c r="G38" s="632">
        <v>1286515</v>
      </c>
    </row>
    <row r="39" spans="1:12" x14ac:dyDescent="0.2">
      <c r="A39" s="1408"/>
      <c r="B39" s="1417"/>
      <c r="C39" s="978" t="s">
        <v>592</v>
      </c>
      <c r="D39" s="626" t="s">
        <v>609</v>
      </c>
      <c r="E39" s="627">
        <v>0</v>
      </c>
      <c r="F39" s="632">
        <v>1275455</v>
      </c>
      <c r="G39" s="632">
        <v>1286515</v>
      </c>
    </row>
    <row r="40" spans="1:12" x14ac:dyDescent="0.2">
      <c r="A40" s="1408"/>
      <c r="B40" s="1417"/>
      <c r="C40" s="978" t="s">
        <v>594</v>
      </c>
      <c r="D40" s="626" t="s">
        <v>610</v>
      </c>
      <c r="E40" s="627">
        <v>0</v>
      </c>
      <c r="F40" s="632">
        <v>0</v>
      </c>
      <c r="G40" s="632">
        <v>0</v>
      </c>
    </row>
    <row r="41" spans="1:12" x14ac:dyDescent="0.2">
      <c r="A41" s="1408"/>
      <c r="B41" s="1417"/>
      <c r="C41" s="978" t="s">
        <v>597</v>
      </c>
      <c r="D41" s="626" t="s">
        <v>611</v>
      </c>
      <c r="E41" s="627">
        <v>0</v>
      </c>
      <c r="F41" s="632">
        <v>0</v>
      </c>
      <c r="G41" s="632">
        <v>0</v>
      </c>
    </row>
    <row r="42" spans="1:12" x14ac:dyDescent="0.2">
      <c r="A42" s="1408"/>
      <c r="B42" s="1417"/>
      <c r="C42" s="978" t="s">
        <v>612</v>
      </c>
      <c r="D42" s="626" t="s">
        <v>613</v>
      </c>
      <c r="E42" s="632">
        <v>0</v>
      </c>
      <c r="F42" s="632">
        <v>0</v>
      </c>
      <c r="G42" s="632">
        <v>0</v>
      </c>
    </row>
    <row r="43" spans="1:12" x14ac:dyDescent="0.2">
      <c r="A43" s="1408"/>
      <c r="B43" s="1417"/>
      <c r="C43" s="978" t="s">
        <v>614</v>
      </c>
      <c r="D43" s="626" t="s">
        <v>615</v>
      </c>
      <c r="E43" s="632">
        <v>0</v>
      </c>
      <c r="F43" s="632">
        <v>0</v>
      </c>
      <c r="G43" s="632">
        <v>0</v>
      </c>
    </row>
    <row r="44" spans="1:12" x14ac:dyDescent="0.2">
      <c r="A44" s="1408"/>
      <c r="B44" s="1417"/>
      <c r="C44" s="978" t="s">
        <v>616</v>
      </c>
      <c r="D44" s="626" t="s">
        <v>617</v>
      </c>
      <c r="E44" s="632">
        <v>0</v>
      </c>
      <c r="F44" s="632">
        <v>0</v>
      </c>
      <c r="G44" s="632">
        <v>0</v>
      </c>
    </row>
    <row r="45" spans="1:12" x14ac:dyDescent="0.2">
      <c r="A45" s="1408"/>
      <c r="B45" s="1417"/>
      <c r="C45" s="978" t="s">
        <v>618</v>
      </c>
      <c r="D45" s="626" t="s">
        <v>619</v>
      </c>
      <c r="E45" s="632">
        <v>0</v>
      </c>
      <c r="F45" s="632">
        <v>0</v>
      </c>
      <c r="G45" s="632">
        <v>0</v>
      </c>
    </row>
    <row r="46" spans="1:12" x14ac:dyDescent="0.2">
      <c r="A46" s="1408"/>
      <c r="B46" s="1417"/>
      <c r="C46" s="978" t="s">
        <v>620</v>
      </c>
      <c r="D46" s="626" t="s">
        <v>621</v>
      </c>
      <c r="E46" s="632">
        <v>0</v>
      </c>
      <c r="F46" s="632">
        <v>0</v>
      </c>
      <c r="G46" s="632">
        <v>0</v>
      </c>
    </row>
    <row r="47" spans="1:12" x14ac:dyDescent="0.2">
      <c r="A47" s="1408"/>
      <c r="B47" s="1417"/>
      <c r="C47" s="978" t="s">
        <v>622</v>
      </c>
      <c r="D47" s="626" t="s">
        <v>623</v>
      </c>
      <c r="E47" s="632">
        <v>0</v>
      </c>
      <c r="F47" s="632">
        <v>0</v>
      </c>
      <c r="G47" s="632">
        <v>0</v>
      </c>
    </row>
    <row r="48" spans="1:12" x14ac:dyDescent="0.2">
      <c r="A48" s="1408"/>
      <c r="B48" s="1417"/>
      <c r="C48" s="978" t="s">
        <v>624</v>
      </c>
      <c r="D48" s="626" t="s">
        <v>625</v>
      </c>
      <c r="E48" s="632">
        <v>0</v>
      </c>
      <c r="F48" s="632">
        <v>0</v>
      </c>
      <c r="G48" s="632">
        <v>0</v>
      </c>
    </row>
    <row r="49" spans="1:8" x14ac:dyDescent="0.2">
      <c r="A49" s="1408"/>
      <c r="B49" s="1417"/>
      <c r="C49" s="978" t="s">
        <v>626</v>
      </c>
      <c r="D49" s="626" t="s">
        <v>627</v>
      </c>
      <c r="E49" s="632">
        <v>0</v>
      </c>
      <c r="F49" s="632">
        <v>0</v>
      </c>
      <c r="G49" s="632">
        <v>0</v>
      </c>
    </row>
    <row r="50" spans="1:8" x14ac:dyDescent="0.2">
      <c r="A50" s="1408"/>
      <c r="B50" s="1410">
        <v>5</v>
      </c>
      <c r="C50" s="1394" t="s">
        <v>974</v>
      </c>
      <c r="D50" s="1396"/>
      <c r="E50" s="514">
        <f>E51+E52</f>
        <v>0</v>
      </c>
      <c r="F50" s="514">
        <f>F51+F52</f>
        <v>11030574</v>
      </c>
      <c r="G50" s="514">
        <f>G51+G52</f>
        <v>11485081</v>
      </c>
    </row>
    <row r="51" spans="1:8" x14ac:dyDescent="0.2">
      <c r="A51" s="1408"/>
      <c r="B51" s="1410"/>
      <c r="C51" s="983" t="s">
        <v>588</v>
      </c>
      <c r="D51" s="625" t="s">
        <v>975</v>
      </c>
      <c r="E51" s="513">
        <v>0</v>
      </c>
      <c r="F51" s="513">
        <v>4944960</v>
      </c>
      <c r="G51" s="513">
        <v>7507200</v>
      </c>
      <c r="H51" s="1148">
        <v>7507200</v>
      </c>
    </row>
    <row r="52" spans="1:8" ht="13.5" thickBot="1" x14ac:dyDescent="0.25">
      <c r="A52" s="1408"/>
      <c r="B52" s="1410"/>
      <c r="C52" s="984" t="s">
        <v>592</v>
      </c>
      <c r="D52" s="525" t="s">
        <v>628</v>
      </c>
      <c r="E52" s="526">
        <v>0</v>
      </c>
      <c r="F52" s="526">
        <v>6085614</v>
      </c>
      <c r="G52" s="526">
        <v>3977881</v>
      </c>
      <c r="H52" s="1148">
        <v>3977881</v>
      </c>
    </row>
    <row r="53" spans="1:8" ht="37.9" customHeight="1" thickBot="1" x14ac:dyDescent="0.25">
      <c r="A53" s="1409"/>
      <c r="B53" s="1411" t="s">
        <v>1012</v>
      </c>
      <c r="C53" s="1412"/>
      <c r="D53" s="1413"/>
      <c r="E53" s="527">
        <f>E36+E37+E50</f>
        <v>6460295</v>
      </c>
      <c r="F53" s="527">
        <f>F36+F37+F50</f>
        <v>18256010</v>
      </c>
      <c r="G53" s="527">
        <f>G36+G37+G50</f>
        <v>26552581</v>
      </c>
    </row>
    <row r="54" spans="1:8" x14ac:dyDescent="0.2">
      <c r="A54" s="1407" t="s">
        <v>629</v>
      </c>
      <c r="B54" s="1430">
        <v>1</v>
      </c>
      <c r="C54" s="1432" t="s">
        <v>631</v>
      </c>
      <c r="D54" s="1433"/>
      <c r="E54" s="996">
        <f>SUM(E55:E62)</f>
        <v>3650280</v>
      </c>
      <c r="F54" s="996">
        <f>SUM(F55:F62)</f>
        <v>3681060</v>
      </c>
      <c r="G54" s="996">
        <f>SUM(G55:G62)</f>
        <v>3712980</v>
      </c>
    </row>
    <row r="55" spans="1:8" ht="191.25" hidden="1" customHeight="1" x14ac:dyDescent="0.2">
      <c r="A55" s="1408"/>
      <c r="B55" s="1431"/>
      <c r="C55" s="985" t="s">
        <v>588</v>
      </c>
      <c r="D55" s="625" t="s">
        <v>632</v>
      </c>
      <c r="E55" s="633">
        <v>0</v>
      </c>
      <c r="F55" s="633">
        <v>0</v>
      </c>
      <c r="G55" s="633">
        <v>0</v>
      </c>
    </row>
    <row r="56" spans="1:8" ht="140.25" hidden="1" customHeight="1" x14ac:dyDescent="0.2">
      <c r="A56" s="1408"/>
      <c r="B56" s="1431"/>
      <c r="C56" s="985" t="s">
        <v>592</v>
      </c>
      <c r="D56" s="625" t="s">
        <v>633</v>
      </c>
      <c r="E56" s="633">
        <v>0</v>
      </c>
      <c r="F56" s="633">
        <v>0</v>
      </c>
      <c r="G56" s="633">
        <v>0</v>
      </c>
    </row>
    <row r="57" spans="1:8" ht="178.5" hidden="1" customHeight="1" x14ac:dyDescent="0.2">
      <c r="A57" s="1408"/>
      <c r="B57" s="1431"/>
      <c r="C57" s="985" t="s">
        <v>594</v>
      </c>
      <c r="D57" s="625" t="s">
        <v>634</v>
      </c>
      <c r="E57" s="633">
        <v>0</v>
      </c>
      <c r="F57" s="633">
        <v>0</v>
      </c>
      <c r="G57" s="633">
        <v>0</v>
      </c>
    </row>
    <row r="58" spans="1:8" ht="26.25" thickBot="1" x14ac:dyDescent="0.25">
      <c r="A58" s="1408"/>
      <c r="B58" s="1431"/>
      <c r="C58" s="985" t="s">
        <v>597</v>
      </c>
      <c r="D58" s="625" t="s">
        <v>635</v>
      </c>
      <c r="E58" s="633">
        <v>3650280</v>
      </c>
      <c r="F58" s="633">
        <v>3681060</v>
      </c>
      <c r="G58" s="633">
        <v>3712980</v>
      </c>
    </row>
    <row r="59" spans="1:8" ht="140.25" hidden="1" customHeight="1" x14ac:dyDescent="0.2">
      <c r="A59" s="1408"/>
      <c r="B59" s="1431"/>
      <c r="C59" s="985" t="s">
        <v>612</v>
      </c>
      <c r="D59" s="625" t="s">
        <v>636</v>
      </c>
      <c r="E59" s="633">
        <v>0</v>
      </c>
      <c r="F59" s="633">
        <v>0</v>
      </c>
      <c r="G59" s="633">
        <v>0</v>
      </c>
    </row>
    <row r="60" spans="1:8" ht="153" hidden="1" customHeight="1" x14ac:dyDescent="0.2">
      <c r="A60" s="1408"/>
      <c r="B60" s="1431"/>
      <c r="C60" s="985" t="s">
        <v>614</v>
      </c>
      <c r="D60" s="625" t="s">
        <v>637</v>
      </c>
      <c r="E60" s="633">
        <v>0</v>
      </c>
      <c r="F60" s="633">
        <v>0</v>
      </c>
      <c r="G60" s="633">
        <v>0</v>
      </c>
    </row>
    <row r="61" spans="1:8" ht="76.5" hidden="1" customHeight="1" x14ac:dyDescent="0.2">
      <c r="A61" s="1408"/>
      <c r="B61" s="1431"/>
      <c r="C61" s="985" t="s">
        <v>616</v>
      </c>
      <c r="D61" s="625" t="s">
        <v>638</v>
      </c>
      <c r="E61" s="633">
        <v>0</v>
      </c>
      <c r="F61" s="633">
        <v>0</v>
      </c>
      <c r="G61" s="633">
        <v>0</v>
      </c>
    </row>
    <row r="62" spans="1:8" ht="216.75" hidden="1" customHeight="1" x14ac:dyDescent="0.2">
      <c r="A62" s="1408"/>
      <c r="B62" s="1431"/>
      <c r="C62" s="985" t="s">
        <v>618</v>
      </c>
      <c r="D62" s="625" t="s">
        <v>639</v>
      </c>
      <c r="E62" s="633">
        <v>0</v>
      </c>
      <c r="F62" s="633">
        <v>0</v>
      </c>
      <c r="G62" s="633">
        <v>0</v>
      </c>
    </row>
    <row r="63" spans="1:8" ht="13.5" hidden="1" thickBot="1" x14ac:dyDescent="0.25">
      <c r="A63" s="1408"/>
      <c r="B63" s="1434">
        <v>2</v>
      </c>
      <c r="C63" s="1401" t="s">
        <v>640</v>
      </c>
      <c r="D63" s="1396"/>
      <c r="E63" s="514">
        <f>E64+E71+E76</f>
        <v>0</v>
      </c>
      <c r="F63" s="514">
        <f>F64+F71+F76</f>
        <v>0</v>
      </c>
      <c r="G63" s="514">
        <f>G64+G71+G76</f>
        <v>0</v>
      </c>
    </row>
    <row r="64" spans="1:8" ht="409.5" hidden="1" customHeight="1" x14ac:dyDescent="0.2">
      <c r="A64" s="1408"/>
      <c r="B64" s="1434"/>
      <c r="C64" s="983" t="s">
        <v>588</v>
      </c>
      <c r="D64" s="505" t="s">
        <v>641</v>
      </c>
      <c r="E64" s="513">
        <f>E65+E68</f>
        <v>0</v>
      </c>
      <c r="F64" s="513">
        <f>F65+F68</f>
        <v>0</v>
      </c>
      <c r="G64" s="513">
        <f>G65+G68</f>
        <v>0</v>
      </c>
    </row>
    <row r="65" spans="1:7" ht="216.75" hidden="1" customHeight="1" x14ac:dyDescent="0.2">
      <c r="A65" s="1408"/>
      <c r="B65" s="1434"/>
      <c r="C65" s="983"/>
      <c r="D65" s="506" t="s">
        <v>642</v>
      </c>
      <c r="E65" s="515">
        <f>E66+E67</f>
        <v>0</v>
      </c>
      <c r="F65" s="515">
        <f>F66+F67</f>
        <v>0</v>
      </c>
      <c r="G65" s="515">
        <f>G66+G67</f>
        <v>0</v>
      </c>
    </row>
    <row r="66" spans="1:7" ht="409.5" hidden="1" customHeight="1" x14ac:dyDescent="0.2">
      <c r="A66" s="1408"/>
      <c r="B66" s="1434"/>
      <c r="C66" s="983"/>
      <c r="D66" s="507" t="s">
        <v>643</v>
      </c>
      <c r="E66" s="515">
        <v>0</v>
      </c>
      <c r="F66" s="515">
        <v>0</v>
      </c>
      <c r="G66" s="515">
        <v>0</v>
      </c>
    </row>
    <row r="67" spans="1:7" ht="409.5" hidden="1" customHeight="1" x14ac:dyDescent="0.2">
      <c r="A67" s="1408"/>
      <c r="B67" s="1434"/>
      <c r="C67" s="983"/>
      <c r="D67" s="507" t="s">
        <v>644</v>
      </c>
      <c r="E67" s="515">
        <v>0</v>
      </c>
      <c r="F67" s="515">
        <v>0</v>
      </c>
      <c r="G67" s="515">
        <v>0</v>
      </c>
    </row>
    <row r="68" spans="1:7" ht="76.5" hidden="1" customHeight="1" x14ac:dyDescent="0.2">
      <c r="A68" s="1408"/>
      <c r="B68" s="1434"/>
      <c r="C68" s="983"/>
      <c r="D68" s="506" t="s">
        <v>645</v>
      </c>
      <c r="E68" s="515">
        <f>E69+E70</f>
        <v>0</v>
      </c>
      <c r="F68" s="515">
        <f>F69+F70</f>
        <v>0</v>
      </c>
      <c r="G68" s="515">
        <f>G69+G70</f>
        <v>0</v>
      </c>
    </row>
    <row r="69" spans="1:7" ht="216.75" hidden="1" customHeight="1" x14ac:dyDescent="0.2">
      <c r="A69" s="1408"/>
      <c r="B69" s="1434"/>
      <c r="C69" s="983"/>
      <c r="D69" s="507" t="s">
        <v>646</v>
      </c>
      <c r="E69" s="515">
        <v>0</v>
      </c>
      <c r="F69" s="515">
        <v>0</v>
      </c>
      <c r="G69" s="515">
        <v>0</v>
      </c>
    </row>
    <row r="70" spans="1:7" ht="318.75" hidden="1" customHeight="1" x14ac:dyDescent="0.2">
      <c r="A70" s="1408"/>
      <c r="B70" s="1434"/>
      <c r="C70" s="983"/>
      <c r="D70" s="507" t="s">
        <v>647</v>
      </c>
      <c r="E70" s="515">
        <v>0</v>
      </c>
      <c r="F70" s="515">
        <v>0</v>
      </c>
      <c r="G70" s="515">
        <v>0</v>
      </c>
    </row>
    <row r="71" spans="1:7" ht="216.75" hidden="1" customHeight="1" x14ac:dyDescent="0.2">
      <c r="A71" s="1408"/>
      <c r="B71" s="1434"/>
      <c r="C71" s="983" t="s">
        <v>592</v>
      </c>
      <c r="D71" s="505" t="s">
        <v>648</v>
      </c>
      <c r="E71" s="513">
        <f>SUM(E72:E75)</f>
        <v>0</v>
      </c>
      <c r="F71" s="513">
        <f>SUM(F72:F75)</f>
        <v>0</v>
      </c>
      <c r="G71" s="513">
        <f>SUM(G72:G75)</f>
        <v>0</v>
      </c>
    </row>
    <row r="72" spans="1:7" ht="318.75" hidden="1" customHeight="1" x14ac:dyDescent="0.2">
      <c r="A72" s="1408"/>
      <c r="B72" s="1434"/>
      <c r="C72" s="983"/>
      <c r="D72" s="506" t="s">
        <v>649</v>
      </c>
      <c r="E72" s="515">
        <v>0</v>
      </c>
      <c r="F72" s="515">
        <v>0</v>
      </c>
      <c r="G72" s="515">
        <v>0</v>
      </c>
    </row>
    <row r="73" spans="1:7" ht="76.5" hidden="1" customHeight="1" x14ac:dyDescent="0.2">
      <c r="A73" s="1408"/>
      <c r="B73" s="1434"/>
      <c r="C73" s="983"/>
      <c r="D73" s="506" t="s">
        <v>650</v>
      </c>
      <c r="E73" s="515">
        <v>0</v>
      </c>
      <c r="F73" s="515">
        <v>0</v>
      </c>
      <c r="G73" s="515">
        <v>0</v>
      </c>
    </row>
    <row r="74" spans="1:7" ht="76.5" hidden="1" customHeight="1" x14ac:dyDescent="0.2">
      <c r="A74" s="1408"/>
      <c r="B74" s="1434"/>
      <c r="C74" s="983"/>
      <c r="D74" s="506" t="s">
        <v>651</v>
      </c>
      <c r="E74" s="515">
        <v>0</v>
      </c>
      <c r="F74" s="515">
        <v>0</v>
      </c>
      <c r="G74" s="515">
        <v>0</v>
      </c>
    </row>
    <row r="75" spans="1:7" ht="369.75" hidden="1" customHeight="1" x14ac:dyDescent="0.2">
      <c r="A75" s="1408"/>
      <c r="B75" s="1434"/>
      <c r="C75" s="983"/>
      <c r="D75" s="506" t="s">
        <v>652</v>
      </c>
      <c r="E75" s="515">
        <v>0</v>
      </c>
      <c r="F75" s="515">
        <v>0</v>
      </c>
      <c r="G75" s="515">
        <v>0</v>
      </c>
    </row>
    <row r="76" spans="1:7" ht="369.75" hidden="1" customHeight="1" x14ac:dyDescent="0.2">
      <c r="A76" s="1408"/>
      <c r="B76" s="1434"/>
      <c r="C76" s="983" t="s">
        <v>594</v>
      </c>
      <c r="D76" s="505" t="s">
        <v>653</v>
      </c>
      <c r="E76" s="513">
        <f>E77+E80</f>
        <v>0</v>
      </c>
      <c r="F76" s="513">
        <f>F77+F80</f>
        <v>0</v>
      </c>
      <c r="G76" s="513">
        <f>G77+G80</f>
        <v>0</v>
      </c>
    </row>
    <row r="77" spans="1:7" ht="76.5" hidden="1" customHeight="1" x14ac:dyDescent="0.2">
      <c r="A77" s="1408"/>
      <c r="B77" s="1434"/>
      <c r="C77" s="983"/>
      <c r="D77" s="506" t="s">
        <v>654</v>
      </c>
      <c r="E77" s="515">
        <f>E78+E79</f>
        <v>0</v>
      </c>
      <c r="F77" s="515">
        <f>F78+F79</f>
        <v>0</v>
      </c>
      <c r="G77" s="515">
        <f>G78+G79</f>
        <v>0</v>
      </c>
    </row>
    <row r="78" spans="1:7" ht="382.5" hidden="1" customHeight="1" x14ac:dyDescent="0.2">
      <c r="A78" s="1408"/>
      <c r="B78" s="1434"/>
      <c r="C78" s="983"/>
      <c r="D78" s="507" t="s">
        <v>655</v>
      </c>
      <c r="E78" s="515">
        <v>0</v>
      </c>
      <c r="F78" s="515">
        <v>0</v>
      </c>
      <c r="G78" s="515">
        <v>0</v>
      </c>
    </row>
    <row r="79" spans="1:7" ht="382.5" hidden="1" customHeight="1" x14ac:dyDescent="0.2">
      <c r="A79" s="1408"/>
      <c r="B79" s="1434"/>
      <c r="C79" s="983"/>
      <c r="D79" s="507" t="s">
        <v>656</v>
      </c>
      <c r="E79" s="515">
        <v>0</v>
      </c>
      <c r="F79" s="515">
        <v>0</v>
      </c>
      <c r="G79" s="515">
        <v>0</v>
      </c>
    </row>
    <row r="80" spans="1:7" ht="230.25" hidden="1" customHeight="1" thickBot="1" x14ac:dyDescent="0.25">
      <c r="A80" s="1408"/>
      <c r="B80" s="1434"/>
      <c r="C80" s="983"/>
      <c r="D80" s="506" t="s">
        <v>657</v>
      </c>
      <c r="E80" s="515">
        <f>E81+E82</f>
        <v>0</v>
      </c>
      <c r="F80" s="515">
        <f>F81+F82</f>
        <v>0</v>
      </c>
      <c r="G80" s="515">
        <f>G81+G82</f>
        <v>0</v>
      </c>
    </row>
    <row r="81" spans="1:7" ht="178.5" hidden="1" customHeight="1" x14ac:dyDescent="0.2">
      <c r="A81" s="1408"/>
      <c r="B81" s="1434"/>
      <c r="C81" s="983"/>
      <c r="D81" s="507" t="s">
        <v>658</v>
      </c>
      <c r="E81" s="515">
        <v>0</v>
      </c>
      <c r="F81" s="515">
        <v>0</v>
      </c>
      <c r="G81" s="515">
        <v>0</v>
      </c>
    </row>
    <row r="82" spans="1:7" ht="14.25" hidden="1" customHeight="1" thickBot="1" x14ac:dyDescent="0.25">
      <c r="A82" s="1408"/>
      <c r="B82" s="1435"/>
      <c r="C82" s="984"/>
      <c r="D82" s="528" t="s">
        <v>659</v>
      </c>
      <c r="E82" s="529">
        <v>0</v>
      </c>
      <c r="F82" s="529">
        <v>0</v>
      </c>
      <c r="G82" s="529">
        <v>0</v>
      </c>
    </row>
    <row r="83" spans="1:7" ht="13.5" thickBot="1" x14ac:dyDescent="0.25">
      <c r="A83" s="1409"/>
      <c r="B83" s="1436" t="s">
        <v>660</v>
      </c>
      <c r="C83" s="1412"/>
      <c r="D83" s="1413"/>
      <c r="E83" s="527">
        <f>E54+E63</f>
        <v>3650280</v>
      </c>
      <c r="F83" s="527">
        <f>F54+F63</f>
        <v>3681060</v>
      </c>
      <c r="G83" s="527">
        <f>G54+G63</f>
        <v>3712980</v>
      </c>
    </row>
    <row r="84" spans="1:7" ht="13.5" thickBot="1" x14ac:dyDescent="0.25">
      <c r="A84" s="508"/>
      <c r="B84" s="509"/>
      <c r="C84" s="986"/>
      <c r="D84" s="509"/>
      <c r="E84" s="510"/>
      <c r="F84" s="510"/>
      <c r="G84" s="510"/>
    </row>
    <row r="85" spans="1:7" ht="13.5" customHeight="1" thickBot="1" x14ac:dyDescent="0.25">
      <c r="A85" s="1427" t="s">
        <v>663</v>
      </c>
      <c r="B85" s="1428"/>
      <c r="C85" s="1428"/>
      <c r="D85" s="1429"/>
      <c r="E85" s="530">
        <f>E83+E53+E35+E16</f>
        <v>108354459</v>
      </c>
      <c r="F85" s="530">
        <f>F83+F53+F35+F16</f>
        <v>141841913</v>
      </c>
      <c r="G85" s="530">
        <f>G83+G53+G35+G16</f>
        <v>166939448</v>
      </c>
    </row>
    <row r="86" spans="1:7" x14ac:dyDescent="0.2">
      <c r="A86" s="508"/>
      <c r="B86" s="509"/>
      <c r="C86" s="986"/>
      <c r="D86" s="509"/>
      <c r="F86" s="863"/>
      <c r="G86" s="863"/>
    </row>
    <row r="87" spans="1:7" ht="46.5" customHeight="1" x14ac:dyDescent="0.2">
      <c r="A87" s="1400" t="s">
        <v>1011</v>
      </c>
      <c r="B87" s="1400"/>
      <c r="C87" s="1400"/>
      <c r="D87" s="1400"/>
      <c r="E87" s="1400"/>
      <c r="F87" s="1400"/>
      <c r="G87" s="1400"/>
    </row>
    <row r="88" spans="1:7" ht="14.25" customHeight="1" thickBot="1" x14ac:dyDescent="0.25">
      <c r="A88" s="508"/>
      <c r="B88" s="508"/>
      <c r="C88" s="987"/>
      <c r="D88" s="519"/>
    </row>
    <row r="89" spans="1:7" ht="26.25" thickBot="1" x14ac:dyDescent="0.25">
      <c r="A89" s="1437" t="s">
        <v>12</v>
      </c>
      <c r="B89" s="1438"/>
      <c r="C89" s="1438"/>
      <c r="D89" s="1439"/>
      <c r="E89" s="517" t="s">
        <v>991</v>
      </c>
      <c r="F89" s="517" t="s">
        <v>963</v>
      </c>
      <c r="G89" s="517" t="s">
        <v>963</v>
      </c>
    </row>
    <row r="90" spans="1:7" x14ac:dyDescent="0.2">
      <c r="A90" s="520">
        <v>15</v>
      </c>
      <c r="B90" s="1402" t="s">
        <v>661</v>
      </c>
      <c r="C90" s="1403"/>
      <c r="D90" s="1404"/>
      <c r="E90" s="518">
        <v>0</v>
      </c>
      <c r="F90" s="518">
        <v>0</v>
      </c>
      <c r="G90" s="518">
        <v>0</v>
      </c>
    </row>
    <row r="91" spans="1:7" x14ac:dyDescent="0.2">
      <c r="A91" s="873">
        <v>16</v>
      </c>
      <c r="B91" s="1401" t="s">
        <v>990</v>
      </c>
      <c r="C91" s="1395"/>
      <c r="D91" s="1396"/>
      <c r="E91" s="874"/>
      <c r="F91" s="874">
        <v>1800000</v>
      </c>
      <c r="G91" s="874"/>
    </row>
    <row r="92" spans="1:7" x14ac:dyDescent="0.2">
      <c r="A92" s="1145">
        <v>17</v>
      </c>
      <c r="B92" s="1401" t="s">
        <v>662</v>
      </c>
      <c r="C92" s="1395"/>
      <c r="D92" s="1396"/>
      <c r="E92" s="514">
        <v>7765</v>
      </c>
      <c r="F92" s="968">
        <v>7711</v>
      </c>
      <c r="G92" s="968"/>
    </row>
    <row r="93" spans="1:7" x14ac:dyDescent="0.2">
      <c r="A93" s="1145"/>
      <c r="B93" s="1394" t="s">
        <v>1189</v>
      </c>
      <c r="C93" s="1395"/>
      <c r="D93" s="1396"/>
      <c r="E93" s="514"/>
      <c r="F93" s="968">
        <v>128524</v>
      </c>
      <c r="G93" s="968"/>
    </row>
    <row r="94" spans="1:7" ht="13.5" thickBot="1" x14ac:dyDescent="0.25">
      <c r="A94" s="521"/>
      <c r="B94" s="1397" t="s">
        <v>1190</v>
      </c>
      <c r="C94" s="1398"/>
      <c r="D94" s="1399"/>
      <c r="E94" s="516"/>
      <c r="F94" s="969">
        <v>7000</v>
      </c>
      <c r="G94" s="969"/>
    </row>
  </sheetData>
  <mergeCells count="38">
    <mergeCell ref="A2:G2"/>
    <mergeCell ref="A4:D4"/>
    <mergeCell ref="A5:A16"/>
    <mergeCell ref="B5:B13"/>
    <mergeCell ref="C5:D5"/>
    <mergeCell ref="C15:D15"/>
    <mergeCell ref="B16:D16"/>
    <mergeCell ref="C29:D29"/>
    <mergeCell ref="C17:D17"/>
    <mergeCell ref="B92:D92"/>
    <mergeCell ref="A85:D85"/>
    <mergeCell ref="A54:A83"/>
    <mergeCell ref="B54:B62"/>
    <mergeCell ref="C54:D54"/>
    <mergeCell ref="B63:B82"/>
    <mergeCell ref="C63:D63"/>
    <mergeCell ref="B83:D83"/>
    <mergeCell ref="A89:D89"/>
    <mergeCell ref="B25:B27"/>
    <mergeCell ref="C32:D32"/>
    <mergeCell ref="B35:D35"/>
    <mergeCell ref="B17:B24"/>
    <mergeCell ref="B93:D93"/>
    <mergeCell ref="B94:D94"/>
    <mergeCell ref="A1:G1"/>
    <mergeCell ref="A87:G87"/>
    <mergeCell ref="B91:D91"/>
    <mergeCell ref="B90:D90"/>
    <mergeCell ref="C36:D36"/>
    <mergeCell ref="A36:A53"/>
    <mergeCell ref="B50:B52"/>
    <mergeCell ref="C50:D50"/>
    <mergeCell ref="B53:D53"/>
    <mergeCell ref="A17:A35"/>
    <mergeCell ref="B37:B49"/>
    <mergeCell ref="C37:D37"/>
    <mergeCell ref="B29:B31"/>
    <mergeCell ref="B32:B3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H144"/>
  <sheetViews>
    <sheetView view="pageLayout" zoomScaleNormal="100" zoomScaleSheetLayoutView="100" workbookViewId="0">
      <selection activeCell="F84" sqref="F84:F85"/>
    </sheetView>
  </sheetViews>
  <sheetFormatPr defaultColWidth="9.33203125" defaultRowHeight="15.75" x14ac:dyDescent="0.25"/>
  <cols>
    <col min="1" max="1" width="9.6640625" style="433" bestFit="1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36" customHeight="1" x14ac:dyDescent="0.25">
      <c r="A1" s="1319" t="s">
        <v>900</v>
      </c>
      <c r="B1" s="1319"/>
      <c r="C1" s="1319"/>
      <c r="D1" s="637"/>
      <c r="E1" s="637"/>
      <c r="F1" s="637"/>
    </row>
    <row r="2" spans="1:6" ht="15.95" customHeight="1" thickBot="1" x14ac:dyDescent="0.3">
      <c r="A2" s="1321" t="s">
        <v>99</v>
      </c>
      <c r="B2" s="132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f>+C6+C11+C20</f>
        <v>116870</v>
      </c>
      <c r="D5" s="641">
        <f>+D6+D11+D20</f>
        <v>100553</v>
      </c>
      <c r="E5" s="1239">
        <f>+E6+E11+E20</f>
        <v>129230</v>
      </c>
      <c r="F5" s="1243">
        <f>+F6+F11+F20</f>
        <v>119095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3">
        <f>+C7+C8+C9+C10</f>
        <v>95825</v>
      </c>
      <c r="D6" s="644">
        <f>+D7+D8+D9+D10</f>
        <v>79070</v>
      </c>
      <c r="E6" s="643">
        <f>+E7+E8+E9+E10</f>
        <v>98689</v>
      </c>
      <c r="F6" s="689">
        <f>+F7+F8+F9+F10</f>
        <v>88219</v>
      </c>
    </row>
    <row r="7" spans="1:6" s="1" customFormat="1" ht="12" customHeight="1" x14ac:dyDescent="0.2">
      <c r="A7" s="16" t="s">
        <v>63</v>
      </c>
      <c r="B7" s="417" t="s">
        <v>947</v>
      </c>
      <c r="C7" s="646">
        <f>'1.2.sz.mell. _köt'!C7+'1.3.sz.mell._önk'!C7+'1.4.sz.mell._állig'!C7</f>
        <v>92782</v>
      </c>
      <c r="D7" s="647">
        <f>'1.2.sz.mell. _köt'!D7+'1.3.sz.mell._önk'!D7+'1.4.sz.mell._állig'!D7</f>
        <v>76570</v>
      </c>
      <c r="E7" s="646">
        <f>'1.2.sz.mell. _köt'!E7+'1.3.sz.mell._önk'!E7+'1.4.sz.mell._állig'!E7</f>
        <v>96496</v>
      </c>
      <c r="F7" s="912">
        <f>'1.2.sz.mell. _köt'!F7+'1.3.sz.mell._önk'!F7+'1.4.sz.mell._állig'!F7</f>
        <v>86026</v>
      </c>
    </row>
    <row r="8" spans="1:6" s="1" customFormat="1" ht="12" customHeight="1" x14ac:dyDescent="0.2">
      <c r="A8" s="16" t="s">
        <v>64</v>
      </c>
      <c r="B8" s="336" t="s">
        <v>33</v>
      </c>
      <c r="C8" s="646">
        <f>'1.2.sz.mell. _köt'!C8+'1.3.sz.mell._önk'!C8+'1.4.sz.mell._állig'!C8</f>
        <v>0</v>
      </c>
      <c r="D8" s="647">
        <f>'1.2.sz.mell. _köt'!D8+'1.3.sz.mell._önk'!D8+'1.4.sz.mell._állig'!D8</f>
        <v>0</v>
      </c>
      <c r="E8" s="646">
        <f>'1.2.sz.mell. _köt'!E8+'1.3.sz.mell._önk'!E8+'1.4.sz.mell._állig'!E8</f>
        <v>0</v>
      </c>
      <c r="F8" s="912">
        <f>'1.2.sz.mell. _köt'!F8+'1.3.sz.mell._önk'!F8+'1.4.sz.mell._állig'!F8</f>
        <v>0</v>
      </c>
    </row>
    <row r="9" spans="1:6" s="1" customFormat="1" ht="12" customHeight="1" x14ac:dyDescent="0.2">
      <c r="A9" s="16" t="s">
        <v>65</v>
      </c>
      <c r="B9" s="336" t="s">
        <v>126</v>
      </c>
      <c r="C9" s="646">
        <f>'1.2.sz.mell. _köt'!C9+'1.3.sz.mell._önk'!C9+'1.4.sz.mell._állig'!C9</f>
        <v>2094</v>
      </c>
      <c r="D9" s="647">
        <f>'1.2.sz.mell. _köt'!D9+'1.3.sz.mell._önk'!D9+'1.4.sz.mell._állig'!D9</f>
        <v>2000</v>
      </c>
      <c r="E9" s="646">
        <f>'1.2.sz.mell. _köt'!E9+'1.3.sz.mell._önk'!E9+'1.4.sz.mell._állig'!E9</f>
        <v>1592</v>
      </c>
      <c r="F9" s="912">
        <f>'1.2.sz.mell. _köt'!F9+'1.3.sz.mell._önk'!F9+'1.4.sz.mell._állig'!F9</f>
        <v>1592</v>
      </c>
    </row>
    <row r="10" spans="1:6" s="1" customFormat="1" ht="12" customHeight="1" thickBot="1" x14ac:dyDescent="0.25">
      <c r="A10" s="16" t="s">
        <v>66</v>
      </c>
      <c r="B10" s="418" t="s">
        <v>127</v>
      </c>
      <c r="C10" s="646">
        <f>'1.2.sz.mell. _köt'!C10+'1.3.sz.mell._önk'!C10+'1.4.sz.mell._állig'!C10</f>
        <v>949</v>
      </c>
      <c r="D10" s="647">
        <f>'1.2.sz.mell. _köt'!D10+'1.3.sz.mell._önk'!D10+'1.4.sz.mell._állig'!D10</f>
        <v>500</v>
      </c>
      <c r="E10" s="646">
        <f>'1.2.sz.mell. _köt'!E10+'1.3.sz.mell._önk'!E10+'1.4.sz.mell._állig'!E10</f>
        <v>601</v>
      </c>
      <c r="F10" s="912">
        <f>'1.2.sz.mell. _köt'!F10+'1.3.sz.mell._önk'!F10+'1.4.sz.mell._állig'!F10</f>
        <v>601</v>
      </c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f>+C12+C13+C14+C15+C16+C17+C18+C19</f>
        <v>13212</v>
      </c>
      <c r="D11" s="644">
        <f>+D12+D13+D14+D15+D16+D17+D18+D19</f>
        <v>13483</v>
      </c>
      <c r="E11" s="643">
        <f>+E12+E13+E14+E15+E16+E17+E18+E19</f>
        <v>22409</v>
      </c>
      <c r="F11" s="689">
        <f>+F12+F13+F14+F15+F16+F17+F18+F19</f>
        <v>22744</v>
      </c>
    </row>
    <row r="12" spans="1:6" s="1" customFormat="1" ht="12" customHeight="1" x14ac:dyDescent="0.2">
      <c r="A12" s="20" t="s">
        <v>37</v>
      </c>
      <c r="B12" s="12" t="s">
        <v>133</v>
      </c>
      <c r="C12" s="646">
        <f>'1.2.sz.mell. _köt'!C12+'1.3.sz.mell._önk'!C12+'1.4.sz.mell._állig'!C12</f>
        <v>0</v>
      </c>
      <c r="D12" s="647">
        <f>'1.2.sz.mell. _köt'!D12+'1.3.sz.mell._önk'!D12+'1.4.sz.mell._állig'!D12</f>
        <v>0</v>
      </c>
      <c r="E12" s="646">
        <f>'1.2.sz.mell. _köt'!E12+'1.3.sz.mell._önk'!E12+'1.4.sz.mell._állig'!E12</f>
        <v>696</v>
      </c>
      <c r="F12" s="912">
        <f>'1.2.sz.mell. _köt'!F12+'1.3.sz.mell._önk'!F12+'1.4.sz.mell._állig'!F12</f>
        <v>696</v>
      </c>
    </row>
    <row r="13" spans="1:6" s="1" customFormat="1" ht="12" customHeight="1" x14ac:dyDescent="0.2">
      <c r="A13" s="16" t="s">
        <v>38</v>
      </c>
      <c r="B13" s="9" t="s">
        <v>134</v>
      </c>
      <c r="C13" s="646">
        <f>'1.2.sz.mell. _köt'!C13+'1.3.sz.mell._önk'!C13+'1.4.sz.mell._állig'!C13</f>
        <v>257</v>
      </c>
      <c r="D13" s="647">
        <f>'1.2.sz.mell. _köt'!D13+'1.3.sz.mell._önk'!D13+'1.4.sz.mell._állig'!D13</f>
        <v>50</v>
      </c>
      <c r="E13" s="646">
        <f>'1.2.sz.mell. _köt'!E13+'1.3.sz.mell._önk'!E13+'1.4.sz.mell._állig'!E13</f>
        <v>511</v>
      </c>
      <c r="F13" s="912">
        <f>'1.2.sz.mell. _köt'!F13+'1.3.sz.mell._önk'!F13+'1.4.sz.mell._állig'!F13</f>
        <v>561</v>
      </c>
    </row>
    <row r="14" spans="1:6" s="1" customFormat="1" ht="12" customHeight="1" x14ac:dyDescent="0.2">
      <c r="A14" s="16" t="s">
        <v>39</v>
      </c>
      <c r="B14" s="9" t="s">
        <v>135</v>
      </c>
      <c r="C14" s="646">
        <f>'1.2.sz.mell. _köt'!C14+'1.3.sz.mell._önk'!C14+'1.4.sz.mell._állig'!C14</f>
        <v>6422</v>
      </c>
      <c r="D14" s="647">
        <f>'1.2.sz.mell. _köt'!D14+'1.3.sz.mell._önk'!D14+'1.4.sz.mell._állig'!D14</f>
        <v>7223</v>
      </c>
      <c r="E14" s="646">
        <f>'1.2.sz.mell. _köt'!E14+'1.3.sz.mell._önk'!E14+'1.4.sz.mell._állig'!E14</f>
        <v>16098</v>
      </c>
      <c r="F14" s="912">
        <f>'1.2.sz.mell. _köt'!F14+'1.3.sz.mell._önk'!F14+'1.4.sz.mell._állig'!F14</f>
        <v>16098</v>
      </c>
    </row>
    <row r="15" spans="1:6" s="1" customFormat="1" ht="12" customHeight="1" x14ac:dyDescent="0.2">
      <c r="A15" s="16" t="s">
        <v>40</v>
      </c>
      <c r="B15" s="9" t="s">
        <v>136</v>
      </c>
      <c r="C15" s="646">
        <f>'1.2.sz.mell. _köt'!C15+'1.3.sz.mell._önk'!C15+'1.4.sz.mell._állig'!C15</f>
        <v>6056</v>
      </c>
      <c r="D15" s="647">
        <f>'1.2.sz.mell. _köt'!D15+'1.3.sz.mell._önk'!D15+'1.4.sz.mell._állig'!D15</f>
        <v>4996</v>
      </c>
      <c r="E15" s="646">
        <f>'1.2.sz.mell. _köt'!E15+'1.3.sz.mell._önk'!E15+'1.4.sz.mell._állig'!E15</f>
        <v>4040</v>
      </c>
      <c r="F15" s="912">
        <f>'1.2.sz.mell. _köt'!F15+'1.3.sz.mell._önk'!F15+'1.4.sz.mell._állig'!F15</f>
        <v>4040</v>
      </c>
    </row>
    <row r="16" spans="1:6" s="1" customFormat="1" ht="12" customHeight="1" x14ac:dyDescent="0.2">
      <c r="A16" s="15" t="s">
        <v>129</v>
      </c>
      <c r="B16" s="8" t="s">
        <v>137</v>
      </c>
      <c r="C16" s="646">
        <f>'1.2.sz.mell. _köt'!C16+'1.3.sz.mell._önk'!C16+'1.4.sz.mell._állig'!C16</f>
        <v>0</v>
      </c>
      <c r="D16" s="647">
        <f>'1.2.sz.mell. _köt'!D16+'1.3.sz.mell._önk'!D16+'1.4.sz.mell._állig'!D16</f>
        <v>0</v>
      </c>
      <c r="E16" s="646">
        <f>'1.2.sz.mell. _köt'!E16+'1.3.sz.mell._önk'!E16+'1.4.sz.mell._állig'!E16</f>
        <v>0</v>
      </c>
      <c r="F16" s="912">
        <f>'1.2.sz.mell. _köt'!F16+'1.3.sz.mell._önk'!F16+'1.4.sz.mell._állig'!F16</f>
        <v>0</v>
      </c>
    </row>
    <row r="17" spans="1:6" s="1" customFormat="1" ht="12" customHeight="1" x14ac:dyDescent="0.2">
      <c r="A17" s="16" t="s">
        <v>130</v>
      </c>
      <c r="B17" s="9" t="s">
        <v>240</v>
      </c>
      <c r="C17" s="646">
        <f>'1.2.sz.mell. _köt'!C17+'1.3.sz.mell._önk'!C17+'1.4.sz.mell._állig'!C17</f>
        <v>218</v>
      </c>
      <c r="D17" s="647">
        <f>'1.2.sz.mell. _köt'!D17+'1.3.sz.mell._önk'!D17+'1.4.sz.mell._állig'!D17</f>
        <v>1214</v>
      </c>
      <c r="E17" s="646">
        <f>'1.2.sz.mell. _köt'!E17+'1.3.sz.mell._önk'!E17+'1.4.sz.mell._állig'!E17</f>
        <v>1064</v>
      </c>
      <c r="F17" s="912">
        <f>'1.2.sz.mell. _köt'!F17+'1.3.sz.mell._önk'!F17+'1.4.sz.mell._állig'!F17</f>
        <v>1064</v>
      </c>
    </row>
    <row r="18" spans="1:6" s="1" customFormat="1" ht="12" customHeight="1" x14ac:dyDescent="0.2">
      <c r="A18" s="16" t="s">
        <v>131</v>
      </c>
      <c r="B18" s="9" t="s">
        <v>139</v>
      </c>
      <c r="C18" s="646">
        <f>'1.2.sz.mell. _köt'!C18+'1.3.sz.mell._önk'!C18+'1.4.sz.mell._állig'!C18</f>
        <v>0</v>
      </c>
      <c r="D18" s="647">
        <f>'1.2.sz.mell. _köt'!D18+'1.3.sz.mell._önk'!D18+'1.4.sz.mell._állig'!D18</f>
        <v>0</v>
      </c>
      <c r="E18" s="646">
        <f>'1.2.sz.mell. _köt'!E18+'1.3.sz.mell._önk'!E18+'1.4.sz.mell._állig'!E18</f>
        <v>0</v>
      </c>
      <c r="F18" s="912">
        <f>'1.2.sz.mell. _köt'!F18+'1.3.sz.mell._önk'!F18+'1.4.sz.mell._állig'!F18</f>
        <v>0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46">
        <f>'1.2.sz.mell. _köt'!C19+'1.3.sz.mell._önk'!C19+'1.4.sz.mell._állig'!C19</f>
        <v>259</v>
      </c>
      <c r="D19" s="647">
        <f>'1.2.sz.mell. _köt'!D19+'1.3.sz.mell._önk'!D19+'1.4.sz.mell._állig'!D19</f>
        <v>0</v>
      </c>
      <c r="E19" s="646">
        <f>'1.2.sz.mell. _köt'!E19+'1.3.sz.mell._önk'!E19+'1.4.sz.mell._állig'!E19</f>
        <v>0</v>
      </c>
      <c r="F19" s="912">
        <f>'1.2.sz.mell. _köt'!F19+'1.3.sz.mell._önk'!F19+'1.4.sz.mell._állig'!F19</f>
        <v>285</v>
      </c>
    </row>
    <row r="20" spans="1:6" s="1" customFormat="1" ht="12" customHeight="1" thickBot="1" x14ac:dyDescent="0.25">
      <c r="A20" s="23" t="s">
        <v>141</v>
      </c>
      <c r="B20" s="24" t="s">
        <v>241</v>
      </c>
      <c r="C20" s="649">
        <f>'1.2.sz.mell. _köt'!C20+'1.3.sz.mell._önk'!C20+'1.4.sz.mell._állig'!C20</f>
        <v>7833</v>
      </c>
      <c r="D20" s="650">
        <f>'1.2.sz.mell. _köt'!D20+'1.3.sz.mell._önk'!D20+'1.4.sz.mell._állig'!D20</f>
        <v>8000</v>
      </c>
      <c r="E20" s="655">
        <f>'1.2.sz.mell. _köt'!E20+'1.3.sz.mell._önk'!E20+'1.4.sz.mell._állig'!E20</f>
        <v>8132</v>
      </c>
      <c r="F20" s="1244">
        <f>'1.2.sz.mell. _köt'!F20+'1.3.sz.mell._önk'!F20+'1.4.sz.mell._állig'!F20</f>
        <v>8132</v>
      </c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f>+C22+C23+C24+C25+C26+C27+C28+C29</f>
        <v>136964</v>
      </c>
      <c r="D21" s="644">
        <f>+D22+D23+D24+D25+D26+D27+D28+D29</f>
        <v>154410</v>
      </c>
      <c r="E21" s="643">
        <f>+E22+E23+E24+E25+E26+E27+E28+E29</f>
        <v>166940</v>
      </c>
      <c r="F21" s="689">
        <f>+F22+F23+F24+F25+F26+F27+F28+F29</f>
        <v>169349</v>
      </c>
    </row>
    <row r="22" spans="1:6" s="1" customFormat="1" ht="12" customHeight="1" x14ac:dyDescent="0.2">
      <c r="A22" s="18" t="s">
        <v>41</v>
      </c>
      <c r="B22" s="11" t="s">
        <v>838</v>
      </c>
      <c r="C22" s="646">
        <f>'1.2.sz.mell. _köt'!C22+'1.3.sz.mell._önk'!C22+'1.4.sz.mell._állig'!C22</f>
        <v>122087</v>
      </c>
      <c r="D22" s="647">
        <f>'1.2.sz.mell. _köt'!D22+'1.3.sz.mell._önk'!D22+'1.4.sz.mell._állig'!D22</f>
        <v>149564</v>
      </c>
      <c r="E22" s="646">
        <f>'1.2.sz.mell. _köt'!E22+'1.3.sz.mell._önk'!E22+'1.4.sz.mell._állig'!E22</f>
        <v>166940</v>
      </c>
      <c r="F22" s="912">
        <f>'1.2.sz.mell. _köt'!F22+'1.3.sz.mell._önk'!F22+'1.4.sz.mell._állig'!F22</f>
        <v>169349</v>
      </c>
    </row>
    <row r="23" spans="1:6" s="1" customFormat="1" ht="12" customHeight="1" x14ac:dyDescent="0.2">
      <c r="A23" s="16" t="s">
        <v>42</v>
      </c>
      <c r="B23" s="9" t="s">
        <v>149</v>
      </c>
      <c r="C23" s="646">
        <f>'1.2.sz.mell. _köt'!C23+'1.3.sz.mell._önk'!C23+'1.4.sz.mell._állig'!C23</f>
        <v>5457</v>
      </c>
      <c r="D23" s="647">
        <f>'1.2.sz.mell. _köt'!D23+'1.3.sz.mell._önk'!D23+'1.4.sz.mell._állig'!D23</f>
        <v>1943</v>
      </c>
      <c r="E23" s="646">
        <f>'1.2.sz.mell. _köt'!E23+'1.3.sz.mell._önk'!E23+'1.4.sz.mell._állig'!E23</f>
        <v>0</v>
      </c>
      <c r="F23" s="912">
        <f>'1.2.sz.mell. _köt'!F23+'1.3.sz.mell._önk'!F23+'1.4.sz.mell._állig'!F23</f>
        <v>0</v>
      </c>
    </row>
    <row r="24" spans="1:6" s="1" customFormat="1" ht="12" customHeight="1" x14ac:dyDescent="0.2">
      <c r="A24" s="16" t="s">
        <v>43</v>
      </c>
      <c r="B24" s="9" t="s">
        <v>46</v>
      </c>
      <c r="C24" s="646">
        <f>'1.2.sz.mell. _köt'!C24+'1.3.sz.mell._önk'!C24+'1.4.sz.mell._állig'!C24</f>
        <v>0</v>
      </c>
      <c r="D24" s="647">
        <f>'1.2.sz.mell. _köt'!D24+'1.3.sz.mell._önk'!D24+'1.4.sz.mell._állig'!D24</f>
        <v>966</v>
      </c>
      <c r="E24" s="646">
        <f>'1.2.sz.mell. _köt'!E24+'1.3.sz.mell._önk'!E24+'1.4.sz.mell._állig'!E24</f>
        <v>0</v>
      </c>
      <c r="F24" s="912">
        <f>'1.2.sz.mell. _köt'!F24+'1.3.sz.mell._önk'!F24+'1.4.sz.mell._állig'!F24</f>
        <v>0</v>
      </c>
    </row>
    <row r="25" spans="1:6" s="1" customFormat="1" ht="12" customHeight="1" x14ac:dyDescent="0.2">
      <c r="A25" s="19" t="s">
        <v>144</v>
      </c>
      <c r="B25" s="9" t="s">
        <v>150</v>
      </c>
      <c r="C25" s="646">
        <f>'1.2.sz.mell. _köt'!C25+'1.3.sz.mell._önk'!C25+'1.4.sz.mell._állig'!C25</f>
        <v>9420</v>
      </c>
      <c r="D25" s="647">
        <f>'1.2.sz.mell. _köt'!D25+'1.3.sz.mell._önk'!D25+'1.4.sz.mell._állig'!D25</f>
        <v>0</v>
      </c>
      <c r="E25" s="646">
        <f>'1.2.sz.mell. _köt'!E25+'1.3.sz.mell._önk'!E25+'1.4.sz.mell._állig'!E25</f>
        <v>0</v>
      </c>
      <c r="F25" s="912">
        <f>'1.2.sz.mell. _köt'!F25+'1.3.sz.mell._önk'!F25+'1.4.sz.mell._állig'!F25</f>
        <v>0</v>
      </c>
    </row>
    <row r="26" spans="1:6" s="1" customFormat="1" ht="12" customHeight="1" x14ac:dyDescent="0.2">
      <c r="A26" s="19" t="s">
        <v>145</v>
      </c>
      <c r="B26" s="9" t="s">
        <v>151</v>
      </c>
      <c r="C26" s="646">
        <f>'1.2.sz.mell. _köt'!C26+'1.3.sz.mell._önk'!C26+'1.4.sz.mell._állig'!C26</f>
        <v>0</v>
      </c>
      <c r="D26" s="647">
        <f>'1.2.sz.mell. _köt'!D26+'1.3.sz.mell._önk'!D26+'1.4.sz.mell._állig'!D26</f>
        <v>0</v>
      </c>
      <c r="E26" s="646">
        <f>'1.2.sz.mell. _köt'!E26+'1.3.sz.mell._önk'!E26+'1.4.sz.mell._állig'!E26</f>
        <v>0</v>
      </c>
      <c r="F26" s="912">
        <f>'1.2.sz.mell. _köt'!F26+'1.3.sz.mell._önk'!F26+'1.4.sz.mell._állig'!F26</f>
        <v>0</v>
      </c>
    </row>
    <row r="27" spans="1:6" s="1" customFormat="1" ht="12" customHeight="1" x14ac:dyDescent="0.2">
      <c r="A27" s="16" t="s">
        <v>146</v>
      </c>
      <c r="B27" s="9" t="s">
        <v>152</v>
      </c>
      <c r="C27" s="646">
        <f>'1.2.sz.mell. _köt'!C27+'1.3.sz.mell._önk'!C27+'1.4.sz.mell._állig'!C27</f>
        <v>0</v>
      </c>
      <c r="D27" s="647">
        <f>'1.2.sz.mell. _köt'!D27+'1.3.sz.mell._önk'!D27+'1.4.sz.mell._állig'!D27</f>
        <v>0</v>
      </c>
      <c r="E27" s="646">
        <f>'1.2.sz.mell. _köt'!E27+'1.3.sz.mell._önk'!E27+'1.4.sz.mell._állig'!E27</f>
        <v>0</v>
      </c>
      <c r="F27" s="912">
        <f>'1.2.sz.mell. _köt'!F27+'1.3.sz.mell._önk'!F27+'1.4.sz.mell._állig'!F27</f>
        <v>0</v>
      </c>
    </row>
    <row r="28" spans="1:6" s="1" customFormat="1" ht="12" customHeight="1" x14ac:dyDescent="0.2">
      <c r="A28" s="16" t="s">
        <v>147</v>
      </c>
      <c r="B28" s="9" t="s">
        <v>242</v>
      </c>
      <c r="C28" s="646">
        <f>'1.2.sz.mell. _köt'!C28+'1.3.sz.mell._önk'!C28+'1.4.sz.mell._állig'!C28</f>
        <v>0</v>
      </c>
      <c r="D28" s="647">
        <f>'1.2.sz.mell. _köt'!D28+'1.3.sz.mell._önk'!D28+'1.4.sz.mell._állig'!D28</f>
        <v>0</v>
      </c>
      <c r="E28" s="646">
        <f>'1.2.sz.mell. _köt'!E28+'1.3.sz.mell._önk'!E28+'1.4.sz.mell._állig'!E28</f>
        <v>0</v>
      </c>
      <c r="F28" s="912">
        <f>'1.2.sz.mell. _köt'!F28+'1.3.sz.mell._önk'!F28+'1.4.sz.mell._állig'!F28</f>
        <v>0</v>
      </c>
    </row>
    <row r="29" spans="1:6" s="1" customFormat="1" ht="12" customHeight="1" thickBot="1" x14ac:dyDescent="0.25">
      <c r="A29" s="16" t="s">
        <v>148</v>
      </c>
      <c r="B29" s="14" t="s">
        <v>153</v>
      </c>
      <c r="C29" s="646">
        <f>'1.2.sz.mell. _köt'!C29+'1.3.sz.mell._önk'!C29+'1.4.sz.mell._állig'!C29</f>
        <v>0</v>
      </c>
      <c r="D29" s="647">
        <f>'1.2.sz.mell. _köt'!D29+'1.3.sz.mell._önk'!D29+'1.4.sz.mell._állig'!D29</f>
        <v>1937</v>
      </c>
      <c r="E29" s="646">
        <f>'1.2.sz.mell. _köt'!E29+'1.3.sz.mell._önk'!E29+'1.4.sz.mell._állig'!E29</f>
        <v>0</v>
      </c>
      <c r="F29" s="912">
        <f>'1.2.sz.mell. _köt'!F29+'1.3.sz.mell._önk'!F29+'1.4.sz.mell._állig'!F29</f>
        <v>0</v>
      </c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f>+C31+C37</f>
        <v>16051</v>
      </c>
      <c r="D30" s="644">
        <f>+D31+D37</f>
        <v>37895</v>
      </c>
      <c r="E30" s="643">
        <f>+E31+E37</f>
        <v>22434</v>
      </c>
      <c r="F30" s="689">
        <f>+F31+F37</f>
        <v>22434</v>
      </c>
    </row>
    <row r="31" spans="1:6" s="1" customFormat="1" ht="12" customHeight="1" x14ac:dyDescent="0.2">
      <c r="A31" s="316" t="s">
        <v>44</v>
      </c>
      <c r="B31" s="419" t="s">
        <v>378</v>
      </c>
      <c r="C31" s="651">
        <f>+C32+C33+C34+C35+C36</f>
        <v>14598</v>
      </c>
      <c r="D31" s="652">
        <f>+D32+D33+D34+D35+D36</f>
        <v>22134</v>
      </c>
      <c r="E31" s="651">
        <f>+E32+E33+E34+E35+E36</f>
        <v>10419</v>
      </c>
      <c r="F31" s="1245">
        <f>+F32+F33+F34+F35+F36</f>
        <v>10419</v>
      </c>
    </row>
    <row r="32" spans="1:6" s="1" customFormat="1" ht="12" customHeight="1" x14ac:dyDescent="0.2">
      <c r="A32" s="317" t="s">
        <v>47</v>
      </c>
      <c r="B32" s="323" t="s">
        <v>243</v>
      </c>
      <c r="C32" s="646">
        <f>'1.2.sz.mell. _köt'!C32+'1.3.sz.mell._önk'!C32+'1.4.sz.mell._állig'!C32</f>
        <v>4192</v>
      </c>
      <c r="D32" s="647">
        <f>'1.2.sz.mell. _köt'!D32+'1.3.sz.mell._önk'!D32+'1.4.sz.mell._állig'!D32</f>
        <v>3996</v>
      </c>
      <c r="E32" s="646">
        <f>'1.2.sz.mell. _köt'!E32+'1.3.sz.mell._önk'!E32+'1.4.sz.mell._állig'!E32</f>
        <v>4696</v>
      </c>
      <c r="F32" s="912">
        <f>'1.2.sz.mell. _köt'!F32+'1.3.sz.mell._önk'!F32+'1.4.sz.mell._állig'!F32</f>
        <v>4696</v>
      </c>
    </row>
    <row r="33" spans="1:6" s="1" customFormat="1" ht="12" customHeight="1" x14ac:dyDescent="0.2">
      <c r="A33" s="317" t="s">
        <v>48</v>
      </c>
      <c r="B33" s="323" t="s">
        <v>244</v>
      </c>
      <c r="C33" s="646">
        <f>'1.2.sz.mell. _köt'!C33+'1.3.sz.mell._önk'!C33+'1.4.sz.mell._állig'!C33</f>
        <v>0</v>
      </c>
      <c r="D33" s="647">
        <f>'1.2.sz.mell. _köt'!D33+'1.3.sz.mell._önk'!D33+'1.4.sz.mell._állig'!D33</f>
        <v>0</v>
      </c>
      <c r="E33" s="646">
        <f>'1.2.sz.mell. _köt'!E33+'1.3.sz.mell._önk'!E33+'1.4.sz.mell._állig'!E33</f>
        <v>0</v>
      </c>
      <c r="F33" s="912">
        <f>'1.2.sz.mell. _köt'!F33+'1.3.sz.mell._önk'!F33+'1.4.sz.mell._állig'!F33</f>
        <v>0</v>
      </c>
    </row>
    <row r="34" spans="1:6" s="1" customFormat="1" ht="12" customHeight="1" x14ac:dyDescent="0.2">
      <c r="A34" s="317" t="s">
        <v>49</v>
      </c>
      <c r="B34" s="323" t="s">
        <v>245</v>
      </c>
      <c r="C34" s="646">
        <f>'1.2.sz.mell. _köt'!C34+'1.3.sz.mell._önk'!C34+'1.4.sz.mell._állig'!C34</f>
        <v>0</v>
      </c>
      <c r="D34" s="647">
        <f>'1.2.sz.mell. _köt'!D34+'1.3.sz.mell._önk'!D34+'1.4.sz.mell._állig'!D34</f>
        <v>0</v>
      </c>
      <c r="E34" s="646">
        <f>'1.2.sz.mell. _köt'!E34+'1.3.sz.mell._önk'!E34+'1.4.sz.mell._állig'!E34</f>
        <v>0</v>
      </c>
      <c r="F34" s="912">
        <f>'1.2.sz.mell. _köt'!F34+'1.3.sz.mell._önk'!F34+'1.4.sz.mell._állig'!F34</f>
        <v>0</v>
      </c>
    </row>
    <row r="35" spans="1:6" s="1" customFormat="1" ht="12" customHeight="1" x14ac:dyDescent="0.2">
      <c r="A35" s="317" t="s">
        <v>50</v>
      </c>
      <c r="B35" s="323" t="s">
        <v>246</v>
      </c>
      <c r="C35" s="646">
        <f>'1.2.sz.mell. _köt'!C35+'1.3.sz.mell._önk'!C35+'1.4.sz.mell._állig'!C35</f>
        <v>0</v>
      </c>
      <c r="D35" s="647">
        <f>'1.2.sz.mell. _köt'!D35+'1.3.sz.mell._önk'!D35+'1.4.sz.mell._állig'!D35</f>
        <v>0</v>
      </c>
      <c r="E35" s="646">
        <f>'1.2.sz.mell. _köt'!E35+'1.3.sz.mell._önk'!E35+'1.4.sz.mell._állig'!E35</f>
        <v>0</v>
      </c>
      <c r="F35" s="912">
        <f>'1.2.sz.mell. _köt'!F35+'1.3.sz.mell._önk'!F35+'1.4.sz.mell._állig'!F35</f>
        <v>0</v>
      </c>
    </row>
    <row r="36" spans="1:6" s="1" customFormat="1" ht="12" customHeight="1" x14ac:dyDescent="0.2">
      <c r="A36" s="317" t="s">
        <v>154</v>
      </c>
      <c r="B36" s="323" t="s">
        <v>379</v>
      </c>
      <c r="C36" s="646">
        <f>'1.2.sz.mell. _köt'!C36+'1.3.sz.mell._önk'!C36+'1.4.sz.mell._állig'!C36</f>
        <v>10406</v>
      </c>
      <c r="D36" s="647">
        <f>'1.2.sz.mell. _köt'!D36+'1.3.sz.mell._önk'!D36+'1.4.sz.mell._állig'!D36</f>
        <v>18138</v>
      </c>
      <c r="E36" s="646">
        <f>'1.2.sz.mell. _köt'!E36+'1.3.sz.mell._önk'!E36+'1.4.sz.mell._állig'!E36</f>
        <v>5723</v>
      </c>
      <c r="F36" s="912">
        <f>'1.2.sz.mell. _köt'!F36+'1.3.sz.mell._önk'!F36+'1.4.sz.mell._állig'!F36</f>
        <v>5723</v>
      </c>
    </row>
    <row r="37" spans="1:6" s="1" customFormat="1" ht="12" customHeight="1" x14ac:dyDescent="0.2">
      <c r="A37" s="317" t="s">
        <v>45</v>
      </c>
      <c r="B37" s="324" t="s">
        <v>380</v>
      </c>
      <c r="C37" s="653">
        <f>+C38+C39+C40+C41+C42</f>
        <v>1453</v>
      </c>
      <c r="D37" s="654">
        <f>+D38+D39+D40+D41+D42</f>
        <v>15761</v>
      </c>
      <c r="E37" s="653">
        <f>+E38+E39+E40+E41+E42</f>
        <v>12015</v>
      </c>
      <c r="F37" s="1246">
        <f>+F38+F39+F40+F41+F42</f>
        <v>12015</v>
      </c>
    </row>
    <row r="38" spans="1:6" s="1" customFormat="1" ht="12" customHeight="1" x14ac:dyDescent="0.2">
      <c r="A38" s="317" t="s">
        <v>53</v>
      </c>
      <c r="B38" s="323" t="s">
        <v>243</v>
      </c>
      <c r="C38" s="646">
        <f>'1.2.sz.mell. _köt'!C38+'1.3.sz.mell._önk'!C38+'1.4.sz.mell._állig'!C38</f>
        <v>0</v>
      </c>
      <c r="D38" s="647">
        <f>'1.2.sz.mell. _köt'!D38+'1.3.sz.mell._önk'!D38+'1.4.sz.mell._állig'!D38</f>
        <v>0</v>
      </c>
      <c r="E38" s="646">
        <f>'1.2.sz.mell. _köt'!E38+'1.3.sz.mell._önk'!E38+'1.4.sz.mell._állig'!E38</f>
        <v>0</v>
      </c>
      <c r="F38" s="912">
        <f>'1.2.sz.mell. _köt'!F38+'1.3.sz.mell._önk'!F38+'1.4.sz.mell._állig'!F38</f>
        <v>0</v>
      </c>
    </row>
    <row r="39" spans="1:6" s="1" customFormat="1" ht="12" customHeight="1" x14ac:dyDescent="0.2">
      <c r="A39" s="317" t="s">
        <v>54</v>
      </c>
      <c r="B39" s="323" t="s">
        <v>244</v>
      </c>
      <c r="C39" s="646">
        <f>'1.2.sz.mell. _köt'!C39+'1.3.sz.mell._önk'!C39+'1.4.sz.mell._állig'!C39</f>
        <v>0</v>
      </c>
      <c r="D39" s="647">
        <f>'1.2.sz.mell. _köt'!D39+'1.3.sz.mell._önk'!D39+'1.4.sz.mell._állig'!D39</f>
        <v>0</v>
      </c>
      <c r="E39" s="646">
        <f>'1.2.sz.mell. _köt'!E39+'1.3.sz.mell._önk'!E39+'1.4.sz.mell._állig'!E39</f>
        <v>0</v>
      </c>
      <c r="F39" s="912">
        <f>'1.2.sz.mell. _köt'!F39+'1.3.sz.mell._önk'!F39+'1.4.sz.mell._állig'!F39</f>
        <v>0</v>
      </c>
    </row>
    <row r="40" spans="1:6" s="1" customFormat="1" ht="12" customHeight="1" x14ac:dyDescent="0.2">
      <c r="A40" s="317" t="s">
        <v>55</v>
      </c>
      <c r="B40" s="323" t="s">
        <v>245</v>
      </c>
      <c r="C40" s="646">
        <f>'1.2.sz.mell. _köt'!C40+'1.3.sz.mell._önk'!C40+'1.4.sz.mell._állig'!C40</f>
        <v>0</v>
      </c>
      <c r="D40" s="647">
        <f>'1.2.sz.mell. _köt'!D40+'1.3.sz.mell._önk'!D40+'1.4.sz.mell._állig'!D40</f>
        <v>0</v>
      </c>
      <c r="E40" s="646">
        <f>'1.2.sz.mell. _köt'!E40+'1.3.sz.mell._önk'!E40+'1.4.sz.mell._állig'!E40</f>
        <v>0</v>
      </c>
      <c r="F40" s="912">
        <f>'1.2.sz.mell. _köt'!F40+'1.3.sz.mell._önk'!F40+'1.4.sz.mell._állig'!F40</f>
        <v>0</v>
      </c>
    </row>
    <row r="41" spans="1:6" s="1" customFormat="1" ht="12" customHeight="1" x14ac:dyDescent="0.2">
      <c r="A41" s="317" t="s">
        <v>56</v>
      </c>
      <c r="B41" s="325" t="s">
        <v>246</v>
      </c>
      <c r="C41" s="646">
        <f>'1.2.sz.mell. _köt'!C41+'1.3.sz.mell._önk'!C41+'1.4.sz.mell._állig'!C41</f>
        <v>1453</v>
      </c>
      <c r="D41" s="647">
        <f>'1.2.sz.mell. _köt'!D41+'1.3.sz.mell._önk'!D41+'1.4.sz.mell._állig'!D41</f>
        <v>15111</v>
      </c>
      <c r="E41" s="646">
        <f>'1.2.sz.mell. _köt'!E41+'1.3.sz.mell._önk'!E41+'1.4.sz.mell._állig'!E41</f>
        <v>5532</v>
      </c>
      <c r="F41" s="912">
        <f>'1.2.sz.mell. _köt'!F41+'1.3.sz.mell._önk'!F41+'1.4.sz.mell._állig'!F41</f>
        <v>5532</v>
      </c>
    </row>
    <row r="42" spans="1:6" s="1" customFormat="1" ht="12" customHeight="1" thickBot="1" x14ac:dyDescent="0.25">
      <c r="A42" s="318" t="s">
        <v>155</v>
      </c>
      <c r="B42" s="326" t="s">
        <v>381</v>
      </c>
      <c r="C42" s="646">
        <f>'1.2.sz.mell. _köt'!C42+'1.3.sz.mell._önk'!C42+'1.4.sz.mell._állig'!C42</f>
        <v>0</v>
      </c>
      <c r="D42" s="647">
        <f>'1.2.sz.mell. _köt'!D42+'1.3.sz.mell._önk'!D42+'1.4.sz.mell._állig'!D42</f>
        <v>650</v>
      </c>
      <c r="E42" s="646">
        <f>'1.2.sz.mell. _köt'!E42+'1.3.sz.mell._önk'!E42+'1.4.sz.mell._állig'!E42</f>
        <v>6483</v>
      </c>
      <c r="F42" s="912">
        <f>'1.2.sz.mell. _köt'!F42+'1.3.sz.mell._önk'!F42+'1.4.sz.mell._állig'!F42</f>
        <v>6483</v>
      </c>
    </row>
    <row r="43" spans="1:6" s="1" customFormat="1" ht="12" customHeight="1" thickBot="1" x14ac:dyDescent="0.25">
      <c r="A43" s="23" t="s">
        <v>156</v>
      </c>
      <c r="B43" s="420" t="s">
        <v>247</v>
      </c>
      <c r="C43" s="643">
        <f>+C44+C45</f>
        <v>1037</v>
      </c>
      <c r="D43" s="644">
        <f>+D44+D45</f>
        <v>0</v>
      </c>
      <c r="E43" s="643">
        <f>+E44+E45</f>
        <v>209</v>
      </c>
      <c r="F43" s="689">
        <f>+F44+F45</f>
        <v>209</v>
      </c>
    </row>
    <row r="44" spans="1:6" s="1" customFormat="1" ht="12" customHeight="1" x14ac:dyDescent="0.2">
      <c r="A44" s="18" t="s">
        <v>51</v>
      </c>
      <c r="B44" s="336" t="s">
        <v>248</v>
      </c>
      <c r="C44" s="646">
        <f>'1.2.sz.mell. _köt'!C44+'1.3.sz.mell._önk'!C44+'1.4.sz.mell._állig'!C44</f>
        <v>1037</v>
      </c>
      <c r="D44" s="647">
        <f>'1.2.sz.mell. _köt'!D44+'1.3.sz.mell._önk'!D44+'1.4.sz.mell._állig'!D44</f>
        <v>0</v>
      </c>
      <c r="E44" s="646">
        <f>'1.2.sz.mell. _köt'!E44+'1.3.sz.mell._önk'!E44+'1.4.sz.mell._állig'!E44</f>
        <v>209</v>
      </c>
      <c r="F44" s="912">
        <f>'1.2.sz.mell. _köt'!F44+'1.3.sz.mell._önk'!F44+'1.4.sz.mell._állig'!F44</f>
        <v>209</v>
      </c>
    </row>
    <row r="45" spans="1:6" s="1" customFormat="1" ht="12" customHeight="1" thickBot="1" x14ac:dyDescent="0.25">
      <c r="A45" s="15" t="s">
        <v>52</v>
      </c>
      <c r="B45" s="331" t="s">
        <v>252</v>
      </c>
      <c r="C45" s="646">
        <f>'1.2.sz.mell. _köt'!C45+'1.3.sz.mell._önk'!C45+'1.4.sz.mell._állig'!C45</f>
        <v>0</v>
      </c>
      <c r="D45" s="647">
        <f>'1.2.sz.mell. _köt'!D45+'1.3.sz.mell._önk'!D45+'1.4.sz.mell._állig'!D45</f>
        <v>0</v>
      </c>
      <c r="E45" s="646">
        <f>'1.2.sz.mell. _köt'!E45+'1.3.sz.mell._önk'!E45+'1.4.sz.mell._állig'!E45</f>
        <v>0</v>
      </c>
      <c r="F45" s="912">
        <f>'1.2.sz.mell. _köt'!F45+'1.3.sz.mell._önk'!F45+'1.4.sz.mell._állig'!F45</f>
        <v>0</v>
      </c>
    </row>
    <row r="46" spans="1:6" s="1" customFormat="1" ht="12" customHeight="1" thickBot="1" x14ac:dyDescent="0.25">
      <c r="A46" s="23" t="s">
        <v>910</v>
      </c>
      <c r="B46" s="420" t="s">
        <v>251</v>
      </c>
      <c r="C46" s="643">
        <f>+C47+C48+C49</f>
        <v>7184</v>
      </c>
      <c r="D46" s="644">
        <f>+D47+D48+D49</f>
        <v>414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646">
        <f>'1.2.sz.mell. _köt'!C47+'1.3.sz.mell._önk'!C47+'1.4.sz.mell._állig'!C47</f>
        <v>7184</v>
      </c>
      <c r="D47" s="647">
        <f>'1.2.sz.mell. _köt'!D47+'1.3.sz.mell._önk'!D47+'1.4.sz.mell._állig'!D47</f>
        <v>0</v>
      </c>
      <c r="E47" s="646">
        <f>'1.2.sz.mell. _köt'!E47+'1.3.sz.mell._önk'!E47+'1.4.sz.mell._állig'!E47</f>
        <v>0</v>
      </c>
      <c r="F47" s="912">
        <f>'1.2.sz.mell. _köt'!F47+'1.3.sz.mell._önk'!F47+'1.4.sz.mell._állig'!F47</f>
        <v>0</v>
      </c>
    </row>
    <row r="48" spans="1:6" s="1" customFormat="1" ht="12" customHeight="1" x14ac:dyDescent="0.2">
      <c r="A48" s="16" t="s">
        <v>160</v>
      </c>
      <c r="B48" s="323" t="s">
        <v>968</v>
      </c>
      <c r="C48" s="646">
        <f>'1.2.sz.mell. _köt'!C48+'1.3.sz.mell._önk'!C48+'1.4.sz.mell._állig'!C48</f>
        <v>0</v>
      </c>
      <c r="D48" s="647">
        <f>'1.2.sz.mell. _köt'!D48+'1.3.sz.mell._önk'!D48+'1.4.sz.mell._állig'!D48</f>
        <v>414</v>
      </c>
      <c r="E48" s="646">
        <f>'1.2.sz.mell. _köt'!E48+'1.3.sz.mell._önk'!E48+'1.4.sz.mell._állig'!E48</f>
        <v>0</v>
      </c>
      <c r="F48" s="912">
        <f>'1.2.sz.mell. _köt'!F48+'1.3.sz.mell._önk'!F48+'1.4.sz.mell._állig'!F48</f>
        <v>0</v>
      </c>
    </row>
    <row r="49" spans="1:6" s="1" customFormat="1" ht="12" customHeight="1" thickBot="1" x14ac:dyDescent="0.25">
      <c r="A49" s="15" t="s">
        <v>309</v>
      </c>
      <c r="B49" s="331" t="s">
        <v>249</v>
      </c>
      <c r="C49" s="646">
        <f>'1.2.sz.mell. _köt'!C49+'1.3.sz.mell._önk'!C49+'1.4.sz.mell._állig'!C49</f>
        <v>0</v>
      </c>
      <c r="D49" s="647">
        <f>'1.2.sz.mell. _köt'!D49+'1.3.sz.mell._önk'!D49+'1.4.sz.mell._állig'!D49</f>
        <v>0</v>
      </c>
      <c r="E49" s="646">
        <f>'1.2.sz.mell. _köt'!E49+'1.3.sz.mell._önk'!E49+'1.4.sz.mell._állig'!E49</f>
        <v>0</v>
      </c>
      <c r="F49" s="912">
        <f>'1.2.sz.mell. _köt'!F49+'1.3.sz.mell._önk'!F49+'1.4.sz.mell._állig'!F49</f>
        <v>0</v>
      </c>
    </row>
    <row r="50" spans="1:6" s="1" customFormat="1" ht="17.25" customHeight="1" thickBot="1" x14ac:dyDescent="0.25">
      <c r="A50" s="23" t="s">
        <v>161</v>
      </c>
      <c r="B50" s="421" t="s">
        <v>250</v>
      </c>
      <c r="C50" s="655">
        <f>'1.2.sz.mell. _köt'!C50+'1.3.sz.mell._önk'!C50+'1.4.sz.mell._állig'!C50</f>
        <v>0</v>
      </c>
      <c r="D50" s="650">
        <f>'1.2.sz.mell. _köt'!D50+'1.3.sz.mell._önk'!D50+'1.4.sz.mell._állig'!D50</f>
        <v>0</v>
      </c>
      <c r="E50" s="655">
        <f>'1.2.sz.mell. _köt'!E50+'1.3.sz.mell._önk'!E50+'1.4.sz.mell._állig'!E50</f>
        <v>0</v>
      </c>
      <c r="F50" s="1244">
        <f>'1.2.sz.mell. _köt'!F50+'1.3.sz.mell._önk'!F50+'1.4.sz.mell._állig'!F50</f>
        <v>0</v>
      </c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f>+C6+C11+C20+C21+C30+C43+C46+C50</f>
        <v>278106</v>
      </c>
      <c r="D51" s="657">
        <f>+D6+D11+D20+D21+D30+D43+D46+D50</f>
        <v>293272</v>
      </c>
      <c r="E51" s="1240">
        <f>+E6+E11+E20+E21+E30+E43+E46+E50</f>
        <v>318813</v>
      </c>
      <c r="F51" s="1247">
        <f>+F6+F11+F20+F21+F30+F43+F46+F50</f>
        <v>311087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8">
        <f>+C53+C59</f>
        <v>52597</v>
      </c>
      <c r="D52" s="659">
        <f>+D53+D59</f>
        <v>48271</v>
      </c>
      <c r="E52" s="1241">
        <f>+E53+E59</f>
        <v>0</v>
      </c>
      <c r="F52" s="1248">
        <f>+F53+F59</f>
        <v>60405</v>
      </c>
    </row>
    <row r="53" spans="1:6" s="1" customFormat="1" ht="12" customHeight="1" x14ac:dyDescent="0.2">
      <c r="A53" s="422" t="s">
        <v>92</v>
      </c>
      <c r="B53" s="419" t="s">
        <v>338</v>
      </c>
      <c r="C53" s="660">
        <f>+C54+C55+C56+C57+C58</f>
        <v>52597</v>
      </c>
      <c r="D53" s="652">
        <f>+D54+D55+D56+D57+D58</f>
        <v>48271</v>
      </c>
      <c r="E53" s="651">
        <f>+E54+E55+E56+E57+E58</f>
        <v>0</v>
      </c>
      <c r="F53" s="1245">
        <f>+F54+F55+F56+F57+F58</f>
        <v>60405</v>
      </c>
    </row>
    <row r="54" spans="1:6" s="1" customFormat="1" ht="12" customHeight="1" x14ac:dyDescent="0.2">
      <c r="A54" s="328" t="s">
        <v>269</v>
      </c>
      <c r="B54" s="323" t="s">
        <v>255</v>
      </c>
      <c r="C54" s="646">
        <f>'1.2.sz.mell. _köt'!C54+'1.3.sz.mell._önk'!C54+'1.4.sz.mell._állig'!C54</f>
        <v>52597</v>
      </c>
      <c r="D54" s="647">
        <f>'1.2.sz.mell. _köt'!D54+'1.3.sz.mell._önk'!D54+'1.4.sz.mell._állig'!D54</f>
        <v>48271</v>
      </c>
      <c r="E54" s="646">
        <f>'1.2.sz.mell. _köt'!E54+'1.3.sz.mell._önk'!E54+'1.4.sz.mell._állig'!E54</f>
        <v>0</v>
      </c>
      <c r="F54" s="912">
        <f>'1.2.sz.mell. _köt'!F54+'1.3.sz.mell._önk'!F54+'1.4.sz.mell._állig'!F54</f>
        <v>60405</v>
      </c>
    </row>
    <row r="55" spans="1:6" s="1" customFormat="1" ht="12" customHeight="1" x14ac:dyDescent="0.2">
      <c r="A55" s="328" t="s">
        <v>270</v>
      </c>
      <c r="B55" s="323" t="s">
        <v>256</v>
      </c>
      <c r="C55" s="646">
        <f>'1.2.sz.mell. _köt'!C55+'1.3.sz.mell._önk'!C55+'1.4.sz.mell._állig'!C55</f>
        <v>0</v>
      </c>
      <c r="D55" s="647">
        <f>'1.2.sz.mell. _köt'!D55+'1.3.sz.mell._önk'!D55+'1.4.sz.mell._állig'!D55</f>
        <v>0</v>
      </c>
      <c r="E55" s="646">
        <f>'1.2.sz.mell. _köt'!E55+'1.3.sz.mell._önk'!E55+'1.4.sz.mell._állig'!E55</f>
        <v>0</v>
      </c>
      <c r="F55" s="912">
        <f>'1.2.sz.mell. _köt'!F55+'1.3.sz.mell._önk'!F55+'1.4.sz.mell._állig'!F55</f>
        <v>0</v>
      </c>
    </row>
    <row r="56" spans="1:6" s="1" customFormat="1" ht="12" customHeight="1" x14ac:dyDescent="0.2">
      <c r="A56" s="328" t="s">
        <v>271</v>
      </c>
      <c r="B56" s="323" t="s">
        <v>257</v>
      </c>
      <c r="C56" s="646">
        <f>'1.2.sz.mell. _köt'!C56+'1.3.sz.mell._önk'!C56+'1.4.sz.mell._állig'!C56</f>
        <v>0</v>
      </c>
      <c r="D56" s="647">
        <f>'1.2.sz.mell. _köt'!D56+'1.3.sz.mell._önk'!D56+'1.4.sz.mell._állig'!D56</f>
        <v>0</v>
      </c>
      <c r="E56" s="646">
        <f>'1.2.sz.mell. _köt'!E56+'1.3.sz.mell._önk'!E56+'1.4.sz.mell._állig'!E56</f>
        <v>0</v>
      </c>
      <c r="F56" s="912">
        <f>'1.2.sz.mell. _köt'!F56+'1.3.sz.mell._önk'!F56+'1.4.sz.mell._állig'!F56</f>
        <v>0</v>
      </c>
    </row>
    <row r="57" spans="1:6" s="1" customFormat="1" ht="12" customHeight="1" x14ac:dyDescent="0.2">
      <c r="A57" s="328" t="s">
        <v>272</v>
      </c>
      <c r="B57" s="323" t="s">
        <v>258</v>
      </c>
      <c r="C57" s="646">
        <f>'1.2.sz.mell. _köt'!C57+'1.3.sz.mell._önk'!C57+'1.4.sz.mell._állig'!C57</f>
        <v>0</v>
      </c>
      <c r="D57" s="647">
        <f>'1.2.sz.mell. _köt'!D57+'1.3.sz.mell._önk'!D57+'1.4.sz.mell._állig'!D57</f>
        <v>0</v>
      </c>
      <c r="E57" s="646">
        <f>'1.2.sz.mell. _köt'!E57+'1.3.sz.mell._önk'!E57+'1.4.sz.mell._állig'!E57</f>
        <v>0</v>
      </c>
      <c r="F57" s="912">
        <f>'1.2.sz.mell. _köt'!F57+'1.3.sz.mell._önk'!F57+'1.4.sz.mell._állig'!F57</f>
        <v>0</v>
      </c>
    </row>
    <row r="58" spans="1:6" s="1" customFormat="1" ht="12" customHeight="1" x14ac:dyDescent="0.2">
      <c r="A58" s="328" t="s">
        <v>273</v>
      </c>
      <c r="B58" s="323" t="s">
        <v>259</v>
      </c>
      <c r="C58" s="646">
        <f>'1.2.sz.mell. _köt'!C58+'1.3.sz.mell._önk'!C58+'1.4.sz.mell._állig'!C58</f>
        <v>0</v>
      </c>
      <c r="D58" s="647">
        <f>'1.2.sz.mell. _köt'!D58+'1.3.sz.mell._önk'!D58+'1.4.sz.mell._állig'!D58</f>
        <v>0</v>
      </c>
      <c r="E58" s="646">
        <f>'1.2.sz.mell. _köt'!E58+'1.3.sz.mell._önk'!E58+'1.4.sz.mell._állig'!E58</f>
        <v>0</v>
      </c>
      <c r="F58" s="912">
        <f>'1.2.sz.mell. _köt'!F58+'1.3.sz.mell._önk'!F58+'1.4.sz.mell._állig'!F58</f>
        <v>0</v>
      </c>
    </row>
    <row r="59" spans="1:6" s="1" customFormat="1" ht="12" customHeight="1" x14ac:dyDescent="0.2">
      <c r="A59" s="329" t="s">
        <v>93</v>
      </c>
      <c r="B59" s="324" t="s">
        <v>337</v>
      </c>
      <c r="C59" s="661">
        <f>+C60+C61+C62+C63+C64</f>
        <v>0</v>
      </c>
      <c r="D59" s="654">
        <f>+D60+D61+D62+D63+D64</f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646">
        <f>'1.2.sz.mell. _köt'!C60+'1.3.sz.mell._önk'!C60+'1.4.sz.mell._állig'!C60</f>
        <v>0</v>
      </c>
      <c r="D60" s="647">
        <f>'1.2.sz.mell. _köt'!D60+'1.3.sz.mell._önk'!D60+'1.4.sz.mell._állig'!D60</f>
        <v>0</v>
      </c>
      <c r="E60" s="646">
        <f>'1.2.sz.mell. _köt'!E60+'1.3.sz.mell._önk'!E60+'1.4.sz.mell._állig'!E60</f>
        <v>0</v>
      </c>
      <c r="F60" s="912">
        <f>'1.2.sz.mell. _köt'!F60+'1.3.sz.mell._önk'!F60+'1.4.sz.mell._állig'!F60</f>
        <v>0</v>
      </c>
    </row>
    <row r="61" spans="1:6" s="1" customFormat="1" ht="12" customHeight="1" x14ac:dyDescent="0.2">
      <c r="A61" s="328" t="s">
        <v>275</v>
      </c>
      <c r="B61" s="323" t="s">
        <v>262</v>
      </c>
      <c r="C61" s="646">
        <f>'1.2.sz.mell. _köt'!C61+'1.3.sz.mell._önk'!C61+'1.4.sz.mell._állig'!C61</f>
        <v>0</v>
      </c>
      <c r="D61" s="647">
        <f>'1.2.sz.mell. _köt'!D61+'1.3.sz.mell._önk'!D61+'1.4.sz.mell._állig'!D61</f>
        <v>0</v>
      </c>
      <c r="E61" s="646">
        <f>'1.2.sz.mell. _köt'!E61+'1.3.sz.mell._önk'!E61+'1.4.sz.mell._állig'!E61</f>
        <v>0</v>
      </c>
      <c r="F61" s="912">
        <f>'1.2.sz.mell. _köt'!F61+'1.3.sz.mell._önk'!F61+'1.4.sz.mell._állig'!F61</f>
        <v>0</v>
      </c>
    </row>
    <row r="62" spans="1:6" s="1" customFormat="1" ht="12" customHeight="1" x14ac:dyDescent="0.2">
      <c r="A62" s="328" t="s">
        <v>276</v>
      </c>
      <c r="B62" s="323" t="s">
        <v>263</v>
      </c>
      <c r="C62" s="646">
        <f>'1.2.sz.mell. _köt'!C62+'1.3.sz.mell._önk'!C62+'1.4.sz.mell._állig'!C62</f>
        <v>0</v>
      </c>
      <c r="D62" s="647">
        <f>'1.2.sz.mell. _köt'!D62+'1.3.sz.mell._önk'!D62+'1.4.sz.mell._állig'!D62</f>
        <v>0</v>
      </c>
      <c r="E62" s="646">
        <f>'1.2.sz.mell. _köt'!E62+'1.3.sz.mell._önk'!E62+'1.4.sz.mell._állig'!E62</f>
        <v>0</v>
      </c>
      <c r="F62" s="912">
        <f>'1.2.sz.mell. _köt'!F62+'1.3.sz.mell._önk'!F62+'1.4.sz.mell._állig'!F62</f>
        <v>0</v>
      </c>
    </row>
    <row r="63" spans="1:6" s="1" customFormat="1" ht="12" customHeight="1" x14ac:dyDescent="0.2">
      <c r="A63" s="328" t="s">
        <v>277</v>
      </c>
      <c r="B63" s="323" t="s">
        <v>264</v>
      </c>
      <c r="C63" s="646">
        <f>'1.2.sz.mell. _köt'!C63+'1.3.sz.mell._önk'!C63+'1.4.sz.mell._állig'!C63</f>
        <v>0</v>
      </c>
      <c r="D63" s="647">
        <f>'1.2.sz.mell. _köt'!D63+'1.3.sz.mell._önk'!D63+'1.4.sz.mell._állig'!D63</f>
        <v>0</v>
      </c>
      <c r="E63" s="646">
        <f>'1.2.sz.mell. _köt'!E63+'1.3.sz.mell._önk'!E63+'1.4.sz.mell._állig'!E63</f>
        <v>0</v>
      </c>
      <c r="F63" s="912">
        <f>'1.2.sz.mell. _köt'!F63+'1.3.sz.mell._önk'!F63+'1.4.sz.mell._állig'!F63</f>
        <v>0</v>
      </c>
    </row>
    <row r="64" spans="1:6" s="1" customFormat="1" ht="12" customHeight="1" thickBot="1" x14ac:dyDescent="0.25">
      <c r="A64" s="330" t="s">
        <v>278</v>
      </c>
      <c r="B64" s="331" t="s">
        <v>265</v>
      </c>
      <c r="C64" s="646">
        <f>'1.2.sz.mell. _köt'!C64+'1.3.sz.mell._önk'!C64+'1.4.sz.mell._állig'!C64</f>
        <v>0</v>
      </c>
      <c r="D64" s="647">
        <f>'1.2.sz.mell. _köt'!D64+'1.3.sz.mell._önk'!D64+'1.4.sz.mell._állig'!D64</f>
        <v>0</v>
      </c>
      <c r="E64" s="646">
        <f>'1.2.sz.mell. _köt'!E64+'1.3.sz.mell._önk'!E64+'1.4.sz.mell._állig'!E64</f>
        <v>0</v>
      </c>
      <c r="F64" s="912">
        <f>'1.2.sz.mell. _köt'!F64+'1.3.sz.mell._önk'!F64+'1.4.sz.mell._állig'!F64</f>
        <v>0</v>
      </c>
    </row>
    <row r="65" spans="1:6" s="1" customFormat="1" ht="12" customHeight="1" thickBot="1" x14ac:dyDescent="0.25">
      <c r="A65" s="332" t="s">
        <v>914</v>
      </c>
      <c r="B65" s="423" t="s">
        <v>335</v>
      </c>
      <c r="C65" s="658">
        <f>+C51+C52</f>
        <v>330703</v>
      </c>
      <c r="D65" s="659">
        <f>+D51+D52</f>
        <v>341543</v>
      </c>
      <c r="E65" s="1241">
        <f>+E51+E52</f>
        <v>318813</v>
      </c>
      <c r="F65" s="1248">
        <f>+F51+F52</f>
        <v>371492</v>
      </c>
    </row>
    <row r="66" spans="1:6" s="1" customFormat="1" ht="13.5" customHeight="1" thickBot="1" x14ac:dyDescent="0.25">
      <c r="A66" s="333" t="s">
        <v>915</v>
      </c>
      <c r="B66" s="424" t="s">
        <v>267</v>
      </c>
      <c r="C66" s="646">
        <f>'1.2.sz.mell. _köt'!C66+'1.3.sz.mell._önk'!C66+'1.4.sz.mell._állig'!C66</f>
        <v>341</v>
      </c>
      <c r="D66" s="647"/>
      <c r="E66" s="646">
        <f>'1.2.sz.mell. _köt'!E66+'1.3.sz.mell._önk'!E66+'1.4.sz.mell._állig'!E66</f>
        <v>0</v>
      </c>
      <c r="F66" s="912">
        <f>'1.2.sz.mell. _köt'!F66+'1.3.sz.mell._önk'!F66+'1.4.sz.mell._állig'!F66</f>
        <v>0</v>
      </c>
    </row>
    <row r="67" spans="1:6" s="1" customFormat="1" ht="12" customHeight="1" thickBot="1" x14ac:dyDescent="0.25">
      <c r="A67" s="332" t="s">
        <v>916</v>
      </c>
      <c r="B67" s="423" t="s">
        <v>336</v>
      </c>
      <c r="C67" s="658">
        <f>+C65+C66</f>
        <v>331044</v>
      </c>
      <c r="D67" s="659">
        <f>+D65+D66</f>
        <v>341543</v>
      </c>
      <c r="E67" s="1241">
        <f>+E65+E66</f>
        <v>318813</v>
      </c>
      <c r="F67" s="1248">
        <f>+F65+F66</f>
        <v>371492</v>
      </c>
    </row>
    <row r="68" spans="1:6" s="1" customFormat="1" ht="21" customHeight="1" x14ac:dyDescent="0.2">
      <c r="A68" s="6"/>
      <c r="B68" s="7"/>
      <c r="C68" s="662"/>
      <c r="D68" s="662"/>
      <c r="E68" s="662"/>
      <c r="F68" s="662"/>
    </row>
    <row r="69" spans="1:6" ht="16.5" customHeight="1" x14ac:dyDescent="0.25">
      <c r="A69" s="1324" t="s">
        <v>932</v>
      </c>
      <c r="B69" s="1324"/>
      <c r="C69" s="1324"/>
      <c r="D69" s="637"/>
      <c r="E69" s="637"/>
      <c r="F69" s="637"/>
    </row>
    <row r="70" spans="1:6" s="345" customFormat="1" ht="16.5" customHeight="1" thickBot="1" x14ac:dyDescent="0.3">
      <c r="A70" s="1322" t="s">
        <v>100</v>
      </c>
      <c r="B70" s="1322"/>
      <c r="C70" s="150"/>
      <c r="D70" s="150"/>
      <c r="E70" s="150" t="s">
        <v>300</v>
      </c>
      <c r="F70" s="150" t="s">
        <v>300</v>
      </c>
    </row>
    <row r="71" spans="1:6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1238" t="s">
        <v>1001</v>
      </c>
      <c r="F71" s="1242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1238">
        <v>3</v>
      </c>
      <c r="F72" s="1242">
        <v>4</v>
      </c>
    </row>
    <row r="73" spans="1:6" ht="12" customHeight="1" thickBot="1" x14ac:dyDescent="0.3">
      <c r="A73" s="25" t="s">
        <v>903</v>
      </c>
      <c r="B73" s="36" t="s">
        <v>163</v>
      </c>
      <c r="C73" s="640">
        <f>+C74+C75+C76+C77+C78</f>
        <v>262638</v>
      </c>
      <c r="D73" s="641">
        <f>+D74+D75+D76+D77+D78</f>
        <v>307667</v>
      </c>
      <c r="E73" s="1239">
        <f>+E74+E75+E76+E77+E78</f>
        <v>265752</v>
      </c>
      <c r="F73" s="1243">
        <f>+F74+F75+F76+F77+F78</f>
        <v>278856</v>
      </c>
    </row>
    <row r="74" spans="1:6" ht="12" customHeight="1" x14ac:dyDescent="0.25">
      <c r="A74" s="20" t="s">
        <v>57</v>
      </c>
      <c r="B74" s="12" t="s">
        <v>934</v>
      </c>
      <c r="C74" s="663">
        <f>'1.2.sz.mell. _köt'!C74+'1.3.sz.mell._önk'!C74+'1.4.sz.mell._állig'!C74</f>
        <v>108275</v>
      </c>
      <c r="D74" s="664">
        <f>'1.2.sz.mell. _köt'!D74+'1.3.sz.mell._önk'!D74+'1.4.sz.mell._állig'!D74</f>
        <v>143462</v>
      </c>
      <c r="E74" s="1249">
        <f>'1.2.sz.mell. _köt'!E74+'1.3.sz.mell._önk'!E74+'1.4.sz.mell._állig'!E74</f>
        <v>128480</v>
      </c>
      <c r="F74" s="911">
        <f>'1.2.sz.mell. _köt'!F74+'1.3.sz.mell._önk'!F74+'1.4.sz.mell._állig'!F74</f>
        <v>128757</v>
      </c>
    </row>
    <row r="75" spans="1:6" ht="12" customHeight="1" x14ac:dyDescent="0.25">
      <c r="A75" s="16" t="s">
        <v>58</v>
      </c>
      <c r="B75" s="9" t="s">
        <v>164</v>
      </c>
      <c r="C75" s="665">
        <f>'1.2.sz.mell. _köt'!C75+'1.3.sz.mell._önk'!C75+'1.4.sz.mell._állig'!C75</f>
        <v>25837</v>
      </c>
      <c r="D75" s="647">
        <f>'1.2.sz.mell. _köt'!D75+'1.3.sz.mell._önk'!D75+'1.4.sz.mell._állig'!D75</f>
        <v>37659</v>
      </c>
      <c r="E75" s="646">
        <f>'1.2.sz.mell. _köt'!E75+'1.3.sz.mell._önk'!E75+'1.4.sz.mell._állig'!E75</f>
        <v>33112</v>
      </c>
      <c r="F75" s="912">
        <f>'1.2.sz.mell. _köt'!F75+'1.3.sz.mell._önk'!F75+'1.4.sz.mell._állig'!F75</f>
        <v>33177</v>
      </c>
    </row>
    <row r="76" spans="1:6" ht="12" customHeight="1" x14ac:dyDescent="0.25">
      <c r="A76" s="16" t="s">
        <v>59</v>
      </c>
      <c r="B76" s="9" t="s">
        <v>88</v>
      </c>
      <c r="C76" s="666">
        <f>'1.2.sz.mell. _köt'!C76+'1.3.sz.mell._önk'!C76+'1.4.sz.mell._állig'!C76</f>
        <v>102127</v>
      </c>
      <c r="D76" s="667">
        <f>'1.2.sz.mell. _köt'!D76+'1.3.sz.mell._önk'!D76+'1.4.sz.mell._állig'!D76</f>
        <v>105330</v>
      </c>
      <c r="E76" s="673">
        <f>'1.2.sz.mell. _köt'!E76+'1.3.sz.mell._önk'!E76+'1.4.sz.mell._állig'!E76</f>
        <v>88289</v>
      </c>
      <c r="F76" s="1257">
        <f>'1.2.sz.mell. _köt'!F76+'1.3.sz.mell._önk'!F76+'1.4.sz.mell._állig'!F76</f>
        <v>92071</v>
      </c>
    </row>
    <row r="77" spans="1:6" ht="12" customHeight="1" x14ac:dyDescent="0.25">
      <c r="A77" s="16" t="s">
        <v>60</v>
      </c>
      <c r="B77" s="13" t="s">
        <v>165</v>
      </c>
      <c r="C77" s="666">
        <f>'1.2.sz.mell. _köt'!C77+'1.3.sz.mell._önk'!C77+'1.4.sz.mell._állig'!C77</f>
        <v>17819</v>
      </c>
      <c r="D77" s="667">
        <f>'1.2.sz.mell. _köt'!D77+'1.3.sz.mell._önk'!D77+'1.4.sz.mell._állig'!D77</f>
        <v>13626</v>
      </c>
      <c r="E77" s="673">
        <f>'1.2.sz.mell. _köt'!E77+'1.3.sz.mell._önk'!E77+'1.4.sz.mell._állig'!E77</f>
        <v>9584</v>
      </c>
      <c r="F77" s="1257">
        <f>'1.2.sz.mell. _köt'!F77+'1.3.sz.mell._önk'!F77+'1.4.sz.mell._állig'!F77</f>
        <v>11652</v>
      </c>
    </row>
    <row r="78" spans="1:6" ht="12" customHeight="1" x14ac:dyDescent="0.25">
      <c r="A78" s="16" t="s">
        <v>71</v>
      </c>
      <c r="B78" s="22" t="s">
        <v>166</v>
      </c>
      <c r="C78" s="666">
        <f>'1.2.sz.mell. _köt'!C78+'1.3.sz.mell._önk'!C78+'1.4.sz.mell._állig'!C78</f>
        <v>8580</v>
      </c>
      <c r="D78" s="667">
        <f>'1.2.sz.mell. _köt'!D78+'1.3.sz.mell._önk'!D78+'1.4.sz.mell._állig'!D78</f>
        <v>7590</v>
      </c>
      <c r="E78" s="673">
        <f>'1.2.sz.mell. _köt'!E78+'1.3.sz.mell._önk'!E78+'1.4.sz.mell._állig'!E78</f>
        <v>6287</v>
      </c>
      <c r="F78" s="1257">
        <f>'1.2.sz.mell. _köt'!F78+'1.3.sz.mell._önk'!F78+'1.4.sz.mell._állig'!F78</f>
        <v>13199</v>
      </c>
    </row>
    <row r="79" spans="1:6" ht="12" customHeight="1" x14ac:dyDescent="0.25">
      <c r="A79" s="16" t="s">
        <v>61</v>
      </c>
      <c r="B79" s="9" t="s">
        <v>188</v>
      </c>
      <c r="C79" s="666">
        <f>'1.2.sz.mell. _köt'!C79+'1.3.sz.mell._önk'!C79+'1.4.sz.mell._állig'!C79</f>
        <v>0</v>
      </c>
      <c r="D79" s="667">
        <f>'1.2.sz.mell. _köt'!D79+'1.3.sz.mell._önk'!D79+'1.4.sz.mell._állig'!D79</f>
        <v>0</v>
      </c>
      <c r="E79" s="673">
        <f>'1.2.sz.mell. _köt'!E79+'1.3.sz.mell._önk'!E79+'1.4.sz.mell._állig'!E79</f>
        <v>0</v>
      </c>
      <c r="F79" s="1257">
        <f>'1.2.sz.mell. _köt'!F79+'1.3.sz.mell._önk'!F79+'1.4.sz.mell._állig'!F79</f>
        <v>0</v>
      </c>
    </row>
    <row r="80" spans="1:6" ht="12" customHeight="1" x14ac:dyDescent="0.25">
      <c r="A80" s="16" t="s">
        <v>62</v>
      </c>
      <c r="B80" s="153" t="s">
        <v>189</v>
      </c>
      <c r="C80" s="666">
        <f>'1.2.sz.mell. _köt'!C80+'1.3.sz.mell._önk'!C80+'1.4.sz.mell._állig'!C80</f>
        <v>0</v>
      </c>
      <c r="D80" s="667">
        <f>'1.2.sz.mell. _köt'!D80+'1.3.sz.mell._önk'!D80+'1.4.sz.mell._állig'!D80</f>
        <v>0</v>
      </c>
      <c r="E80" s="673">
        <f>'1.2.sz.mell. _köt'!E80+'1.3.sz.mell._önk'!E80+'1.4.sz.mell._állig'!E80</f>
        <v>0</v>
      </c>
      <c r="F80" s="1257">
        <f>'1.2.sz.mell. _köt'!F80+'1.3.sz.mell._önk'!F80+'1.4.sz.mell._állig'!F80</f>
        <v>0</v>
      </c>
    </row>
    <row r="81" spans="1:6" ht="12" customHeight="1" x14ac:dyDescent="0.25">
      <c r="A81" s="16" t="s">
        <v>72</v>
      </c>
      <c r="B81" s="153" t="s">
        <v>279</v>
      </c>
      <c r="C81" s="666">
        <f>'1.2.sz.mell. _köt'!C81+'1.3.sz.mell._önk'!C81+'1.4.sz.mell._állig'!C81</f>
        <v>0</v>
      </c>
      <c r="D81" s="667">
        <f>'1.2.sz.mell. _köt'!D81+'1.3.sz.mell._önk'!D81+'1.4.sz.mell._állig'!D81</f>
        <v>0</v>
      </c>
      <c r="E81" s="673">
        <f>'1.2.sz.mell. _köt'!E81+'1.3.sz.mell._önk'!E81+'1.4.sz.mell._állig'!E81</f>
        <v>302</v>
      </c>
      <c r="F81" s="1257">
        <f>'1.2.sz.mell. _köt'!F81+'1.3.sz.mell._önk'!F81+'1.4.sz.mell._állig'!F81</f>
        <v>302</v>
      </c>
    </row>
    <row r="82" spans="1:6" ht="12" customHeight="1" x14ac:dyDescent="0.25">
      <c r="A82" s="16" t="s">
        <v>73</v>
      </c>
      <c r="B82" s="154" t="s">
        <v>190</v>
      </c>
      <c r="C82" s="666">
        <f>'1.2.sz.mell. _köt'!C82+'1.3.sz.mell._önk'!C82+'1.4.sz.mell._állig'!C82</f>
        <v>6325</v>
      </c>
      <c r="D82" s="667">
        <f>'1.2.sz.mell. _köt'!D82+'1.3.sz.mell._önk'!D82+'1.4.sz.mell._állig'!D82</f>
        <v>5960</v>
      </c>
      <c r="E82" s="673">
        <f>'1.2.sz.mell. _köt'!E82+'1.3.sz.mell._önk'!E82+'1.4.sz.mell._állig'!E82+'9. sz. mell'!F74</f>
        <v>5679</v>
      </c>
      <c r="F82" s="1257">
        <f>'1.2.sz.mell. _köt'!F82+'1.3.sz.mell._önk'!F82+'1.4.sz.mell._állig'!F82+'9. sz. mell'!G74</f>
        <v>5943</v>
      </c>
    </row>
    <row r="83" spans="1:6" ht="12" customHeight="1" x14ac:dyDescent="0.25">
      <c r="A83" s="15" t="s">
        <v>74</v>
      </c>
      <c r="B83" s="155" t="s">
        <v>1210</v>
      </c>
      <c r="C83" s="666">
        <f>'1.2.sz.mell. _köt'!C84+'1.3.sz.mell._önk'!C83+'1.4.sz.mell._állig'!C83</f>
        <v>0</v>
      </c>
      <c r="D83" s="667">
        <f>'1.2.sz.mell. _köt'!D84+'1.3.sz.mell._önk'!D83+'1.4.sz.mell._állig'!D83</f>
        <v>0</v>
      </c>
      <c r="E83" s="673">
        <f>'1.2.sz.mell. _köt'!E83+'1.3.sz.mell._önk'!E83+'1.4.sz.mell._állig'!E83</f>
        <v>1000</v>
      </c>
      <c r="F83" s="1257">
        <f>'1.2.sz.mell. _köt'!F83+'1.3.sz.mell._önk'!F83+'1.4.sz.mell._állig'!F83</f>
        <v>1000</v>
      </c>
    </row>
    <row r="84" spans="1:6" ht="12" customHeight="1" x14ac:dyDescent="0.25">
      <c r="A84" s="15"/>
      <c r="B84" s="155" t="s">
        <v>191</v>
      </c>
      <c r="C84" s="666"/>
      <c r="D84" s="667"/>
      <c r="E84" s="673"/>
      <c r="F84" s="1257">
        <f>'1.2.sz.mell. _köt'!F84+'1.3.sz.mell._önk'!F84+'1.4.sz.mell._állig'!F84</f>
        <v>6548</v>
      </c>
    </row>
    <row r="85" spans="1:6" ht="12" customHeight="1" x14ac:dyDescent="0.25">
      <c r="A85" s="16" t="s">
        <v>75</v>
      </c>
      <c r="B85" s="155" t="s">
        <v>192</v>
      </c>
      <c r="C85" s="666">
        <f>'1.2.sz.mell. _köt'!C85+'1.3.sz.mell._önk'!C84+'1.4.sz.mell._állig'!C84</f>
        <v>1964</v>
      </c>
      <c r="D85" s="667">
        <f>'1.2.sz.mell. _köt'!D85+'1.3.sz.mell._önk'!D84+'1.4.sz.mell._állig'!D84</f>
        <v>130</v>
      </c>
      <c r="E85" s="673">
        <f>'1.2.sz.mell. _köt'!E84+'1.3.sz.mell._önk'!E84+'1.4.sz.mell._állig'!E84</f>
        <v>0</v>
      </c>
      <c r="F85" s="1257">
        <f>'1.2.sz.mell. _köt'!F85+'1.3.sz.mell._önk'!F85+'1.4.sz.mell._állig'!F85</f>
        <v>100</v>
      </c>
    </row>
    <row r="86" spans="1:6" ht="12" customHeight="1" thickBot="1" x14ac:dyDescent="0.3">
      <c r="A86" s="21" t="s">
        <v>77</v>
      </c>
      <c r="B86" s="156" t="s">
        <v>193</v>
      </c>
      <c r="C86" s="669">
        <f>'1.2.sz.mell. _köt'!C86+'1.3.sz.mell._önk'!C85+'1.4.sz.mell._állig'!C85</f>
        <v>0</v>
      </c>
      <c r="D86" s="670">
        <f>'1.2.sz.mell. _köt'!D86+'1.3.sz.mell._önk'!D85+'1.4.sz.mell._állig'!D85</f>
        <v>1500</v>
      </c>
      <c r="E86" s="1250">
        <f>'1.2.sz.mell. _köt'!E86+'1.3.sz.mell._önk'!E85+'1.4.sz.mell._állig'!E85</f>
        <v>306</v>
      </c>
      <c r="F86" s="1258">
        <f>'1.2.sz.mell. _köt'!F86+'1.3.sz.mell._önk'!F85+'1.4.sz.mell._állig'!F85</f>
        <v>306</v>
      </c>
    </row>
    <row r="87" spans="1:6" ht="12" customHeight="1" thickBot="1" x14ac:dyDescent="0.3">
      <c r="A87" s="23" t="s">
        <v>904</v>
      </c>
      <c r="B87" s="35" t="s">
        <v>310</v>
      </c>
      <c r="C87" s="648">
        <f>+C88+C89+C90</f>
        <v>17724</v>
      </c>
      <c r="D87" s="644">
        <f>+D88+D89+D90</f>
        <v>18175</v>
      </c>
      <c r="E87" s="643">
        <f>+E88+E89+E90</f>
        <v>46469</v>
      </c>
      <c r="F87" s="689">
        <f>+F88+F89+F90</f>
        <v>54299</v>
      </c>
    </row>
    <row r="88" spans="1:6" ht="12" customHeight="1" x14ac:dyDescent="0.25">
      <c r="A88" s="18" t="s">
        <v>63</v>
      </c>
      <c r="B88" s="9" t="s">
        <v>280</v>
      </c>
      <c r="C88" s="671">
        <f>'1.2.sz.mell. _köt'!C88+'1.3.sz.mell._önk'!C87+'1.4.sz.mell._állig'!C87</f>
        <v>14406</v>
      </c>
      <c r="D88" s="672">
        <f>'1.2.sz.mell. _köt'!D88+'1.3.sz.mell._önk'!D87+'1.4.sz.mell._állig'!D87</f>
        <v>10099</v>
      </c>
      <c r="E88" s="707">
        <f>'1.2.sz.mell. _köt'!E88+'1.3.sz.mell._önk'!E87+'1.4.sz.mell._állig'!E87</f>
        <v>9602</v>
      </c>
      <c r="F88" s="1259">
        <f>'1.2.sz.mell. _köt'!F88+'1.3.sz.mell._önk'!F87+'1.4.sz.mell._állig'!F87</f>
        <v>25576</v>
      </c>
    </row>
    <row r="89" spans="1:6" ht="12" customHeight="1" x14ac:dyDescent="0.25">
      <c r="A89" s="18" t="s">
        <v>64</v>
      </c>
      <c r="B89" s="14" t="s">
        <v>168</v>
      </c>
      <c r="C89" s="665">
        <f>'1.2.sz.mell. _köt'!C89+'1.3.sz.mell._önk'!C88+'1.4.sz.mell._állig'!C88</f>
        <v>3307</v>
      </c>
      <c r="D89" s="647">
        <f>'1.2.sz.mell. _köt'!D89+'1.3.sz.mell._önk'!D88+'1.4.sz.mell._állig'!D88</f>
        <v>8076</v>
      </c>
      <c r="E89" s="646">
        <f>'1.2.sz.mell. _köt'!E89+'1.3.sz.mell._önk'!E88+'1.4.sz.mell._állig'!E88</f>
        <v>36867</v>
      </c>
      <c r="F89" s="912">
        <f>'1.2.sz.mell. _köt'!F89+'1.3.sz.mell._önk'!F88+'1.4.sz.mell._állig'!F88</f>
        <v>26670</v>
      </c>
    </row>
    <row r="90" spans="1:6" ht="12" customHeight="1" x14ac:dyDescent="0.25">
      <c r="A90" s="18" t="s">
        <v>65</v>
      </c>
      <c r="B90" s="323" t="s">
        <v>311</v>
      </c>
      <c r="C90" s="646">
        <f>'1.2.sz.mell. _köt'!C90+'1.3.sz.mell._önk'!C89+'1.4.sz.mell._állig'!C89</f>
        <v>11</v>
      </c>
      <c r="D90" s="647">
        <f>'1.2.sz.mell. _köt'!D90+'1.3.sz.mell._önk'!D89+'1.4.sz.mell._állig'!D89</f>
        <v>0</v>
      </c>
      <c r="E90" s="646">
        <f>'1.2.sz.mell. _köt'!E90+'1.3.sz.mell._önk'!E89+'1.4.sz.mell._állig'!E89</f>
        <v>0</v>
      </c>
      <c r="F90" s="912">
        <f>'1.2.sz.mell. _köt'!F90+'1.3.sz.mell._önk'!F89+'1.4.sz.mell._állig'!F89</f>
        <v>2053</v>
      </c>
    </row>
    <row r="91" spans="1:6" ht="12" customHeight="1" x14ac:dyDescent="0.25">
      <c r="A91" s="18" t="s">
        <v>66</v>
      </c>
      <c r="B91" s="323" t="s">
        <v>382</v>
      </c>
      <c r="C91" s="646">
        <f>'1.2.sz.mell. _köt'!C91+'1.3.sz.mell._önk'!C90+'1.4.sz.mell._állig'!C90</f>
        <v>0</v>
      </c>
      <c r="D91" s="647">
        <f>'1.2.sz.mell. _köt'!D91+'1.3.sz.mell._önk'!D90+'1.4.sz.mell._állig'!D90</f>
        <v>0</v>
      </c>
      <c r="E91" s="646">
        <f>'1.2.sz.mell. _köt'!E91+'1.3.sz.mell._önk'!E90+'1.4.sz.mell._állig'!E90</f>
        <v>0</v>
      </c>
      <c r="F91" s="912">
        <f>'1.2.sz.mell. _köt'!F91+'1.3.sz.mell._önk'!F90+'1.4.sz.mell._állig'!F90</f>
        <v>209</v>
      </c>
    </row>
    <row r="92" spans="1:6" ht="12" customHeight="1" x14ac:dyDescent="0.25">
      <c r="A92" s="18" t="s">
        <v>67</v>
      </c>
      <c r="B92" s="323" t="s">
        <v>312</v>
      </c>
      <c r="C92" s="646">
        <f>'1.2.sz.mell. _köt'!C92+'1.3.sz.mell._önk'!C91+'1.4.sz.mell._állig'!C91</f>
        <v>0</v>
      </c>
      <c r="D92" s="647">
        <f>'1.2.sz.mell. _köt'!D92+'1.3.sz.mell._önk'!D91+'1.4.sz.mell._állig'!D91</f>
        <v>0</v>
      </c>
      <c r="E92" s="646">
        <f>'1.2.sz.mell. _köt'!E92+'1.3.sz.mell._önk'!E91+'1.4.sz.mell._állig'!E91</f>
        <v>0</v>
      </c>
      <c r="F92" s="912">
        <f>'1.2.sz.mell. _köt'!F92+'1.3.sz.mell._önk'!F91+'1.4.sz.mell._állig'!F91</f>
        <v>0</v>
      </c>
    </row>
    <row r="93" spans="1:6" x14ac:dyDescent="0.25">
      <c r="A93" s="18" t="s">
        <v>76</v>
      </c>
      <c r="B93" s="323" t="s">
        <v>313</v>
      </c>
      <c r="C93" s="646">
        <f>'1.2.sz.mell. _köt'!C93+'1.3.sz.mell._önk'!C92+'1.4.sz.mell._állig'!C92</f>
        <v>11</v>
      </c>
      <c r="D93" s="647">
        <f>'1.2.sz.mell. _köt'!D93+'1.3.sz.mell._önk'!D92+'1.4.sz.mell._állig'!D92</f>
        <v>0</v>
      </c>
      <c r="E93" s="646">
        <f>'1.2.sz.mell. _köt'!E93+'1.3.sz.mell._önk'!E92+'1.4.sz.mell._állig'!E92</f>
        <v>0</v>
      </c>
      <c r="F93" s="912">
        <f>'1.2.sz.mell. _köt'!F93+'1.3.sz.mell._önk'!F92+'1.4.sz.mell._állig'!F92</f>
        <v>0</v>
      </c>
    </row>
    <row r="94" spans="1:6" ht="12" customHeight="1" x14ac:dyDescent="0.25">
      <c r="A94" s="18" t="s">
        <v>78</v>
      </c>
      <c r="B94" s="425" t="s">
        <v>284</v>
      </c>
      <c r="C94" s="646">
        <f>'1.2.sz.mell. _köt'!C94+'1.3.sz.mell._önk'!C93+'1.4.sz.mell._állig'!C93</f>
        <v>0</v>
      </c>
      <c r="D94" s="647">
        <f>'1.2.sz.mell. _köt'!D94+'1.3.sz.mell._önk'!D93+'1.4.sz.mell._állig'!D93</f>
        <v>0</v>
      </c>
      <c r="E94" s="646">
        <f>'1.2.sz.mell. _köt'!E94+'1.3.sz.mell._önk'!E93+'1.4.sz.mell._állig'!E93</f>
        <v>0</v>
      </c>
      <c r="F94" s="912">
        <f>'1.2.sz.mell. _köt'!F94+'1.3.sz.mell._önk'!F93+'1.4.sz.mell._állig'!F93</f>
        <v>0</v>
      </c>
    </row>
    <row r="95" spans="1:6" ht="12" customHeight="1" x14ac:dyDescent="0.25">
      <c r="A95" s="18" t="s">
        <v>169</v>
      </c>
      <c r="B95" s="425" t="s">
        <v>285</v>
      </c>
      <c r="C95" s="646">
        <f>'1.2.sz.mell. _köt'!C95+'1.3.sz.mell._önk'!C94+'1.4.sz.mell._állig'!C94</f>
        <v>0</v>
      </c>
      <c r="D95" s="647">
        <f>'1.2.sz.mell. _köt'!D95+'1.3.sz.mell._önk'!D94+'1.4.sz.mell._állig'!D94</f>
        <v>0</v>
      </c>
      <c r="E95" s="646">
        <f>'1.2.sz.mell. _köt'!E95+'1.3.sz.mell._önk'!E94+'1.4.sz.mell._állig'!E94</f>
        <v>0</v>
      </c>
      <c r="F95" s="912">
        <f>'1.2.sz.mell. _köt'!F95+'1.3.sz.mell._önk'!F94+'1.4.sz.mell._állig'!F94</f>
        <v>0</v>
      </c>
    </row>
    <row r="96" spans="1:6" ht="12" customHeight="1" x14ac:dyDescent="0.25">
      <c r="A96" s="18" t="s">
        <v>170</v>
      </c>
      <c r="B96" s="425" t="s">
        <v>283</v>
      </c>
      <c r="C96" s="646">
        <f>'1.2.sz.mell. _köt'!C96+'1.3.sz.mell._önk'!C95+'1.4.sz.mell._állig'!C95</f>
        <v>0</v>
      </c>
      <c r="D96" s="647">
        <f>'1.2.sz.mell. _köt'!D96+'1.3.sz.mell._önk'!D95+'1.4.sz.mell._állig'!D95</f>
        <v>0</v>
      </c>
      <c r="E96" s="646">
        <f>'1.2.sz.mell. _köt'!E96+'1.3.sz.mell._önk'!E95+'1.4.sz.mell._állig'!E95</f>
        <v>0</v>
      </c>
      <c r="F96" s="912">
        <f>'1.2.sz.mell. _köt'!F96+'1.3.sz.mell._önk'!F95+'1.4.sz.mell._állig'!F95</f>
        <v>1844</v>
      </c>
    </row>
    <row r="97" spans="1:6" ht="24" customHeight="1" thickBot="1" x14ac:dyDescent="0.3">
      <c r="A97" s="15" t="s">
        <v>171</v>
      </c>
      <c r="B97" s="426" t="s">
        <v>282</v>
      </c>
      <c r="C97" s="673">
        <f>'1.2.sz.mell. _köt'!C97+'1.3.sz.mell._önk'!C96+'1.4.sz.mell._állig'!C96</f>
        <v>0</v>
      </c>
      <c r="D97" s="667">
        <f>'1.2.sz.mell. _köt'!D97+'1.3.sz.mell._önk'!D96+'1.4.sz.mell._állig'!D96</f>
        <v>0</v>
      </c>
      <c r="E97" s="673">
        <f>'1.2.sz.mell. _köt'!E97+'1.3.sz.mell._önk'!E96+'1.4.sz.mell._állig'!E96</f>
        <v>0</v>
      </c>
      <c r="F97" s="1257">
        <f>'1.2.sz.mell. _köt'!F97+'1.3.sz.mell._önk'!F96+'1.4.sz.mell._állig'!F96</f>
        <v>0</v>
      </c>
    </row>
    <row r="98" spans="1:6" ht="12" customHeight="1" thickBot="1" x14ac:dyDescent="0.3">
      <c r="A98" s="23" t="s">
        <v>905</v>
      </c>
      <c r="B98" s="134" t="s">
        <v>314</v>
      </c>
      <c r="C98" s="648">
        <f>+C99+C100</f>
        <v>0</v>
      </c>
      <c r="D98" s="644">
        <f>+D99+D100</f>
        <v>15701</v>
      </c>
      <c r="E98" s="643">
        <f>+E99+E100</f>
        <v>6592</v>
      </c>
      <c r="F98" s="689">
        <f>+F99+F100</f>
        <v>32633</v>
      </c>
    </row>
    <row r="99" spans="1:6" ht="12" customHeight="1" x14ac:dyDescent="0.25">
      <c r="A99" s="18" t="s">
        <v>37</v>
      </c>
      <c r="B99" s="11" t="s">
        <v>3</v>
      </c>
      <c r="C99" s="671">
        <f>'1.2.sz.mell. _köt'!C99+'1.3.sz.mell._önk'!C98+'1.4.sz.mell._állig'!C98</f>
        <v>0</v>
      </c>
      <c r="D99" s="672">
        <f>'1.2.sz.mell. _köt'!D99+'1.3.sz.mell._önk'!D98+'1.4.sz.mell._állig'!D98</f>
        <v>12884</v>
      </c>
      <c r="E99" s="707">
        <f>'1.2.sz.mell. _köt'!E99+'1.3.sz.mell._önk'!E98+'1.4.sz.mell._állig'!E98</f>
        <v>3346</v>
      </c>
      <c r="F99" s="1259">
        <f>'1.2.sz.mell. _köt'!F99+'1.3.sz.mell._önk'!F98+'1.4.sz.mell._állig'!F98</f>
        <v>11208</v>
      </c>
    </row>
    <row r="100" spans="1:6" ht="12" customHeight="1" thickBot="1" x14ac:dyDescent="0.3">
      <c r="A100" s="19" t="s">
        <v>38</v>
      </c>
      <c r="B100" s="14" t="s">
        <v>4</v>
      </c>
      <c r="C100" s="666">
        <f>'1.2.sz.mell. _köt'!C100+'1.3.sz.mell._önk'!C99+'1.4.sz.mell._állig'!C99</f>
        <v>0</v>
      </c>
      <c r="D100" s="667">
        <f>'1.2.sz.mell. _köt'!D100+'1.3.sz.mell._önk'!D99+'1.4.sz.mell._állig'!D99</f>
        <v>2817</v>
      </c>
      <c r="E100" s="673">
        <f>'1.2.sz.mell. _köt'!E100+'1.3.sz.mell._önk'!E99+'1.4.sz.mell._állig'!E99</f>
        <v>3246</v>
      </c>
      <c r="F100" s="1257">
        <f>'1.2.sz.mell. _köt'!F100+'1.3.sz.mell._önk'!F99+'1.4.sz.mell._állig'!F99</f>
        <v>21425</v>
      </c>
    </row>
    <row r="101" spans="1:6" s="321" customFormat="1" ht="12" customHeight="1" thickBot="1" x14ac:dyDescent="0.25">
      <c r="A101" s="327" t="s">
        <v>906</v>
      </c>
      <c r="B101" s="322" t="s">
        <v>286</v>
      </c>
      <c r="C101" s="674"/>
      <c r="D101" s="675"/>
      <c r="E101" s="674"/>
      <c r="F101" s="898"/>
    </row>
    <row r="102" spans="1:6" ht="12" customHeight="1" thickBot="1" x14ac:dyDescent="0.3">
      <c r="A102" s="319" t="s">
        <v>907</v>
      </c>
      <c r="B102" s="320" t="s">
        <v>105</v>
      </c>
      <c r="C102" s="640">
        <f>+C73+C87+C98+C101</f>
        <v>280362</v>
      </c>
      <c r="D102" s="641">
        <f>+D73+D87+D98+D101</f>
        <v>341543</v>
      </c>
      <c r="E102" s="1239">
        <f>+E73+E87+E98+E101</f>
        <v>318813</v>
      </c>
      <c r="F102" s="1243">
        <f>+F73+F87+F98+F101</f>
        <v>365788</v>
      </c>
    </row>
    <row r="103" spans="1:6" ht="12" customHeight="1" thickBot="1" x14ac:dyDescent="0.3">
      <c r="A103" s="327" t="s">
        <v>908</v>
      </c>
      <c r="B103" s="322" t="s">
        <v>383</v>
      </c>
      <c r="C103" s="648">
        <f>+C104+C112</f>
        <v>0</v>
      </c>
      <c r="D103" s="644">
        <f>+D104+D112</f>
        <v>0</v>
      </c>
      <c r="E103" s="643">
        <f>+E104+E112</f>
        <v>0</v>
      </c>
      <c r="F103" s="689">
        <f>+F104+F112</f>
        <v>5704</v>
      </c>
    </row>
    <row r="104" spans="1:6" ht="12" customHeight="1" thickBot="1" x14ac:dyDescent="0.3">
      <c r="A104" s="342" t="s">
        <v>44</v>
      </c>
      <c r="B104" s="427" t="s">
        <v>384</v>
      </c>
      <c r="C104" s="676">
        <f>+C105+C106+C107+C108+C109+C110+C111</f>
        <v>0</v>
      </c>
      <c r="D104" s="677">
        <f>+D105+D106+D107+D108+D109+D110+D111</f>
        <v>0</v>
      </c>
      <c r="E104" s="1251">
        <f>+E105+E106+E107+E108+E109+E110+E111</f>
        <v>0</v>
      </c>
      <c r="F104" s="1260">
        <f>+F105+F106+F107+F108+F109+F110+F111</f>
        <v>5704</v>
      </c>
    </row>
    <row r="105" spans="1:6" ht="12" customHeight="1" x14ac:dyDescent="0.25">
      <c r="A105" s="335" t="s">
        <v>47</v>
      </c>
      <c r="B105" s="336" t="s">
        <v>287</v>
      </c>
      <c r="C105" s="678">
        <f>'1.2.sz.mell. _köt'!C105+'1.3.sz.mell._önk'!C104+'1.4.sz.mell._állig'!C104</f>
        <v>0</v>
      </c>
      <c r="D105" s="914">
        <f>'1.2.sz.mell. _köt'!D105+'1.3.sz.mell._önk'!D104+'1.4.sz.mell._állig'!D104</f>
        <v>0</v>
      </c>
      <c r="E105" s="1252">
        <f>'1.2.sz.mell. _köt'!E105+'1.3.sz.mell._önk'!E104+'1.4.sz.mell._állig'!E104</f>
        <v>0</v>
      </c>
      <c r="F105" s="1261">
        <f>'1.2.sz.mell. _köt'!F105+'1.3.sz.mell._önk'!F104+'1.4.sz.mell._állig'!F104</f>
        <v>0</v>
      </c>
    </row>
    <row r="106" spans="1:6" ht="12" customHeight="1" x14ac:dyDescent="0.25">
      <c r="A106" s="328" t="s">
        <v>48</v>
      </c>
      <c r="B106" s="323" t="s">
        <v>288</v>
      </c>
      <c r="C106" s="680">
        <f>'1.2.sz.mell. _köt'!C106+'1.3.sz.mell._önk'!C105+'1.4.sz.mell._állig'!C105</f>
        <v>0</v>
      </c>
      <c r="D106" s="915">
        <f>'1.2.sz.mell. _köt'!D106+'1.3.sz.mell._önk'!D105+'1.4.sz.mell._állig'!D105</f>
        <v>0</v>
      </c>
      <c r="E106" s="1253">
        <f>'1.2.sz.mell. _köt'!E106+'1.3.sz.mell._önk'!E105+'1.4.sz.mell._állig'!E105</f>
        <v>0</v>
      </c>
      <c r="F106" s="1262">
        <f>'1.2.sz.mell. _köt'!F106+'1.3.sz.mell._önk'!F105+'1.4.sz.mell._állig'!F105</f>
        <v>0</v>
      </c>
    </row>
    <row r="107" spans="1:6" ht="12" customHeight="1" x14ac:dyDescent="0.25">
      <c r="A107" s="328" t="s">
        <v>49</v>
      </c>
      <c r="B107" s="323" t="s">
        <v>289</v>
      </c>
      <c r="C107" s="680">
        <f>'1.2.sz.mell. _köt'!C107+'1.3.sz.mell._önk'!C106+'1.4.sz.mell._állig'!C106</f>
        <v>0</v>
      </c>
      <c r="D107" s="915">
        <f>'1.2.sz.mell. _köt'!D107+'1.3.sz.mell._önk'!D106+'1.4.sz.mell._állig'!D106</f>
        <v>0</v>
      </c>
      <c r="E107" s="1253">
        <f>'1.2.sz.mell. _köt'!E107+'1.3.sz.mell._önk'!E106+'1.4.sz.mell._állig'!E106</f>
        <v>0</v>
      </c>
      <c r="F107" s="1262">
        <f>'1.2.sz.mell. _köt'!F107+'1.3.sz.mell._önk'!F106+'1.4.sz.mell._állig'!F106</f>
        <v>0</v>
      </c>
    </row>
    <row r="108" spans="1:6" ht="12" customHeight="1" x14ac:dyDescent="0.25">
      <c r="A108" s="328" t="s">
        <v>50</v>
      </c>
      <c r="B108" s="323" t="s">
        <v>290</v>
      </c>
      <c r="C108" s="680">
        <f>'1.2.sz.mell. _köt'!C108+'1.3.sz.mell._önk'!C107+'1.4.sz.mell._állig'!C107</f>
        <v>0</v>
      </c>
      <c r="D108" s="915">
        <f>'1.2.sz.mell. _köt'!D108+'1.3.sz.mell._önk'!D107+'1.4.sz.mell._állig'!D107</f>
        <v>0</v>
      </c>
      <c r="E108" s="1253">
        <f>'1.2.sz.mell. _köt'!E108+'1.3.sz.mell._önk'!E107+'1.4.sz.mell._állig'!E107</f>
        <v>0</v>
      </c>
      <c r="F108" s="1262">
        <f>'1.2.sz.mell. _köt'!F108+'1.3.sz.mell._önk'!F107+'1.4.sz.mell._állig'!F107</f>
        <v>0</v>
      </c>
    </row>
    <row r="109" spans="1:6" ht="12" customHeight="1" x14ac:dyDescent="0.25">
      <c r="A109" s="328" t="s">
        <v>154</v>
      </c>
      <c r="B109" s="323" t="s">
        <v>291</v>
      </c>
      <c r="C109" s="680">
        <f>'1.2.sz.mell. _köt'!C109+'1.3.sz.mell._önk'!C108+'1.4.sz.mell._állig'!C108</f>
        <v>0</v>
      </c>
      <c r="D109" s="915">
        <f>'1.2.sz.mell. _köt'!D109+'1.3.sz.mell._önk'!D108+'1.4.sz.mell._állig'!D108</f>
        <v>0</v>
      </c>
      <c r="E109" s="1253">
        <f>'1.2.sz.mell. _köt'!E109+'1.3.sz.mell._önk'!E108+'1.4.sz.mell._állig'!E108</f>
        <v>0</v>
      </c>
      <c r="F109" s="1262">
        <f>'1.2.sz.mell. _köt'!F109+'1.3.sz.mell._önk'!F108+'1.4.sz.mell._állig'!F108</f>
        <v>0</v>
      </c>
    </row>
    <row r="110" spans="1:6" ht="12" customHeight="1" x14ac:dyDescent="0.25">
      <c r="A110" s="328" t="s">
        <v>172</v>
      </c>
      <c r="B110" s="323" t="s">
        <v>292</v>
      </c>
      <c r="C110" s="680">
        <f>'1.2.sz.mell. _köt'!C110+'1.3.sz.mell._önk'!C109+'1.4.sz.mell._állig'!C109</f>
        <v>0</v>
      </c>
      <c r="D110" s="915">
        <f>'1.2.sz.mell. _köt'!D110+'1.3.sz.mell._önk'!D109+'1.4.sz.mell._állig'!D109</f>
        <v>0</v>
      </c>
      <c r="E110" s="1253">
        <f>'1.2.sz.mell. _köt'!E110+'1.3.sz.mell._önk'!E109+'1.4.sz.mell._állig'!E109</f>
        <v>0</v>
      </c>
      <c r="F110" s="1262">
        <f>'1.2.sz.mell. _köt'!F110+'1.3.sz.mell._önk'!F109+'1.4.sz.mell._állig'!F109</f>
        <v>0</v>
      </c>
    </row>
    <row r="111" spans="1:6" ht="12" customHeight="1" thickBot="1" x14ac:dyDescent="0.3">
      <c r="A111" s="337" t="s">
        <v>173</v>
      </c>
      <c r="B111" s="338" t="s">
        <v>1207</v>
      </c>
      <c r="C111" s="682">
        <f>'1.2.sz.mell. _köt'!C111+'1.3.sz.mell._önk'!C110+'1.4.sz.mell._állig'!C110</f>
        <v>0</v>
      </c>
      <c r="D111" s="920">
        <f>'1.2.sz.mell. _köt'!D111+'1.3.sz.mell._önk'!D110+'1.4.sz.mell._állig'!D110</f>
        <v>0</v>
      </c>
      <c r="E111" s="1254">
        <f>'1.2.sz.mell. _köt'!E111+'1.3.sz.mell._önk'!E110+'1.4.sz.mell._állig'!E110</f>
        <v>0</v>
      </c>
      <c r="F111" s="1263">
        <f>'9. sz. mell'!G96</f>
        <v>5704</v>
      </c>
    </row>
    <row r="112" spans="1:6" ht="12" customHeight="1" thickBot="1" x14ac:dyDescent="0.3">
      <c r="A112" s="342" t="s">
        <v>45</v>
      </c>
      <c r="B112" s="427" t="s">
        <v>385</v>
      </c>
      <c r="C112" s="676">
        <f>+C113+C114+C115+C116+C117+C118+C119+C120</f>
        <v>0</v>
      </c>
      <c r="D112" s="677">
        <f>+D113+D114+D115+D116+D117+D118+D119+D120</f>
        <v>0</v>
      </c>
      <c r="E112" s="1251">
        <f>+E113+E114+E115+E116+E117+E118+E119+E120</f>
        <v>0</v>
      </c>
      <c r="F112" s="1260">
        <f>+F113+F114+F115+F116+F117+F118+F119+F120</f>
        <v>0</v>
      </c>
    </row>
    <row r="113" spans="1:8" ht="12" customHeight="1" x14ac:dyDescent="0.25">
      <c r="A113" s="335" t="s">
        <v>53</v>
      </c>
      <c r="B113" s="336" t="s">
        <v>287</v>
      </c>
      <c r="C113" s="678">
        <f>'1.2.sz.mell. _köt'!C113+'1.3.sz.mell._önk'!C112+'1.4.sz.mell._állig'!C112</f>
        <v>0</v>
      </c>
      <c r="D113" s="914">
        <f>'1.2.sz.mell. _köt'!D113+'1.3.sz.mell._önk'!D112+'1.4.sz.mell._állig'!D112</f>
        <v>0</v>
      </c>
      <c r="E113" s="1252">
        <f>'1.2.sz.mell. _köt'!E113+'1.3.sz.mell._önk'!E112+'1.4.sz.mell._állig'!E112</f>
        <v>0</v>
      </c>
      <c r="F113" s="1261">
        <f>'1.2.sz.mell. _köt'!F113+'1.3.sz.mell._önk'!F112+'1.4.sz.mell._állig'!F112</f>
        <v>0</v>
      </c>
    </row>
    <row r="114" spans="1:8" ht="12" customHeight="1" x14ac:dyDescent="0.25">
      <c r="A114" s="328" t="s">
        <v>54</v>
      </c>
      <c r="B114" s="323" t="s">
        <v>294</v>
      </c>
      <c r="C114" s="680">
        <f>'1.2.sz.mell. _köt'!C114+'1.3.sz.mell._önk'!C113+'1.4.sz.mell._állig'!C113</f>
        <v>0</v>
      </c>
      <c r="D114" s="915">
        <f>'1.2.sz.mell. _köt'!D114+'1.3.sz.mell._önk'!D113+'1.4.sz.mell._állig'!D113</f>
        <v>0</v>
      </c>
      <c r="E114" s="1253">
        <f>'1.2.sz.mell. _köt'!E114+'1.3.sz.mell._önk'!E113+'1.4.sz.mell._állig'!E113</f>
        <v>0</v>
      </c>
      <c r="F114" s="1262">
        <f>'1.2.sz.mell. _köt'!F114+'1.3.sz.mell._önk'!F113+'1.4.sz.mell._állig'!F113</f>
        <v>0</v>
      </c>
    </row>
    <row r="115" spans="1:8" ht="12" customHeight="1" x14ac:dyDescent="0.25">
      <c r="A115" s="328" t="s">
        <v>55</v>
      </c>
      <c r="B115" s="323" t="s">
        <v>289</v>
      </c>
      <c r="C115" s="680">
        <f>'1.2.sz.mell. _köt'!C115+'1.3.sz.mell._önk'!C114+'1.4.sz.mell._állig'!C114</f>
        <v>0</v>
      </c>
      <c r="D115" s="915">
        <f>'1.2.sz.mell. _köt'!D115+'1.3.sz.mell._önk'!D114+'1.4.sz.mell._állig'!D114</f>
        <v>0</v>
      </c>
      <c r="E115" s="1253">
        <f>'1.2.sz.mell. _köt'!E115+'1.3.sz.mell._önk'!E114+'1.4.sz.mell._állig'!E114</f>
        <v>0</v>
      </c>
      <c r="F115" s="1262">
        <f>'1.2.sz.mell. _köt'!F115+'1.3.sz.mell._önk'!F114+'1.4.sz.mell._állig'!F114</f>
        <v>0</v>
      </c>
    </row>
    <row r="116" spans="1:8" ht="12" customHeight="1" x14ac:dyDescent="0.25">
      <c r="A116" s="328" t="s">
        <v>56</v>
      </c>
      <c r="B116" s="323" t="s">
        <v>290</v>
      </c>
      <c r="C116" s="680">
        <f>'1.2.sz.mell. _köt'!C116+'1.3.sz.mell._önk'!C115+'1.4.sz.mell._állig'!C115</f>
        <v>0</v>
      </c>
      <c r="D116" s="915">
        <f>'1.2.sz.mell. _köt'!D116+'1.3.sz.mell._önk'!D115+'1.4.sz.mell._állig'!D115</f>
        <v>0</v>
      </c>
      <c r="E116" s="1253">
        <f>'1.2.sz.mell. _köt'!E116+'1.3.sz.mell._önk'!E115+'1.4.sz.mell._állig'!E115</f>
        <v>0</v>
      </c>
      <c r="F116" s="1262">
        <f>'1.2.sz.mell. _köt'!F116+'1.3.sz.mell._önk'!F115+'1.4.sz.mell._állig'!F115</f>
        <v>0</v>
      </c>
    </row>
    <row r="117" spans="1:8" ht="12" customHeight="1" x14ac:dyDescent="0.25">
      <c r="A117" s="328" t="s">
        <v>155</v>
      </c>
      <c r="B117" s="323" t="s">
        <v>291</v>
      </c>
      <c r="C117" s="680">
        <f>'1.2.sz.mell. _köt'!C117+'1.3.sz.mell._önk'!C116+'1.4.sz.mell._állig'!C116</f>
        <v>0</v>
      </c>
      <c r="D117" s="915">
        <f>'1.2.sz.mell. _köt'!D117+'1.3.sz.mell._önk'!D116+'1.4.sz.mell._állig'!D116</f>
        <v>0</v>
      </c>
      <c r="E117" s="1253">
        <f>'1.2.sz.mell. _köt'!E117+'1.3.sz.mell._önk'!E116+'1.4.sz.mell._állig'!E116</f>
        <v>0</v>
      </c>
      <c r="F117" s="1262">
        <f>'1.2.sz.mell. _köt'!F117+'1.3.sz.mell._önk'!F116+'1.4.sz.mell._állig'!F116</f>
        <v>0</v>
      </c>
    </row>
    <row r="118" spans="1:8" ht="12" customHeight="1" x14ac:dyDescent="0.25">
      <c r="A118" s="328" t="s">
        <v>174</v>
      </c>
      <c r="B118" s="323" t="s">
        <v>295</v>
      </c>
      <c r="C118" s="680">
        <f>'1.2.sz.mell. _köt'!C118+'1.3.sz.mell._önk'!C117+'1.4.sz.mell._állig'!C117</f>
        <v>0</v>
      </c>
      <c r="D118" s="915">
        <f>'1.2.sz.mell. _köt'!D118+'1.3.sz.mell._önk'!D117+'1.4.sz.mell._állig'!D117</f>
        <v>0</v>
      </c>
      <c r="E118" s="1253">
        <f>'1.2.sz.mell. _köt'!E118+'1.3.sz.mell._önk'!E117+'1.4.sz.mell._állig'!E117</f>
        <v>0</v>
      </c>
      <c r="F118" s="1262">
        <f>'1.2.sz.mell. _köt'!F118+'1.3.sz.mell._önk'!F117+'1.4.sz.mell._állig'!F117</f>
        <v>0</v>
      </c>
    </row>
    <row r="119" spans="1:8" ht="12" customHeight="1" x14ac:dyDescent="0.25">
      <c r="A119" s="328" t="s">
        <v>175</v>
      </c>
      <c r="B119" s="323" t="s">
        <v>293</v>
      </c>
      <c r="C119" s="680">
        <f>'1.2.sz.mell. _köt'!C119+'1.3.sz.mell._önk'!C118+'1.4.sz.mell._állig'!C118</f>
        <v>0</v>
      </c>
      <c r="D119" s="915">
        <f>'1.2.sz.mell. _köt'!D119+'1.3.sz.mell._önk'!D118+'1.4.sz.mell._állig'!D118</f>
        <v>0</v>
      </c>
      <c r="E119" s="1253">
        <f>'1.2.sz.mell. _köt'!E119+'1.3.sz.mell._önk'!E118+'1.4.sz.mell._állig'!E118</f>
        <v>0</v>
      </c>
      <c r="F119" s="1262">
        <f>'1.2.sz.mell. _köt'!F119+'1.3.sz.mell._önk'!F118+'1.4.sz.mell._állig'!F118</f>
        <v>0</v>
      </c>
    </row>
    <row r="120" spans="1:8" ht="12" customHeight="1" thickBot="1" x14ac:dyDescent="0.3">
      <c r="A120" s="337" t="s">
        <v>176</v>
      </c>
      <c r="B120" s="338" t="s">
        <v>386</v>
      </c>
      <c r="C120" s="682">
        <f>'1.2.sz.mell. _köt'!C120+'1.3.sz.mell._önk'!C119+'1.4.sz.mell._állig'!C119</f>
        <v>0</v>
      </c>
      <c r="D120" s="920">
        <f>'1.2.sz.mell. _köt'!D120+'1.3.sz.mell._önk'!D119+'1.4.sz.mell._állig'!D119</f>
        <v>0</v>
      </c>
      <c r="E120" s="1254">
        <f>'1.2.sz.mell. _köt'!E120+'1.3.sz.mell._önk'!E119+'1.4.sz.mell._állig'!E119</f>
        <v>0</v>
      </c>
      <c r="F120" s="1263">
        <f>'1.2.sz.mell. _köt'!F120+'1.3.sz.mell._önk'!F119+'1.4.sz.mell._állig'!F119</f>
        <v>0</v>
      </c>
    </row>
    <row r="121" spans="1:8" ht="12" customHeight="1" thickBot="1" x14ac:dyDescent="0.3">
      <c r="A121" s="327" t="s">
        <v>909</v>
      </c>
      <c r="B121" s="423" t="s">
        <v>296</v>
      </c>
      <c r="C121" s="684">
        <f>+C102+C103</f>
        <v>280362</v>
      </c>
      <c r="D121" s="921">
        <f>+D102+D103</f>
        <v>341543</v>
      </c>
      <c r="E121" s="1255">
        <f>+E102+E103</f>
        <v>318813</v>
      </c>
      <c r="F121" s="690">
        <f>+F102+F103</f>
        <v>371492</v>
      </c>
    </row>
    <row r="122" spans="1:8" ht="15" customHeight="1" thickBot="1" x14ac:dyDescent="0.3">
      <c r="A122" s="327" t="s">
        <v>910</v>
      </c>
      <c r="B122" s="423" t="s">
        <v>297</v>
      </c>
      <c r="C122" s="680">
        <f>'1.2.sz.mell. _köt'!C122+'1.3.sz.mell._önk'!C121+'1.4.sz.mell._állig'!C121</f>
        <v>6015</v>
      </c>
      <c r="D122" s="915">
        <f>'1.2.sz.mell. _köt'!D122+'1.3.sz.mell._önk'!D121+'1.4.sz.mell._állig'!D121</f>
        <v>0</v>
      </c>
      <c r="E122" s="1256"/>
      <c r="F122" s="1264"/>
      <c r="G122" s="135"/>
      <c r="H122" s="135"/>
    </row>
    <row r="123" spans="1:8" s="1" customFormat="1" ht="12.95" customHeight="1" thickBot="1" x14ac:dyDescent="0.25">
      <c r="A123" s="339" t="s">
        <v>911</v>
      </c>
      <c r="B123" s="424" t="s">
        <v>298</v>
      </c>
      <c r="C123" s="658">
        <f>+C121+C122</f>
        <v>286377</v>
      </c>
      <c r="D123" s="659">
        <f>+D121+D122</f>
        <v>341543</v>
      </c>
      <c r="E123" s="1241">
        <f>+E121+E122</f>
        <v>318813</v>
      </c>
      <c r="F123" s="1248">
        <f>+F121+F122</f>
        <v>371492</v>
      </c>
      <c r="G123" s="820"/>
    </row>
    <row r="124" spans="1:8" ht="19.5" customHeight="1" x14ac:dyDescent="0.25">
      <c r="A124" s="428"/>
      <c r="B124" s="428"/>
      <c r="C124" s="688"/>
      <c r="D124" s="688"/>
      <c r="E124" s="688"/>
      <c r="F124" s="688"/>
      <c r="G124" s="932"/>
    </row>
    <row r="125" spans="1:8" ht="53.25" hidden="1" customHeight="1" x14ac:dyDescent="0.25">
      <c r="A125" s="1323" t="s">
        <v>108</v>
      </c>
      <c r="B125" s="1323"/>
      <c r="C125" s="1323"/>
      <c r="D125" s="637"/>
      <c r="E125" s="637"/>
      <c r="F125" s="637"/>
    </row>
    <row r="126" spans="1:8" ht="15" hidden="1" customHeight="1" thickBot="1" x14ac:dyDescent="0.3">
      <c r="A126" s="1321" t="s">
        <v>101</v>
      </c>
      <c r="B126" s="1321"/>
      <c r="C126" s="343"/>
      <c r="D126" s="343"/>
      <c r="E126" s="343" t="s">
        <v>300</v>
      </c>
      <c r="F126" s="343" t="s">
        <v>300</v>
      </c>
    </row>
    <row r="127" spans="1:8" ht="13.5" hidden="1" customHeight="1" thickBot="1" x14ac:dyDescent="0.3">
      <c r="A127" s="23">
        <v>1</v>
      </c>
      <c r="B127" s="35" t="s">
        <v>183</v>
      </c>
      <c r="C127" s="648">
        <f>+C51-C102</f>
        <v>-2256</v>
      </c>
      <c r="D127" s="689">
        <f>+D51-D102</f>
        <v>-48271</v>
      </c>
      <c r="E127" s="689">
        <f>+E51-E102</f>
        <v>0</v>
      </c>
      <c r="F127" s="689">
        <f>+F51-F102</f>
        <v>-54701</v>
      </c>
    </row>
    <row r="128" spans="1:8" ht="7.5" hidden="1" customHeight="1" x14ac:dyDescent="0.25">
      <c r="A128" s="428"/>
      <c r="B128" s="428"/>
      <c r="C128" s="688"/>
      <c r="D128" s="688"/>
      <c r="E128" s="688"/>
      <c r="F128" s="688"/>
    </row>
    <row r="129" spans="1:6" hidden="1" x14ac:dyDescent="0.25">
      <c r="A129" s="1317" t="s">
        <v>299</v>
      </c>
      <c r="B129" s="1317"/>
      <c r="C129" s="1317"/>
      <c r="D129" s="924"/>
      <c r="E129" s="635"/>
      <c r="F129" s="635"/>
    </row>
    <row r="130" spans="1:6" ht="12.75" hidden="1" customHeight="1" thickBot="1" x14ac:dyDescent="0.3">
      <c r="A130" s="1320" t="s">
        <v>102</v>
      </c>
      <c r="B130" s="1320"/>
      <c r="C130" s="344"/>
      <c r="D130" s="344"/>
      <c r="E130" s="344" t="s">
        <v>300</v>
      </c>
      <c r="F130" s="344" t="s">
        <v>300</v>
      </c>
    </row>
    <row r="131" spans="1:6" ht="13.5" hidden="1" customHeight="1" thickBot="1" x14ac:dyDescent="0.3">
      <c r="A131" s="327" t="s">
        <v>903</v>
      </c>
      <c r="B131" s="340" t="s">
        <v>1144</v>
      </c>
      <c r="C131" s="690">
        <f>IF('2.1.sz.mell  '!C32&lt;&gt;"-",'2.1.sz.mell  '!C32,0)</f>
        <v>0</v>
      </c>
      <c r="D131" s="925">
        <f>IF('2.1.sz.mell  '!D32&lt;&gt;"-",'2.1.sz.mell  '!D32,0)</f>
        <v>0</v>
      </c>
      <c r="E131" s="690">
        <f>IF('2.1.sz.mell  '!E32&lt;&gt;"-",'2.1.sz.mell  '!E32,0)</f>
        <v>0</v>
      </c>
      <c r="F131" s="690"/>
    </row>
    <row r="132" spans="1:6" ht="13.5" hidden="1" customHeight="1" thickBot="1" x14ac:dyDescent="0.3">
      <c r="A132" s="327" t="s">
        <v>904</v>
      </c>
      <c r="B132" s="340" t="s">
        <v>1145</v>
      </c>
      <c r="C132" s="690">
        <f>IF('2.2.sz.mell  '!C36&lt;&gt;"-",'2.2.sz.mell  '!C36,0)</f>
        <v>0</v>
      </c>
      <c r="D132" s="925">
        <f>IF('2.2.sz.mell  '!D36&lt;&gt;"-",'2.2.sz.mell  '!D36,0)</f>
        <v>0</v>
      </c>
      <c r="E132" s="690">
        <f>IF('2.2.sz.mell  '!E36&lt;&gt;"-",'2.2.sz.mell  '!E36,0)</f>
        <v>0</v>
      </c>
      <c r="F132" s="690"/>
    </row>
    <row r="133" spans="1:6" ht="13.5" hidden="1" customHeight="1" thickBot="1" x14ac:dyDescent="0.3">
      <c r="A133" s="327" t="s">
        <v>905</v>
      </c>
      <c r="B133" s="340" t="s">
        <v>1146</v>
      </c>
      <c r="C133" s="690">
        <f>C132+C131</f>
        <v>0</v>
      </c>
      <c r="D133" s="925">
        <f>D132+D131</f>
        <v>0</v>
      </c>
      <c r="E133" s="690">
        <f>E132+E131</f>
        <v>0</v>
      </c>
      <c r="F133" s="690">
        <f>F132+F131</f>
        <v>0</v>
      </c>
    </row>
    <row r="134" spans="1:6" ht="7.5" hidden="1" customHeight="1" x14ac:dyDescent="0.25">
      <c r="A134" s="429"/>
      <c r="B134" s="430"/>
      <c r="C134" s="636"/>
      <c r="D134" s="926"/>
      <c r="E134" s="636"/>
      <c r="F134" s="636"/>
    </row>
    <row r="135" spans="1:6" hidden="1" x14ac:dyDescent="0.25">
      <c r="A135" s="1318" t="s">
        <v>301</v>
      </c>
      <c r="B135" s="1318"/>
      <c r="C135" s="1318"/>
      <c r="D135" s="637"/>
      <c r="E135" s="637"/>
      <c r="F135" s="637"/>
    </row>
    <row r="136" spans="1:6" ht="12.75" hidden="1" customHeight="1" thickBot="1" x14ac:dyDescent="0.3">
      <c r="A136" s="1320" t="s">
        <v>302</v>
      </c>
      <c r="B136" s="1320"/>
      <c r="C136" s="344"/>
      <c r="D136" s="344"/>
      <c r="E136" s="344" t="s">
        <v>300</v>
      </c>
      <c r="F136" s="344" t="s">
        <v>300</v>
      </c>
    </row>
    <row r="137" spans="1:6" ht="12.75" hidden="1" customHeight="1" thickBot="1" x14ac:dyDescent="0.3">
      <c r="A137" s="327" t="s">
        <v>903</v>
      </c>
      <c r="B137" s="340" t="s">
        <v>387</v>
      </c>
      <c r="C137" s="690">
        <f>+C138-C141</f>
        <v>52597</v>
      </c>
      <c r="D137" s="925">
        <f>+D138-D141</f>
        <v>48271</v>
      </c>
      <c r="E137" s="690">
        <f>+E138-E141</f>
        <v>0</v>
      </c>
      <c r="F137" s="690">
        <f>+F138-F141</f>
        <v>60405</v>
      </c>
    </row>
    <row r="138" spans="1:6" ht="12.75" hidden="1" customHeight="1" thickBot="1" x14ac:dyDescent="0.3">
      <c r="A138" s="341" t="s">
        <v>57</v>
      </c>
      <c r="B138" s="431" t="s">
        <v>303</v>
      </c>
      <c r="C138" s="691">
        <f>+C52</f>
        <v>52597</v>
      </c>
      <c r="D138" s="927">
        <f>+D52</f>
        <v>48271</v>
      </c>
      <c r="E138" s="691">
        <f>+E52</f>
        <v>0</v>
      </c>
      <c r="F138" s="691">
        <f>+F52</f>
        <v>60405</v>
      </c>
    </row>
    <row r="139" spans="1:6" s="502" customFormat="1" ht="12.75" hidden="1" customHeight="1" thickBot="1" x14ac:dyDescent="0.25">
      <c r="A139" s="501" t="s">
        <v>184</v>
      </c>
      <c r="B139" s="432" t="s">
        <v>304</v>
      </c>
      <c r="C139" s="692">
        <f>+'2.1.sz.mell  '!C27</f>
        <v>26281</v>
      </c>
      <c r="D139" s="928">
        <v>41596</v>
      </c>
      <c r="E139" s="692"/>
      <c r="F139" s="692"/>
    </row>
    <row r="140" spans="1:6" s="502" customFormat="1" ht="12.75" hidden="1" customHeight="1" thickBot="1" x14ac:dyDescent="0.25">
      <c r="A140" s="501" t="s">
        <v>185</v>
      </c>
      <c r="B140" s="432" t="s">
        <v>305</v>
      </c>
      <c r="C140" s="693">
        <f>+'2.2.sz.mell  '!C31</f>
        <v>26316</v>
      </c>
      <c r="D140" s="929">
        <v>6675</v>
      </c>
      <c r="E140" s="693"/>
      <c r="F140" s="693"/>
    </row>
    <row r="141" spans="1:6" ht="12.75" hidden="1" customHeight="1" thickBot="1" x14ac:dyDescent="0.3">
      <c r="A141" s="341" t="s">
        <v>58</v>
      </c>
      <c r="B141" s="431" t="s">
        <v>306</v>
      </c>
      <c r="C141" s="691">
        <f>+C103</f>
        <v>0</v>
      </c>
      <c r="D141" s="927">
        <f>+D103</f>
        <v>0</v>
      </c>
      <c r="E141" s="691"/>
      <c r="F141" s="691"/>
    </row>
    <row r="142" spans="1:6" s="502" customFormat="1" ht="12.75" hidden="1" customHeight="1" thickBot="1" x14ac:dyDescent="0.25">
      <c r="A142" s="501" t="s">
        <v>186</v>
      </c>
      <c r="B142" s="432" t="s">
        <v>307</v>
      </c>
      <c r="C142" s="694">
        <f>+'2.1.sz.mell  '!H27</f>
        <v>0</v>
      </c>
      <c r="D142" s="930">
        <f>+'2.1.sz.mell  '!I27</f>
        <v>0</v>
      </c>
      <c r="E142" s="694"/>
      <c r="F142" s="694"/>
    </row>
    <row r="143" spans="1:6" s="502" customFormat="1" ht="12.75" hidden="1" customHeight="1" thickBot="1" x14ac:dyDescent="0.25">
      <c r="A143" s="501" t="s">
        <v>187</v>
      </c>
      <c r="B143" s="432" t="s">
        <v>308</v>
      </c>
      <c r="C143" s="694">
        <f>+'2.2.sz.mell  '!H31</f>
        <v>11</v>
      </c>
      <c r="D143" s="930">
        <f>+'2.2.sz.mell  '!I31</f>
        <v>0</v>
      </c>
      <c r="E143" s="694"/>
      <c r="F143" s="694"/>
    </row>
    <row r="144" spans="1:6" hidden="1" x14ac:dyDescent="0.25"/>
  </sheetData>
  <mergeCells count="10">
    <mergeCell ref="A129:C129"/>
    <mergeCell ref="A135:C135"/>
    <mergeCell ref="A1:C1"/>
    <mergeCell ref="A136:B136"/>
    <mergeCell ref="A130:B130"/>
    <mergeCell ref="A2:B2"/>
    <mergeCell ref="A70:B70"/>
    <mergeCell ref="A125:C125"/>
    <mergeCell ref="A126:B126"/>
    <mergeCell ref="A69:C69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5" fitToHeight="0" orientation="portrait" r:id="rId1"/>
  <headerFooter alignWithMargins="0">
    <oddHeader>&amp;C&amp;"Times New Roman CE,Félkövér"&amp;12
Csobánka Község Önkormányzat
2015. ÉVI KÖLTSÉGVETÉSÉNEK ÖSSZEVONT MÉRLEGE&amp;R&amp;"Times New Roman CE,Félkövér dőlt"&amp;11 &amp;"Times New Roman CE,Félkövér"1.1. melléklet az 1/2015. (II.13.) önkormányzati rendelethez</oddHeader>
  </headerFooter>
  <rowBreaks count="2" manualBreakCount="2">
    <brk id="67" max="5" man="1"/>
    <brk id="12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view="pageLayout" topLeftCell="A69" zoomScaleNormal="120" zoomScaleSheetLayoutView="100" workbookViewId="0">
      <selection activeCell="B79" sqref="B79"/>
    </sheetView>
  </sheetViews>
  <sheetFormatPr defaultColWidth="9.33203125" defaultRowHeight="15.75" x14ac:dyDescent="0.25"/>
  <cols>
    <col min="1" max="1" width="9" style="433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15.95" customHeight="1" x14ac:dyDescent="0.25">
      <c r="A1" s="1324" t="s">
        <v>900</v>
      </c>
      <c r="B1" s="1324"/>
      <c r="C1" s="1324"/>
      <c r="D1" s="637"/>
      <c r="E1" s="637"/>
      <c r="F1" s="637"/>
    </row>
    <row r="2" spans="1:6" ht="15.95" customHeight="1" thickBot="1" x14ac:dyDescent="0.3">
      <c r="A2" s="1321" t="s">
        <v>99</v>
      </c>
      <c r="B2" s="132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v>115912</v>
      </c>
      <c r="D5" s="641">
        <v>100553</v>
      </c>
      <c r="E5" s="1239">
        <f>+E6+E11+E20</f>
        <v>129230</v>
      </c>
      <c r="F5" s="1243">
        <f>+F6+F11+F20</f>
        <v>119095</v>
      </c>
    </row>
    <row r="6" spans="1:6" s="1" customFormat="1" ht="12" customHeight="1" thickBot="1" x14ac:dyDescent="0.25">
      <c r="A6" s="23" t="s">
        <v>904</v>
      </c>
      <c r="B6" s="836" t="s">
        <v>376</v>
      </c>
      <c r="C6" s="643">
        <v>94867</v>
      </c>
      <c r="D6" s="644">
        <v>79070</v>
      </c>
      <c r="E6" s="643">
        <f>+E7+E8+E9+E10</f>
        <v>98689</v>
      </c>
      <c r="F6" s="689">
        <f>+F7+F8+F9+F10</f>
        <v>88219</v>
      </c>
    </row>
    <row r="7" spans="1:6" s="1" customFormat="1" ht="12" customHeight="1" x14ac:dyDescent="0.2">
      <c r="A7" s="16" t="s">
        <v>63</v>
      </c>
      <c r="B7" s="896" t="s">
        <v>947</v>
      </c>
      <c r="C7" s="646">
        <v>91824</v>
      </c>
      <c r="D7" s="647">
        <v>76570</v>
      </c>
      <c r="E7" s="646">
        <f>'9. sz. mell'!F10</f>
        <v>96496</v>
      </c>
      <c r="F7" s="912">
        <f>'9. sz. mell'!G10</f>
        <v>86026</v>
      </c>
    </row>
    <row r="8" spans="1:6" s="1" customFormat="1" ht="12" customHeight="1" x14ac:dyDescent="0.2">
      <c r="A8" s="16" t="s">
        <v>64</v>
      </c>
      <c r="B8" s="840" t="s">
        <v>33</v>
      </c>
      <c r="C8" s="646"/>
      <c r="D8" s="647"/>
      <c r="E8" s="646">
        <f>'9. sz. mell'!F11</f>
        <v>0</v>
      </c>
      <c r="F8" s="912">
        <f>'9. sz. mell'!G11</f>
        <v>0</v>
      </c>
    </row>
    <row r="9" spans="1:6" s="1" customFormat="1" ht="12" customHeight="1" x14ac:dyDescent="0.2">
      <c r="A9" s="16" t="s">
        <v>65</v>
      </c>
      <c r="B9" s="840" t="s">
        <v>126</v>
      </c>
      <c r="C9" s="646">
        <v>2094</v>
      </c>
      <c r="D9" s="647">
        <v>2000</v>
      </c>
      <c r="E9" s="646">
        <f>'9. sz. mell'!F12</f>
        <v>1592</v>
      </c>
      <c r="F9" s="912">
        <f>'9. sz. mell'!G12</f>
        <v>1592</v>
      </c>
    </row>
    <row r="10" spans="1:6" s="1" customFormat="1" ht="12" customHeight="1" thickBot="1" x14ac:dyDescent="0.25">
      <c r="A10" s="16" t="s">
        <v>66</v>
      </c>
      <c r="B10" s="897" t="s">
        <v>127</v>
      </c>
      <c r="C10" s="646">
        <v>949</v>
      </c>
      <c r="D10" s="647">
        <v>500</v>
      </c>
      <c r="E10" s="646">
        <f>'9. sz. mell'!F13</f>
        <v>601</v>
      </c>
      <c r="F10" s="912">
        <f>'9. sz. mell'!G13</f>
        <v>601</v>
      </c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v>13433</v>
      </c>
      <c r="D11" s="644">
        <v>13483</v>
      </c>
      <c r="E11" s="643">
        <f>+E12+E13+E14+E15+E16+E17+E18+E19</f>
        <v>22409</v>
      </c>
      <c r="F11" s="689">
        <f>+F12+F13+F14+F15+F16+F17+F18+F19</f>
        <v>22744</v>
      </c>
    </row>
    <row r="12" spans="1:6" s="1" customFormat="1" ht="12" customHeight="1" x14ac:dyDescent="0.2">
      <c r="A12" s="20" t="s">
        <v>37</v>
      </c>
      <c r="B12" s="12" t="s">
        <v>133</v>
      </c>
      <c r="C12" s="663"/>
      <c r="D12" s="664"/>
      <c r="E12" s="646">
        <f>'9. sz. mell'!F15</f>
        <v>696</v>
      </c>
      <c r="F12" s="912">
        <f>'9. sz. mell'!G15</f>
        <v>696</v>
      </c>
    </row>
    <row r="13" spans="1:6" s="1" customFormat="1" ht="12" customHeight="1" x14ac:dyDescent="0.2">
      <c r="A13" s="16" t="s">
        <v>38</v>
      </c>
      <c r="B13" s="9" t="s">
        <v>134</v>
      </c>
      <c r="C13" s="646">
        <v>257</v>
      </c>
      <c r="D13" s="647">
        <v>50</v>
      </c>
      <c r="E13" s="646">
        <f>'9. sz. mell'!F16+'10. sz. mell.'!F10+'11. sz. mell.'!F10</f>
        <v>511</v>
      </c>
      <c r="F13" s="912">
        <f>'9. sz. mell'!G16+'10. sz. mell.'!G10+'11. sz. mell.'!G10</f>
        <v>561</v>
      </c>
    </row>
    <row r="14" spans="1:6" s="1" customFormat="1" ht="12" customHeight="1" x14ac:dyDescent="0.2">
      <c r="A14" s="16" t="s">
        <v>39</v>
      </c>
      <c r="B14" s="9" t="s">
        <v>135</v>
      </c>
      <c r="C14" s="646">
        <v>6422</v>
      </c>
      <c r="D14" s="647">
        <v>7223</v>
      </c>
      <c r="E14" s="646">
        <f>'9. sz. mell'!F17+'10. sz. mell.'!F11+'11. sz. mell.'!F11</f>
        <v>16098</v>
      </c>
      <c r="F14" s="912">
        <f>'9. sz. mell'!G17+'10. sz. mell.'!G11+'11. sz. mell.'!G11</f>
        <v>16098</v>
      </c>
    </row>
    <row r="15" spans="1:6" s="1" customFormat="1" ht="12" customHeight="1" x14ac:dyDescent="0.2">
      <c r="A15" s="16" t="s">
        <v>40</v>
      </c>
      <c r="B15" s="9" t="s">
        <v>136</v>
      </c>
      <c r="C15" s="665">
        <v>6056</v>
      </c>
      <c r="D15" s="647">
        <v>4996</v>
      </c>
      <c r="E15" s="646">
        <f>'9. sz. mell'!F18+'10. sz. mell.'!F12+'11. sz. mell.'!F12</f>
        <v>4040</v>
      </c>
      <c r="F15" s="912">
        <f>'9. sz. mell'!G18+'10. sz. mell.'!G12+'11. sz. mell.'!G12</f>
        <v>4040</v>
      </c>
    </row>
    <row r="16" spans="1:6" s="1" customFormat="1" ht="12" customHeight="1" x14ac:dyDescent="0.2">
      <c r="A16" s="15" t="s">
        <v>129</v>
      </c>
      <c r="B16" s="8" t="s">
        <v>137</v>
      </c>
      <c r="C16" s="696">
        <v>0</v>
      </c>
      <c r="D16" s="647">
        <v>0</v>
      </c>
      <c r="E16" s="646">
        <f>'9. sz. mell'!F19+'10. sz. mell.'!F13+'11. sz. mell.'!F13</f>
        <v>0</v>
      </c>
      <c r="F16" s="912">
        <f>'9. sz. mell'!G19+'10. sz. mell.'!G13+'11. sz. mell.'!G13</f>
        <v>0</v>
      </c>
    </row>
    <row r="17" spans="1:6" s="1" customFormat="1" ht="12" customHeight="1" x14ac:dyDescent="0.2">
      <c r="A17" s="16" t="s">
        <v>130</v>
      </c>
      <c r="B17" s="9" t="s">
        <v>240</v>
      </c>
      <c r="C17" s="665">
        <v>218</v>
      </c>
      <c r="D17" s="647">
        <v>1214</v>
      </c>
      <c r="E17" s="646">
        <f>'9. sz. mell'!F20+'10. sz. mell.'!F14+'11. sz. mell.'!F14</f>
        <v>1064</v>
      </c>
      <c r="F17" s="912">
        <f>'9. sz. mell'!G20+'10. sz. mell.'!G14+'11. sz. mell.'!G14</f>
        <v>1064</v>
      </c>
    </row>
    <row r="18" spans="1:6" s="1" customFormat="1" ht="12" customHeight="1" x14ac:dyDescent="0.2">
      <c r="A18" s="16" t="s">
        <v>131</v>
      </c>
      <c r="B18" s="9" t="s">
        <v>139</v>
      </c>
      <c r="C18" s="665">
        <v>0</v>
      </c>
      <c r="D18" s="647">
        <v>0</v>
      </c>
      <c r="E18" s="646">
        <f>'9. sz. mell'!F21+'10. sz. mell.'!F15+'11. sz. mell.'!F15</f>
        <v>0</v>
      </c>
      <c r="F18" s="912">
        <f>'9. sz. mell'!G21+'10. sz. mell.'!G15+'11. sz. mell.'!G15</f>
        <v>0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98">
        <v>259</v>
      </c>
      <c r="D19" s="670">
        <v>0</v>
      </c>
      <c r="E19" s="673">
        <f>'9. sz. mell'!F22+'10. sz. mell.'!F16+'11. sz. mell.'!F16</f>
        <v>0</v>
      </c>
      <c r="F19" s="1257">
        <f>'9. sz. mell'!G22+'10. sz. mell.'!G16+'11. sz. mell.'!G16</f>
        <v>285</v>
      </c>
    </row>
    <row r="20" spans="1:6" s="1" customFormat="1" ht="12" customHeight="1" thickBot="1" x14ac:dyDescent="0.25">
      <c r="A20" s="23" t="s">
        <v>141</v>
      </c>
      <c r="B20" s="24" t="s">
        <v>970</v>
      </c>
      <c r="C20" s="700">
        <v>7833</v>
      </c>
      <c r="D20" s="701">
        <v>8000</v>
      </c>
      <c r="E20" s="713">
        <f>'9. sz. mell'!F23</f>
        <v>8132</v>
      </c>
      <c r="F20" s="898">
        <f>'9. sz. mell'!G23</f>
        <v>8132</v>
      </c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v>136964</v>
      </c>
      <c r="D21" s="644">
        <v>154410</v>
      </c>
      <c r="E21" s="643">
        <f>+E22+E23+E24+E25+E26+E27+E28+E29</f>
        <v>166940</v>
      </c>
      <c r="F21" s="689">
        <f>+F22+F23+F24+F25+F26+F27+F28+F29</f>
        <v>169349</v>
      </c>
    </row>
    <row r="22" spans="1:6" s="1" customFormat="1" ht="12" customHeight="1" x14ac:dyDescent="0.2">
      <c r="A22" s="18" t="s">
        <v>41</v>
      </c>
      <c r="B22" s="11" t="s">
        <v>838</v>
      </c>
      <c r="C22" s="671">
        <v>122087</v>
      </c>
      <c r="D22" s="672">
        <v>149564</v>
      </c>
      <c r="E22" s="707">
        <f>'9. sz. mell'!F25</f>
        <v>166940</v>
      </c>
      <c r="F22" s="1259">
        <f>'9. sz. mell'!G25</f>
        <v>169349</v>
      </c>
    </row>
    <row r="23" spans="1:6" s="1" customFormat="1" ht="12" customHeight="1" x14ac:dyDescent="0.2">
      <c r="A23" s="16" t="s">
        <v>42</v>
      </c>
      <c r="B23" s="9" t="s">
        <v>149</v>
      </c>
      <c r="C23" s="665">
        <v>5457</v>
      </c>
      <c r="D23" s="647">
        <v>1943</v>
      </c>
      <c r="E23" s="646"/>
      <c r="F23" s="912"/>
    </row>
    <row r="24" spans="1:6" s="1" customFormat="1" ht="12" customHeight="1" x14ac:dyDescent="0.2">
      <c r="A24" s="16" t="s">
        <v>43</v>
      </c>
      <c r="B24" s="9" t="s">
        <v>46</v>
      </c>
      <c r="C24" s="665"/>
      <c r="D24" s="647">
        <v>966</v>
      </c>
      <c r="E24" s="646"/>
      <c r="F24" s="912"/>
    </row>
    <row r="25" spans="1:6" s="1" customFormat="1" ht="12" customHeight="1" x14ac:dyDescent="0.2">
      <c r="A25" s="19" t="s">
        <v>144</v>
      </c>
      <c r="B25" s="9" t="s">
        <v>952</v>
      </c>
      <c r="C25" s="666">
        <v>9420</v>
      </c>
      <c r="D25" s="667"/>
      <c r="E25" s="673"/>
      <c r="F25" s="1257"/>
    </row>
    <row r="26" spans="1:6" s="1" customFormat="1" ht="12" customHeight="1" x14ac:dyDescent="0.2">
      <c r="A26" s="19" t="s">
        <v>145</v>
      </c>
      <c r="B26" s="9" t="s">
        <v>151</v>
      </c>
      <c r="C26" s="666"/>
      <c r="D26" s="667"/>
      <c r="E26" s="673"/>
      <c r="F26" s="1257"/>
    </row>
    <row r="27" spans="1:6" s="1" customFormat="1" ht="12" customHeight="1" x14ac:dyDescent="0.2">
      <c r="A27" s="16" t="s">
        <v>146</v>
      </c>
      <c r="B27" s="9" t="s">
        <v>152</v>
      </c>
      <c r="C27" s="665"/>
      <c r="D27" s="647"/>
      <c r="E27" s="646"/>
      <c r="F27" s="912"/>
    </row>
    <row r="28" spans="1:6" s="1" customFormat="1" ht="12" customHeight="1" x14ac:dyDescent="0.2">
      <c r="A28" s="16" t="s">
        <v>147</v>
      </c>
      <c r="B28" s="9" t="s">
        <v>1184</v>
      </c>
      <c r="C28" s="702"/>
      <c r="D28" s="703"/>
      <c r="E28" s="704"/>
      <c r="F28" s="1267"/>
    </row>
    <row r="29" spans="1:6" s="1" customFormat="1" ht="12" customHeight="1" thickBot="1" x14ac:dyDescent="0.25">
      <c r="A29" s="16" t="s">
        <v>148</v>
      </c>
      <c r="B29" s="14" t="s">
        <v>971</v>
      </c>
      <c r="C29" s="702"/>
      <c r="D29" s="703">
        <v>1937</v>
      </c>
      <c r="E29" s="704"/>
      <c r="F29" s="1267"/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v>16051</v>
      </c>
      <c r="D30" s="644">
        <v>37895</v>
      </c>
      <c r="E30" s="643">
        <f>+E31+E37</f>
        <v>22434</v>
      </c>
      <c r="F30" s="689">
        <f>+F31+F37</f>
        <v>22434</v>
      </c>
    </row>
    <row r="31" spans="1:6" s="1" customFormat="1" ht="12" customHeight="1" x14ac:dyDescent="0.2">
      <c r="A31" s="316" t="s">
        <v>44</v>
      </c>
      <c r="B31" s="899" t="s">
        <v>378</v>
      </c>
      <c r="C31" s="651">
        <v>14598</v>
      </c>
      <c r="D31" s="652">
        <v>22134</v>
      </c>
      <c r="E31" s="651">
        <f>+E32+E33+E34+E35+E36</f>
        <v>10419</v>
      </c>
      <c r="F31" s="1245">
        <f>+F32+F33+F34+F35+F36</f>
        <v>10419</v>
      </c>
    </row>
    <row r="32" spans="1:6" s="1" customFormat="1" ht="12" customHeight="1" x14ac:dyDescent="0.2">
      <c r="A32" s="317" t="s">
        <v>47</v>
      </c>
      <c r="B32" s="832" t="s">
        <v>243</v>
      </c>
      <c r="C32" s="704">
        <v>4192</v>
      </c>
      <c r="D32" s="703">
        <v>3996</v>
      </c>
      <c r="E32" s="704">
        <f>'9. sz. mell'!F35</f>
        <v>4696</v>
      </c>
      <c r="F32" s="1267">
        <f>'9. sz. mell'!G35</f>
        <v>4696</v>
      </c>
    </row>
    <row r="33" spans="1:6" s="1" customFormat="1" ht="12" customHeight="1" x14ac:dyDescent="0.2">
      <c r="A33" s="317" t="s">
        <v>48</v>
      </c>
      <c r="B33" s="832" t="s">
        <v>244</v>
      </c>
      <c r="C33" s="704"/>
      <c r="D33" s="703"/>
      <c r="E33" s="704">
        <f>'9. sz. mell'!F36</f>
        <v>0</v>
      </c>
      <c r="F33" s="1267">
        <f>'9. sz. mell'!G36</f>
        <v>0</v>
      </c>
    </row>
    <row r="34" spans="1:6" s="1" customFormat="1" ht="12" customHeight="1" x14ac:dyDescent="0.2">
      <c r="A34" s="317" t="s">
        <v>49</v>
      </c>
      <c r="B34" s="832" t="s">
        <v>245</v>
      </c>
      <c r="C34" s="704"/>
      <c r="D34" s="703"/>
      <c r="E34" s="704">
        <f>'9. sz. mell'!F37</f>
        <v>0</v>
      </c>
      <c r="F34" s="1267">
        <f>'9. sz. mell'!G37</f>
        <v>0</v>
      </c>
    </row>
    <row r="35" spans="1:6" s="1" customFormat="1" ht="12" customHeight="1" x14ac:dyDescent="0.2">
      <c r="A35" s="317" t="s">
        <v>50</v>
      </c>
      <c r="B35" s="832" t="s">
        <v>246</v>
      </c>
      <c r="C35" s="704"/>
      <c r="D35" s="703"/>
      <c r="E35" s="704">
        <f>'9. sz. mell'!F38</f>
        <v>0</v>
      </c>
      <c r="F35" s="1267">
        <f>'9. sz. mell'!G38</f>
        <v>0</v>
      </c>
    </row>
    <row r="36" spans="1:6" s="1" customFormat="1" ht="12" customHeight="1" x14ac:dyDescent="0.2">
      <c r="A36" s="317" t="s">
        <v>154</v>
      </c>
      <c r="B36" s="832" t="s">
        <v>379</v>
      </c>
      <c r="C36" s="704">
        <v>10406</v>
      </c>
      <c r="D36" s="703">
        <v>18138</v>
      </c>
      <c r="E36" s="704">
        <f>'9. sz. mell'!F39</f>
        <v>5723</v>
      </c>
      <c r="F36" s="1267">
        <f>'9. sz. mell'!G39</f>
        <v>5723</v>
      </c>
    </row>
    <row r="37" spans="1:6" s="1" customFormat="1" ht="12" customHeight="1" x14ac:dyDescent="0.2">
      <c r="A37" s="317" t="s">
        <v>45</v>
      </c>
      <c r="B37" s="900" t="s">
        <v>380</v>
      </c>
      <c r="C37" s="653">
        <v>1453</v>
      </c>
      <c r="D37" s="654">
        <v>15761</v>
      </c>
      <c r="E37" s="653">
        <f>+E38+E39+E40+E41+E42</f>
        <v>12015</v>
      </c>
      <c r="F37" s="1246">
        <f>+F38+F39+F40+F41+F42</f>
        <v>12015</v>
      </c>
    </row>
    <row r="38" spans="1:6" s="1" customFormat="1" ht="12" customHeight="1" x14ac:dyDescent="0.2">
      <c r="A38" s="317" t="s">
        <v>53</v>
      </c>
      <c r="B38" s="832" t="s">
        <v>243</v>
      </c>
      <c r="C38" s="704"/>
      <c r="D38" s="703"/>
      <c r="E38" s="704"/>
      <c r="F38" s="1267"/>
    </row>
    <row r="39" spans="1:6" s="1" customFormat="1" ht="12" customHeight="1" x14ac:dyDescent="0.2">
      <c r="A39" s="317" t="s">
        <v>54</v>
      </c>
      <c r="B39" s="832" t="s">
        <v>244</v>
      </c>
      <c r="C39" s="704"/>
      <c r="D39" s="703"/>
      <c r="E39" s="704"/>
      <c r="F39" s="1267"/>
    </row>
    <row r="40" spans="1:6" s="1" customFormat="1" ht="12" customHeight="1" x14ac:dyDescent="0.2">
      <c r="A40" s="317" t="s">
        <v>55</v>
      </c>
      <c r="B40" s="832" t="s">
        <v>245</v>
      </c>
      <c r="C40" s="704"/>
      <c r="D40" s="703"/>
      <c r="E40" s="704"/>
      <c r="F40" s="1267"/>
    </row>
    <row r="41" spans="1:6" s="1" customFormat="1" ht="12" customHeight="1" x14ac:dyDescent="0.2">
      <c r="A41" s="317" t="s">
        <v>56</v>
      </c>
      <c r="B41" s="901" t="s">
        <v>246</v>
      </c>
      <c r="C41" s="704">
        <v>1453</v>
      </c>
      <c r="D41" s="703">
        <v>15111</v>
      </c>
      <c r="E41" s="704">
        <f>'9. sz. mell'!F44</f>
        <v>5532</v>
      </c>
      <c r="F41" s="1267">
        <f>'9. sz. mell'!G44</f>
        <v>5532</v>
      </c>
    </row>
    <row r="42" spans="1:6" s="1" customFormat="1" ht="12" customHeight="1" thickBot="1" x14ac:dyDescent="0.25">
      <c r="A42" s="318" t="s">
        <v>155</v>
      </c>
      <c r="B42" s="902" t="s">
        <v>1185</v>
      </c>
      <c r="C42" s="705"/>
      <c r="D42" s="706">
        <v>650</v>
      </c>
      <c r="E42" s="705">
        <v>6483</v>
      </c>
      <c r="F42" s="1268">
        <v>6483</v>
      </c>
    </row>
    <row r="43" spans="1:6" s="1" customFormat="1" ht="12" customHeight="1" thickBot="1" x14ac:dyDescent="0.25">
      <c r="A43" s="23" t="s">
        <v>156</v>
      </c>
      <c r="B43" s="903" t="s">
        <v>247</v>
      </c>
      <c r="C43" s="643">
        <v>1037</v>
      </c>
      <c r="D43" s="644"/>
      <c r="E43" s="643">
        <f>+E44+E45</f>
        <v>209</v>
      </c>
      <c r="F43" s="689">
        <f>+F44+F45</f>
        <v>209</v>
      </c>
    </row>
    <row r="44" spans="1:6" s="1" customFormat="1" ht="12" customHeight="1" x14ac:dyDescent="0.2">
      <c r="A44" s="18" t="s">
        <v>51</v>
      </c>
      <c r="B44" s="840" t="s">
        <v>248</v>
      </c>
      <c r="C44" s="707">
        <v>1037</v>
      </c>
      <c r="D44" s="672"/>
      <c r="E44" s="707">
        <f>'9. sz. mell'!F47</f>
        <v>209</v>
      </c>
      <c r="F44" s="1259">
        <f>'9. sz. mell'!G47</f>
        <v>209</v>
      </c>
    </row>
    <row r="45" spans="1:6" s="1" customFormat="1" ht="12" customHeight="1" thickBot="1" x14ac:dyDescent="0.25">
      <c r="A45" s="15" t="s">
        <v>52</v>
      </c>
      <c r="B45" s="904" t="s">
        <v>252</v>
      </c>
      <c r="C45" s="708"/>
      <c r="D45" s="697"/>
      <c r="E45" s="708"/>
      <c r="F45" s="1269"/>
    </row>
    <row r="46" spans="1:6" s="1" customFormat="1" ht="12" customHeight="1" thickBot="1" x14ac:dyDescent="0.25">
      <c r="A46" s="23" t="s">
        <v>910</v>
      </c>
      <c r="B46" s="903" t="s">
        <v>251</v>
      </c>
      <c r="C46" s="643">
        <v>7184</v>
      </c>
      <c r="D46" s="644">
        <v>414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840" t="s">
        <v>157</v>
      </c>
      <c r="C47" s="709">
        <v>7184</v>
      </c>
      <c r="D47" s="710"/>
      <c r="E47" s="709"/>
      <c r="F47" s="1270"/>
    </row>
    <row r="48" spans="1:6" s="1" customFormat="1" ht="12" customHeight="1" x14ac:dyDescent="0.2">
      <c r="A48" s="16" t="s">
        <v>160</v>
      </c>
      <c r="B48" s="832" t="s">
        <v>968</v>
      </c>
      <c r="C48" s="702"/>
      <c r="D48" s="703">
        <v>414</v>
      </c>
      <c r="E48" s="704">
        <v>0</v>
      </c>
      <c r="F48" s="1267">
        <v>0</v>
      </c>
    </row>
    <row r="49" spans="1:6" s="1" customFormat="1" ht="12" customHeight="1" thickBot="1" x14ac:dyDescent="0.25">
      <c r="A49" s="15" t="s">
        <v>309</v>
      </c>
      <c r="B49" s="904" t="s">
        <v>249</v>
      </c>
      <c r="C49" s="711"/>
      <c r="D49" s="712"/>
      <c r="E49" s="711"/>
      <c r="F49" s="1271"/>
    </row>
    <row r="50" spans="1:6" s="1" customFormat="1" ht="17.25" customHeight="1" thickBot="1" x14ac:dyDescent="0.25">
      <c r="A50" s="23" t="s">
        <v>161</v>
      </c>
      <c r="B50" s="905" t="s">
        <v>250</v>
      </c>
      <c r="C50" s="713"/>
      <c r="D50" s="675"/>
      <c r="E50" s="674"/>
      <c r="F50" s="898"/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v>277148</v>
      </c>
      <c r="D51" s="657">
        <v>293272</v>
      </c>
      <c r="E51" s="1240">
        <f>+E6+E11+E20+E21+E30+E43+E46+E50</f>
        <v>318813</v>
      </c>
      <c r="F51" s="1247">
        <f>+F6+F11+F20+F21+F30+F43+F46+F50</f>
        <v>311087</v>
      </c>
    </row>
    <row r="52" spans="1:6" s="1" customFormat="1" ht="12" customHeight="1" thickBot="1" x14ac:dyDescent="0.25">
      <c r="A52" s="835" t="s">
        <v>913</v>
      </c>
      <c r="B52" s="836" t="s">
        <v>253</v>
      </c>
      <c r="C52" s="658">
        <v>52597</v>
      </c>
      <c r="D52" s="659">
        <v>48271</v>
      </c>
      <c r="E52" s="1241">
        <f>+E53+E59</f>
        <v>0</v>
      </c>
      <c r="F52" s="1248">
        <f>+F53+F59</f>
        <v>60405</v>
      </c>
    </row>
    <row r="53" spans="1:6" s="1" customFormat="1" ht="12" customHeight="1" x14ac:dyDescent="0.2">
      <c r="A53" s="906" t="s">
        <v>92</v>
      </c>
      <c r="B53" s="899" t="s">
        <v>254</v>
      </c>
      <c r="C53" s="660">
        <v>52597</v>
      </c>
      <c r="D53" s="652">
        <v>48271</v>
      </c>
      <c r="E53" s="651">
        <f>+E54+E55+E56+E57+E58</f>
        <v>0</v>
      </c>
      <c r="F53" s="1245">
        <f>+F54+F55+F56+F57+F58</f>
        <v>60405</v>
      </c>
    </row>
    <row r="54" spans="1:6" s="1" customFormat="1" ht="12" customHeight="1" x14ac:dyDescent="0.2">
      <c r="A54" s="841" t="s">
        <v>269</v>
      </c>
      <c r="B54" s="832" t="s">
        <v>255</v>
      </c>
      <c r="C54" s="702">
        <v>52597</v>
      </c>
      <c r="D54" s="703">
        <v>48271</v>
      </c>
      <c r="E54" s="704"/>
      <c r="F54" s="1267">
        <f>'9. sz. mell'!G56+'10. sz. mell.'!G28+'11. sz. mell.'!G28</f>
        <v>60405</v>
      </c>
    </row>
    <row r="55" spans="1:6" s="1" customFormat="1" ht="12" customHeight="1" x14ac:dyDescent="0.2">
      <c r="A55" s="841" t="s">
        <v>270</v>
      </c>
      <c r="B55" s="832" t="s">
        <v>256</v>
      </c>
      <c r="C55" s="702"/>
      <c r="D55" s="703"/>
      <c r="E55" s="704"/>
      <c r="F55" s="1267"/>
    </row>
    <row r="56" spans="1:6" s="1" customFormat="1" ht="12" customHeight="1" x14ac:dyDescent="0.2">
      <c r="A56" s="841" t="s">
        <v>271</v>
      </c>
      <c r="B56" s="832" t="s">
        <v>257</v>
      </c>
      <c r="C56" s="702"/>
      <c r="D56" s="703"/>
      <c r="E56" s="704"/>
      <c r="F56" s="1267"/>
    </row>
    <row r="57" spans="1:6" s="1" customFormat="1" ht="12" customHeight="1" x14ac:dyDescent="0.2">
      <c r="A57" s="841" t="s">
        <v>272</v>
      </c>
      <c r="B57" s="832" t="s">
        <v>258</v>
      </c>
      <c r="C57" s="702"/>
      <c r="D57" s="703"/>
      <c r="E57" s="704"/>
      <c r="F57" s="1267"/>
    </row>
    <row r="58" spans="1:6" s="1" customFormat="1" ht="12" customHeight="1" x14ac:dyDescent="0.2">
      <c r="A58" s="841" t="s">
        <v>273</v>
      </c>
      <c r="B58" s="832" t="s">
        <v>259</v>
      </c>
      <c r="C58" s="702"/>
      <c r="D58" s="703"/>
      <c r="E58" s="704"/>
      <c r="F58" s="1267"/>
    </row>
    <row r="59" spans="1:6" s="1" customFormat="1" ht="12" customHeight="1" x14ac:dyDescent="0.2">
      <c r="A59" s="907" t="s">
        <v>93</v>
      </c>
      <c r="B59" s="900" t="s">
        <v>260</v>
      </c>
      <c r="C59" s="661">
        <v>0</v>
      </c>
      <c r="D59" s="654"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841" t="s">
        <v>274</v>
      </c>
      <c r="B60" s="832" t="s">
        <v>969</v>
      </c>
      <c r="C60" s="702"/>
      <c r="D60" s="703"/>
      <c r="E60" s="704"/>
      <c r="F60" s="1267"/>
    </row>
    <row r="61" spans="1:6" s="1" customFormat="1" ht="12" customHeight="1" x14ac:dyDescent="0.2">
      <c r="A61" s="841" t="s">
        <v>275</v>
      </c>
      <c r="B61" s="832" t="s">
        <v>262</v>
      </c>
      <c r="C61" s="702"/>
      <c r="D61" s="703"/>
      <c r="E61" s="704"/>
      <c r="F61" s="1267"/>
    </row>
    <row r="62" spans="1:6" s="1" customFormat="1" ht="12" customHeight="1" x14ac:dyDescent="0.2">
      <c r="A62" s="841" t="s">
        <v>276</v>
      </c>
      <c r="B62" s="832" t="s">
        <v>263</v>
      </c>
      <c r="C62" s="702"/>
      <c r="D62" s="703"/>
      <c r="E62" s="704"/>
      <c r="F62" s="1267"/>
    </row>
    <row r="63" spans="1:6" s="1" customFormat="1" ht="12" customHeight="1" x14ac:dyDescent="0.2">
      <c r="A63" s="841" t="s">
        <v>277</v>
      </c>
      <c r="B63" s="832" t="s">
        <v>264</v>
      </c>
      <c r="C63" s="702"/>
      <c r="D63" s="703"/>
      <c r="E63" s="704"/>
      <c r="F63" s="1267"/>
    </row>
    <row r="64" spans="1:6" s="1" customFormat="1" ht="12" customHeight="1" thickBot="1" x14ac:dyDescent="0.25">
      <c r="A64" s="908" t="s">
        <v>278</v>
      </c>
      <c r="B64" s="904" t="s">
        <v>265</v>
      </c>
      <c r="C64" s="714"/>
      <c r="D64" s="715"/>
      <c r="E64" s="1265"/>
      <c r="F64" s="1272"/>
    </row>
    <row r="65" spans="1:12" s="1" customFormat="1" ht="12" customHeight="1" thickBot="1" x14ac:dyDescent="0.25">
      <c r="A65" s="909" t="s">
        <v>914</v>
      </c>
      <c r="B65" s="844" t="s">
        <v>266</v>
      </c>
      <c r="C65" s="658">
        <v>329745</v>
      </c>
      <c r="D65" s="659">
        <v>341543</v>
      </c>
      <c r="E65" s="1241">
        <f>+E51+E52</f>
        <v>318813</v>
      </c>
      <c r="F65" s="1248">
        <f>+F51+F52</f>
        <v>371492</v>
      </c>
      <c r="K65" s="820"/>
      <c r="L65" s="820"/>
    </row>
    <row r="66" spans="1:12" s="1" customFormat="1" ht="13.5" customHeight="1" thickBot="1" x14ac:dyDescent="0.25">
      <c r="A66" s="910" t="s">
        <v>915</v>
      </c>
      <c r="B66" s="846" t="s">
        <v>267</v>
      </c>
      <c r="C66" s="716">
        <v>341</v>
      </c>
      <c r="D66" s="717"/>
      <c r="E66" s="1266"/>
      <c r="F66" s="1273"/>
      <c r="L66" s="820"/>
    </row>
    <row r="67" spans="1:12" s="1" customFormat="1" ht="12" customHeight="1" thickBot="1" x14ac:dyDescent="0.25">
      <c r="A67" s="909" t="s">
        <v>916</v>
      </c>
      <c r="B67" s="844" t="s">
        <v>268</v>
      </c>
      <c r="C67" s="658">
        <v>330086</v>
      </c>
      <c r="D67" s="659">
        <v>341543</v>
      </c>
      <c r="E67" s="1241">
        <f>+E65+E66</f>
        <v>318813</v>
      </c>
      <c r="F67" s="1248">
        <f>+F65+F66</f>
        <v>371492</v>
      </c>
      <c r="G67" s="820"/>
      <c r="H67" s="820"/>
    </row>
    <row r="68" spans="1:12" s="1" customFormat="1" ht="12.95" customHeight="1" x14ac:dyDescent="0.2">
      <c r="A68" s="6"/>
      <c r="B68" s="7"/>
      <c r="C68" s="662"/>
      <c r="D68" s="662"/>
      <c r="E68" s="662"/>
      <c r="F68" s="662"/>
    </row>
    <row r="69" spans="1:12" ht="16.5" customHeight="1" x14ac:dyDescent="0.25">
      <c r="A69" s="1324" t="s">
        <v>932</v>
      </c>
      <c r="B69" s="1324"/>
      <c r="C69" s="1324"/>
      <c r="D69" s="637"/>
      <c r="E69" s="637"/>
      <c r="F69" s="637"/>
    </row>
    <row r="70" spans="1:12" s="345" customFormat="1" ht="16.5" customHeight="1" thickBot="1" x14ac:dyDescent="0.3">
      <c r="A70" s="1322" t="s">
        <v>100</v>
      </c>
      <c r="B70" s="1322"/>
      <c r="C70" s="150"/>
      <c r="D70" s="343"/>
      <c r="E70" s="343"/>
      <c r="F70" s="343"/>
    </row>
    <row r="71" spans="1:12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1238" t="s">
        <v>1001</v>
      </c>
      <c r="F71" s="1242" t="s">
        <v>1195</v>
      </c>
    </row>
    <row r="72" spans="1:12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1238">
        <v>3</v>
      </c>
      <c r="F72" s="1242">
        <v>4</v>
      </c>
    </row>
    <row r="73" spans="1:12" ht="12" customHeight="1" thickBot="1" x14ac:dyDescent="0.3">
      <c r="A73" s="25" t="s">
        <v>903</v>
      </c>
      <c r="B73" s="36" t="s">
        <v>163</v>
      </c>
      <c r="C73" s="642">
        <f t="shared" ref="C73:D73" si="0">+C74+C75+C76+C77+C78</f>
        <v>261680</v>
      </c>
      <c r="D73" s="642">
        <f t="shared" si="0"/>
        <v>307667</v>
      </c>
      <c r="E73" s="1239">
        <f>+E74+E75+E76+E77+E78</f>
        <v>265752</v>
      </c>
      <c r="F73" s="1243">
        <f>+F74+F75+F76+F77+F78</f>
        <v>278856</v>
      </c>
    </row>
    <row r="74" spans="1:12" ht="12" customHeight="1" x14ac:dyDescent="0.25">
      <c r="A74" s="20" t="s">
        <v>57</v>
      </c>
      <c r="B74" s="12" t="s">
        <v>934</v>
      </c>
      <c r="C74" s="911">
        <v>108275</v>
      </c>
      <c r="D74" s="911">
        <v>143462</v>
      </c>
      <c r="E74" s="663">
        <f>'9. sz. mell'!F65+'10. sz. mell.'!F37+'11. sz. mell.'!F36</f>
        <v>128480</v>
      </c>
      <c r="F74" s="911">
        <f>'9. sz. mell'!G65+'10. sz. mell.'!G37+'11. sz. mell.'!G36</f>
        <v>128757</v>
      </c>
    </row>
    <row r="75" spans="1:12" ht="12" customHeight="1" x14ac:dyDescent="0.25">
      <c r="A75" s="16" t="s">
        <v>58</v>
      </c>
      <c r="B75" s="9" t="s">
        <v>164</v>
      </c>
      <c r="C75" s="912">
        <v>25837</v>
      </c>
      <c r="D75" s="912">
        <v>37659</v>
      </c>
      <c r="E75" s="665">
        <f>'9. sz. mell'!F66+'10. sz. mell.'!F38+'11. sz. mell.'!F37</f>
        <v>33112</v>
      </c>
      <c r="F75" s="912">
        <f>'9. sz. mell'!G66+'10. sz. mell.'!G38+'11. sz. mell.'!G37</f>
        <v>33177</v>
      </c>
    </row>
    <row r="76" spans="1:12" ht="12" customHeight="1" x14ac:dyDescent="0.25">
      <c r="A76" s="16" t="s">
        <v>59</v>
      </c>
      <c r="B76" s="9" t="s">
        <v>88</v>
      </c>
      <c r="C76" s="912">
        <v>101169</v>
      </c>
      <c r="D76" s="912">
        <v>105330</v>
      </c>
      <c r="E76" s="665">
        <f>'9. sz. mell'!F67+'10. sz. mell.'!F39+'11. sz. mell.'!F38</f>
        <v>88289</v>
      </c>
      <c r="F76" s="912">
        <f>'9. sz. mell'!G67+'10. sz. mell.'!G39+'11. sz. mell.'!G38</f>
        <v>92071</v>
      </c>
    </row>
    <row r="77" spans="1:12" ht="12" customHeight="1" x14ac:dyDescent="0.25">
      <c r="A77" s="16" t="s">
        <v>60</v>
      </c>
      <c r="B77" s="13" t="s">
        <v>165</v>
      </c>
      <c r="C77" s="912">
        <v>17819</v>
      </c>
      <c r="D77" s="912">
        <v>13626</v>
      </c>
      <c r="E77" s="665">
        <f>'9. sz. mell'!F68+'10. sz. mell.'!F40+'11. sz. mell.'!F39</f>
        <v>9584</v>
      </c>
      <c r="F77" s="912">
        <f>'9. sz. mell'!G68+'10. sz. mell.'!G40+'11. sz. mell.'!G39</f>
        <v>11652</v>
      </c>
    </row>
    <row r="78" spans="1:12" ht="12" customHeight="1" x14ac:dyDescent="0.25">
      <c r="A78" s="16" t="s">
        <v>71</v>
      </c>
      <c r="B78" s="22" t="s">
        <v>166</v>
      </c>
      <c r="C78" s="667">
        <v>8580</v>
      </c>
      <c r="D78" s="667">
        <v>7590</v>
      </c>
      <c r="E78" s="666">
        <f>SUM(E79:E86)</f>
        <v>6287</v>
      </c>
      <c r="F78" s="1257">
        <f>SUM(F79:F86)</f>
        <v>13199</v>
      </c>
    </row>
    <row r="79" spans="1:12" ht="12" customHeight="1" x14ac:dyDescent="0.25">
      <c r="A79" s="16" t="s">
        <v>61</v>
      </c>
      <c r="B79" s="9" t="s">
        <v>188</v>
      </c>
      <c r="C79" s="668">
        <f>'9. sz. mell'!D70</f>
        <v>0</v>
      </c>
      <c r="D79" s="668">
        <f>'9. sz. mell'!E70</f>
        <v>0</v>
      </c>
      <c r="E79" s="673">
        <f>'9. sz. mell'!F70</f>
        <v>0</v>
      </c>
      <c r="F79" s="1257">
        <f>'9. sz. mell'!G70</f>
        <v>0</v>
      </c>
    </row>
    <row r="80" spans="1:12" ht="12" customHeight="1" x14ac:dyDescent="0.25">
      <c r="A80" s="16" t="s">
        <v>62</v>
      </c>
      <c r="B80" s="153" t="s">
        <v>189</v>
      </c>
      <c r="C80" s="668">
        <f>'9. sz. mell'!D71</f>
        <v>0</v>
      </c>
      <c r="D80" s="668">
        <f>'9. sz. mell'!E71</f>
        <v>0</v>
      </c>
      <c r="E80" s="673">
        <f>'9. sz. mell'!F71</f>
        <v>0</v>
      </c>
      <c r="F80" s="1257">
        <f>'9. sz. mell'!G71</f>
        <v>0</v>
      </c>
    </row>
    <row r="81" spans="1:6" ht="12" customHeight="1" x14ac:dyDescent="0.25">
      <c r="A81" s="16" t="s">
        <v>72</v>
      </c>
      <c r="B81" s="153" t="s">
        <v>279</v>
      </c>
      <c r="C81" s="668"/>
      <c r="D81" s="668">
        <f>'9. sz. mell'!E72</f>
        <v>0</v>
      </c>
      <c r="E81" s="673">
        <f>'9. sz. mell'!F72</f>
        <v>302</v>
      </c>
      <c r="F81" s="1257">
        <f>'9. sz. mell'!G72</f>
        <v>302</v>
      </c>
    </row>
    <row r="82" spans="1:6" ht="12" customHeight="1" x14ac:dyDescent="0.25">
      <c r="A82" s="16" t="s">
        <v>73</v>
      </c>
      <c r="B82" s="154" t="s">
        <v>190</v>
      </c>
      <c r="C82" s="668">
        <v>6325</v>
      </c>
      <c r="D82" s="668">
        <v>5960</v>
      </c>
      <c r="E82" s="673">
        <f>'9. sz. mell'!F73</f>
        <v>4679</v>
      </c>
      <c r="F82" s="1257">
        <f>'9. sz. mell'!G73</f>
        <v>4943</v>
      </c>
    </row>
    <row r="83" spans="1:6" ht="12" customHeight="1" x14ac:dyDescent="0.25">
      <c r="A83" s="15"/>
      <c r="B83" s="154" t="s">
        <v>1210</v>
      </c>
      <c r="C83" s="668"/>
      <c r="D83" s="668"/>
      <c r="E83" s="673">
        <f>'9. sz. mell'!F74</f>
        <v>1000</v>
      </c>
      <c r="F83" s="1257">
        <f>'9. sz. mell'!G74</f>
        <v>1000</v>
      </c>
    </row>
    <row r="84" spans="1:6" ht="12" customHeight="1" x14ac:dyDescent="0.25">
      <c r="A84" s="15" t="s">
        <v>74</v>
      </c>
      <c r="B84" s="155" t="s">
        <v>191</v>
      </c>
      <c r="C84" s="668">
        <f>'9. sz. mell'!D74</f>
        <v>0</v>
      </c>
      <c r="D84" s="673"/>
      <c r="E84" s="647">
        <f>'9. sz. mell'!F75</f>
        <v>0</v>
      </c>
      <c r="F84" s="647">
        <f>'9. sz. mell'!G75</f>
        <v>6548</v>
      </c>
    </row>
    <row r="85" spans="1:6" ht="12" customHeight="1" x14ac:dyDescent="0.25">
      <c r="A85" s="16" t="s">
        <v>75</v>
      </c>
      <c r="B85" s="155" t="s">
        <v>192</v>
      </c>
      <c r="C85" s="668">
        <v>1964</v>
      </c>
      <c r="D85" s="673">
        <v>130</v>
      </c>
      <c r="E85" s="1289"/>
      <c r="F85" s="647">
        <f>'9. sz. mell'!G76</f>
        <v>100</v>
      </c>
    </row>
    <row r="86" spans="1:6" ht="12" customHeight="1" thickBot="1" x14ac:dyDescent="0.3">
      <c r="A86" s="21" t="s">
        <v>77</v>
      </c>
      <c r="B86" s="156" t="s">
        <v>1187</v>
      </c>
      <c r="C86" s="668">
        <f>'9. sz. mell'!D77</f>
        <v>0</v>
      </c>
      <c r="D86" s="668">
        <v>1500</v>
      </c>
      <c r="E86" s="673">
        <f>'9. sz. mell'!F77</f>
        <v>306</v>
      </c>
      <c r="F86" s="1257">
        <f>'9. sz. mell'!G77</f>
        <v>306</v>
      </c>
    </row>
    <row r="87" spans="1:6" ht="12" customHeight="1" thickBot="1" x14ac:dyDescent="0.3">
      <c r="A87" s="23" t="s">
        <v>904</v>
      </c>
      <c r="B87" s="35" t="s">
        <v>310</v>
      </c>
      <c r="C87" s="648">
        <v>17724</v>
      </c>
      <c r="D87" s="644">
        <v>18175</v>
      </c>
      <c r="E87" s="643">
        <f>+E88+E89+E90</f>
        <v>46469</v>
      </c>
      <c r="F87" s="689">
        <f>+F88+F89+F90</f>
        <v>54299</v>
      </c>
    </row>
    <row r="88" spans="1:6" ht="12" customHeight="1" x14ac:dyDescent="0.25">
      <c r="A88" s="18" t="s">
        <v>63</v>
      </c>
      <c r="B88" s="9" t="s">
        <v>280</v>
      </c>
      <c r="C88" s="671">
        <v>14406</v>
      </c>
      <c r="D88" s="672">
        <v>10099</v>
      </c>
      <c r="E88" s="707">
        <f>'9. sz. mell'!F79</f>
        <v>9602</v>
      </c>
      <c r="F88" s="1259">
        <f>'9. sz. mell'!G79</f>
        <v>25576</v>
      </c>
    </row>
    <row r="89" spans="1:6" ht="12" customHeight="1" x14ac:dyDescent="0.25">
      <c r="A89" s="18" t="s">
        <v>64</v>
      </c>
      <c r="B89" s="14" t="s">
        <v>168</v>
      </c>
      <c r="C89" s="665">
        <v>3307</v>
      </c>
      <c r="D89" s="647">
        <v>8076</v>
      </c>
      <c r="E89" s="707">
        <f>'9. sz. mell'!F80</f>
        <v>36867</v>
      </c>
      <c r="F89" s="1259">
        <f>'9. sz. mell'!G80</f>
        <v>26670</v>
      </c>
    </row>
    <row r="90" spans="1:6" ht="12" customHeight="1" x14ac:dyDescent="0.25">
      <c r="A90" s="18" t="s">
        <v>65</v>
      </c>
      <c r="B90" s="832" t="s">
        <v>311</v>
      </c>
      <c r="C90" s="646">
        <v>11</v>
      </c>
      <c r="D90" s="647"/>
      <c r="E90" s="707">
        <f>'9. sz. mell'!F81</f>
        <v>0</v>
      </c>
      <c r="F90" s="1259">
        <f>'9. sz. mell'!G81</f>
        <v>2053</v>
      </c>
    </row>
    <row r="91" spans="1:6" ht="12" customHeight="1" x14ac:dyDescent="0.25">
      <c r="A91" s="18" t="s">
        <v>66</v>
      </c>
      <c r="B91" s="832" t="s">
        <v>382</v>
      </c>
      <c r="C91" s="646"/>
      <c r="D91" s="647"/>
      <c r="E91" s="707">
        <f>'9. sz. mell'!F82</f>
        <v>0</v>
      </c>
      <c r="F91" s="1259">
        <f>'9. sz. mell'!G82</f>
        <v>209</v>
      </c>
    </row>
    <row r="92" spans="1:6" ht="12" customHeight="1" x14ac:dyDescent="0.25">
      <c r="A92" s="18" t="s">
        <v>67</v>
      </c>
      <c r="B92" s="832" t="s">
        <v>312</v>
      </c>
      <c r="C92" s="646"/>
      <c r="D92" s="647"/>
      <c r="E92" s="707">
        <f>'9. sz. mell'!F83</f>
        <v>0</v>
      </c>
      <c r="F92" s="1259">
        <f>'9. sz. mell'!G83</f>
        <v>0</v>
      </c>
    </row>
    <row r="93" spans="1:6" x14ac:dyDescent="0.25">
      <c r="A93" s="18" t="s">
        <v>76</v>
      </c>
      <c r="B93" s="832" t="s">
        <v>313</v>
      </c>
      <c r="C93" s="646">
        <v>11</v>
      </c>
      <c r="D93" s="647"/>
      <c r="E93" s="707">
        <f>'9. sz. mell'!F84</f>
        <v>0</v>
      </c>
      <c r="F93" s="1259">
        <f>'9. sz. mell'!G84</f>
        <v>0</v>
      </c>
    </row>
    <row r="94" spans="1:6" ht="12" customHeight="1" x14ac:dyDescent="0.25">
      <c r="A94" s="18" t="s">
        <v>78</v>
      </c>
      <c r="B94" s="833" t="s">
        <v>284</v>
      </c>
      <c r="C94" s="646"/>
      <c r="D94" s="647"/>
      <c r="E94" s="707">
        <f>'9. sz. mell'!F85</f>
        <v>0</v>
      </c>
      <c r="F94" s="1259">
        <f>'9. sz. mell'!G85</f>
        <v>0</v>
      </c>
    </row>
    <row r="95" spans="1:6" ht="12" customHeight="1" x14ac:dyDescent="0.25">
      <c r="A95" s="18" t="s">
        <v>169</v>
      </c>
      <c r="B95" s="833" t="s">
        <v>285</v>
      </c>
      <c r="C95" s="646"/>
      <c r="D95" s="647"/>
      <c r="E95" s="707">
        <f>'9. sz. mell'!F86</f>
        <v>0</v>
      </c>
      <c r="F95" s="1259">
        <f>'9. sz. mell'!G86</f>
        <v>0</v>
      </c>
    </row>
    <row r="96" spans="1:6" ht="12" customHeight="1" x14ac:dyDescent="0.25">
      <c r="A96" s="18" t="s">
        <v>170</v>
      </c>
      <c r="B96" s="833" t="s">
        <v>283</v>
      </c>
      <c r="C96" s="646"/>
      <c r="D96" s="647"/>
      <c r="E96" s="707">
        <f>'9. sz. mell'!F87</f>
        <v>0</v>
      </c>
      <c r="F96" s="1259">
        <f>'9. sz. mell'!G87</f>
        <v>1844</v>
      </c>
    </row>
    <row r="97" spans="1:7" ht="24" customHeight="1" thickBot="1" x14ac:dyDescent="0.3">
      <c r="A97" s="15" t="s">
        <v>171</v>
      </c>
      <c r="B97" s="834" t="s">
        <v>282</v>
      </c>
      <c r="C97" s="673"/>
      <c r="D97" s="667"/>
      <c r="E97" s="673"/>
      <c r="F97" s="1257"/>
    </row>
    <row r="98" spans="1:7" ht="12" customHeight="1" thickBot="1" x14ac:dyDescent="0.3">
      <c r="A98" s="23" t="s">
        <v>905</v>
      </c>
      <c r="B98" s="134" t="s">
        <v>314</v>
      </c>
      <c r="C98" s="648">
        <v>0</v>
      </c>
      <c r="D98" s="644">
        <v>15701</v>
      </c>
      <c r="E98" s="643">
        <f>+E99+E100</f>
        <v>6592</v>
      </c>
      <c r="F98" s="689">
        <f>+F99+F100</f>
        <v>32633</v>
      </c>
    </row>
    <row r="99" spans="1:7" ht="12" customHeight="1" x14ac:dyDescent="0.25">
      <c r="A99" s="18" t="s">
        <v>37</v>
      </c>
      <c r="B99" s="11" t="s">
        <v>3</v>
      </c>
      <c r="C99" s="671"/>
      <c r="D99" s="672">
        <v>12884</v>
      </c>
      <c r="E99" s="707">
        <f>'9. sz. mell'!F90</f>
        <v>3346</v>
      </c>
      <c r="F99" s="1259">
        <f>'9. sz. mell'!G90</f>
        <v>11208</v>
      </c>
    </row>
    <row r="100" spans="1:7" ht="12" customHeight="1" thickBot="1" x14ac:dyDescent="0.3">
      <c r="A100" s="19" t="s">
        <v>38</v>
      </c>
      <c r="B100" s="14" t="s">
        <v>4</v>
      </c>
      <c r="C100" s="666">
        <v>0</v>
      </c>
      <c r="D100" s="667">
        <v>2817</v>
      </c>
      <c r="E100" s="673">
        <f>'9. sz. mell'!F91</f>
        <v>3246</v>
      </c>
      <c r="F100" s="1257">
        <f>'9. sz. mell'!G91</f>
        <v>21425</v>
      </c>
    </row>
    <row r="101" spans="1:7" s="321" customFormat="1" ht="12" customHeight="1" thickBot="1" x14ac:dyDescent="0.25">
      <c r="A101" s="835" t="s">
        <v>906</v>
      </c>
      <c r="B101" s="836" t="s">
        <v>286</v>
      </c>
      <c r="C101" s="674"/>
      <c r="D101" s="675"/>
      <c r="E101" s="674"/>
      <c r="F101" s="898"/>
    </row>
    <row r="102" spans="1:7" ht="12" customHeight="1" thickBot="1" x14ac:dyDescent="0.3">
      <c r="A102" s="319" t="s">
        <v>907</v>
      </c>
      <c r="B102" s="320" t="s">
        <v>105</v>
      </c>
      <c r="C102" s="640">
        <v>279404</v>
      </c>
      <c r="D102" s="641">
        <v>341543</v>
      </c>
      <c r="E102" s="1239">
        <f>+E73+E87+E98+E101</f>
        <v>318813</v>
      </c>
      <c r="F102" s="1243">
        <f>+F73+F87+F98+F101</f>
        <v>365788</v>
      </c>
    </row>
    <row r="103" spans="1:7" ht="12" customHeight="1" thickBot="1" x14ac:dyDescent="0.3">
      <c r="A103" s="835" t="s">
        <v>908</v>
      </c>
      <c r="B103" s="836" t="s">
        <v>383</v>
      </c>
      <c r="C103" s="648">
        <v>0</v>
      </c>
      <c r="D103" s="644">
        <v>0</v>
      </c>
      <c r="E103" s="643">
        <f>+E104+E112</f>
        <v>0</v>
      </c>
      <c r="F103" s="689">
        <f>+F104+F112</f>
        <v>5704</v>
      </c>
    </row>
    <row r="104" spans="1:7" ht="12" customHeight="1" thickBot="1" x14ac:dyDescent="0.3">
      <c r="A104" s="837" t="s">
        <v>44</v>
      </c>
      <c r="B104" s="838" t="s">
        <v>388</v>
      </c>
      <c r="C104" s="718">
        <v>0</v>
      </c>
      <c r="D104" s="913">
        <v>0</v>
      </c>
      <c r="E104" s="1274">
        <f>+E105+E106+E107+E108+E109+E110+E111</f>
        <v>0</v>
      </c>
      <c r="F104" s="1280">
        <f>+F105+F106+F107+F108+F109+F110+F111</f>
        <v>5704</v>
      </c>
    </row>
    <row r="105" spans="1:7" ht="12" customHeight="1" x14ac:dyDescent="0.25">
      <c r="A105" s="839" t="s">
        <v>47</v>
      </c>
      <c r="B105" s="840" t="s">
        <v>287</v>
      </c>
      <c r="C105" s="821"/>
      <c r="D105" s="914"/>
      <c r="E105" s="1275"/>
      <c r="F105" s="1281"/>
      <c r="G105" s="847"/>
    </row>
    <row r="106" spans="1:7" ht="12" customHeight="1" x14ac:dyDescent="0.25">
      <c r="A106" s="841" t="s">
        <v>48</v>
      </c>
      <c r="B106" s="832" t="s">
        <v>288</v>
      </c>
      <c r="C106" s="822"/>
      <c r="D106" s="915"/>
      <c r="E106" s="1276"/>
      <c r="F106" s="1282"/>
      <c r="G106" s="847"/>
    </row>
    <row r="107" spans="1:7" ht="12" customHeight="1" x14ac:dyDescent="0.25">
      <c r="A107" s="841" t="s">
        <v>49</v>
      </c>
      <c r="B107" s="832" t="s">
        <v>289</v>
      </c>
      <c r="C107" s="875"/>
      <c r="D107" s="916"/>
      <c r="E107" s="1276"/>
      <c r="F107" s="1282"/>
    </row>
    <row r="108" spans="1:7" ht="12" customHeight="1" x14ac:dyDescent="0.25">
      <c r="A108" s="841" t="s">
        <v>50</v>
      </c>
      <c r="B108" s="832" t="s">
        <v>290</v>
      </c>
      <c r="C108" s="875"/>
      <c r="D108" s="916"/>
      <c r="E108" s="1276"/>
      <c r="F108" s="1282"/>
    </row>
    <row r="109" spans="1:7" ht="12" customHeight="1" x14ac:dyDescent="0.25">
      <c r="A109" s="841" t="s">
        <v>154</v>
      </c>
      <c r="B109" s="832" t="s">
        <v>291</v>
      </c>
      <c r="C109" s="875"/>
      <c r="D109" s="916"/>
      <c r="E109" s="1276"/>
      <c r="F109" s="1282"/>
    </row>
    <row r="110" spans="1:7" ht="12" customHeight="1" x14ac:dyDescent="0.25">
      <c r="A110" s="841" t="s">
        <v>172</v>
      </c>
      <c r="B110" s="832" t="s">
        <v>292</v>
      </c>
      <c r="C110" s="875"/>
      <c r="D110" s="916"/>
      <c r="E110" s="1276"/>
      <c r="F110" s="1282"/>
    </row>
    <row r="111" spans="1:7" ht="12" customHeight="1" thickBot="1" x14ac:dyDescent="0.3">
      <c r="A111" s="842" t="s">
        <v>173</v>
      </c>
      <c r="B111" s="843" t="s">
        <v>1207</v>
      </c>
      <c r="C111" s="876"/>
      <c r="D111" s="917"/>
      <c r="E111" s="1277"/>
      <c r="F111" s="1283">
        <f>'9. sz. mell'!G96</f>
        <v>5704</v>
      </c>
    </row>
    <row r="112" spans="1:7" ht="12" customHeight="1" thickBot="1" x14ac:dyDescent="0.3">
      <c r="A112" s="837" t="s">
        <v>45</v>
      </c>
      <c r="B112" s="838" t="s">
        <v>389</v>
      </c>
      <c r="C112" s="877">
        <v>0</v>
      </c>
      <c r="D112" s="918">
        <v>0</v>
      </c>
      <c r="E112" s="1274">
        <f>+E113+E114+E115+E116+E117+E118+E119+E120</f>
        <v>0</v>
      </c>
      <c r="F112" s="1280">
        <f>+F113+F114+F115+F116+F117+F118+F119+F120</f>
        <v>0</v>
      </c>
    </row>
    <row r="113" spans="1:12" ht="12" customHeight="1" x14ac:dyDescent="0.25">
      <c r="A113" s="839" t="s">
        <v>53</v>
      </c>
      <c r="B113" s="840" t="s">
        <v>287</v>
      </c>
      <c r="C113" s="878"/>
      <c r="D113" s="919"/>
      <c r="E113" s="1275"/>
      <c r="F113" s="1281"/>
    </row>
    <row r="114" spans="1:12" ht="12" customHeight="1" x14ac:dyDescent="0.25">
      <c r="A114" s="841" t="s">
        <v>54</v>
      </c>
      <c r="B114" s="832" t="s">
        <v>294</v>
      </c>
      <c r="C114" s="875"/>
      <c r="D114" s="916"/>
      <c r="E114" s="1276"/>
      <c r="F114" s="1282"/>
    </row>
    <row r="115" spans="1:12" ht="12" customHeight="1" x14ac:dyDescent="0.25">
      <c r="A115" s="841" t="s">
        <v>55</v>
      </c>
      <c r="B115" s="832" t="s">
        <v>289</v>
      </c>
      <c r="C115" s="875"/>
      <c r="D115" s="916"/>
      <c r="E115" s="1276"/>
      <c r="F115" s="1282"/>
    </row>
    <row r="116" spans="1:12" ht="12" customHeight="1" x14ac:dyDescent="0.25">
      <c r="A116" s="841" t="s">
        <v>56</v>
      </c>
      <c r="B116" s="832" t="s">
        <v>290</v>
      </c>
      <c r="C116" s="875"/>
      <c r="D116" s="916"/>
      <c r="E116" s="1276"/>
      <c r="F116" s="1282"/>
    </row>
    <row r="117" spans="1:12" ht="12" customHeight="1" x14ac:dyDescent="0.25">
      <c r="A117" s="841" t="s">
        <v>155</v>
      </c>
      <c r="B117" s="832" t="s">
        <v>291</v>
      </c>
      <c r="C117" s="875"/>
      <c r="D117" s="916"/>
      <c r="E117" s="1276"/>
      <c r="F117" s="1282"/>
    </row>
    <row r="118" spans="1:12" ht="12" customHeight="1" x14ac:dyDescent="0.25">
      <c r="A118" s="841" t="s">
        <v>174</v>
      </c>
      <c r="B118" s="832" t="s">
        <v>295</v>
      </c>
      <c r="C118" s="875"/>
      <c r="D118" s="916"/>
      <c r="E118" s="1276"/>
      <c r="F118" s="1282"/>
    </row>
    <row r="119" spans="1:12" ht="12" customHeight="1" x14ac:dyDescent="0.25">
      <c r="A119" s="841" t="s">
        <v>175</v>
      </c>
      <c r="B119" s="832" t="s">
        <v>293</v>
      </c>
      <c r="C119" s="822"/>
      <c r="D119" s="915"/>
      <c r="E119" s="1276"/>
      <c r="F119" s="1282"/>
    </row>
    <row r="120" spans="1:12" ht="12" customHeight="1" thickBot="1" x14ac:dyDescent="0.3">
      <c r="A120" s="842" t="s">
        <v>176</v>
      </c>
      <c r="B120" s="843" t="s">
        <v>386</v>
      </c>
      <c r="C120" s="823"/>
      <c r="D120" s="920"/>
      <c r="E120" s="1277"/>
      <c r="F120" s="1283"/>
    </row>
    <row r="121" spans="1:12" ht="12" customHeight="1" thickBot="1" x14ac:dyDescent="0.3">
      <c r="A121" s="835" t="s">
        <v>909</v>
      </c>
      <c r="B121" s="844" t="s">
        <v>296</v>
      </c>
      <c r="C121" s="824">
        <v>279404</v>
      </c>
      <c r="D121" s="921">
        <v>341543</v>
      </c>
      <c r="E121" s="1278">
        <f>+E102+E103</f>
        <v>318813</v>
      </c>
      <c r="F121" s="925">
        <f>+F102+F103</f>
        <v>371492</v>
      </c>
    </row>
    <row r="122" spans="1:12" ht="15" customHeight="1" thickBot="1" x14ac:dyDescent="0.3">
      <c r="A122" s="835" t="s">
        <v>910</v>
      </c>
      <c r="B122" s="844" t="s">
        <v>297</v>
      </c>
      <c r="C122" s="922">
        <v>6015</v>
      </c>
      <c r="D122" s="923"/>
      <c r="E122" s="1279"/>
      <c r="F122" s="1284"/>
      <c r="G122" s="135"/>
      <c r="H122" s="135"/>
    </row>
    <row r="123" spans="1:12" s="1" customFormat="1" ht="12.95" customHeight="1" thickBot="1" x14ac:dyDescent="0.25">
      <c r="A123" s="845" t="s">
        <v>911</v>
      </c>
      <c r="B123" s="846" t="s">
        <v>298</v>
      </c>
      <c r="C123" s="658">
        <v>285419</v>
      </c>
      <c r="D123" s="659">
        <v>341543</v>
      </c>
      <c r="E123" s="1241">
        <f>+E121+E122</f>
        <v>318813</v>
      </c>
      <c r="F123" s="1248">
        <f>+F121+F122</f>
        <v>371492</v>
      </c>
      <c r="G123" s="849"/>
      <c r="L123" s="820"/>
    </row>
    <row r="124" spans="1:12" ht="15.75" customHeight="1" x14ac:dyDescent="0.25">
      <c r="A124" s="428"/>
      <c r="B124" s="428"/>
      <c r="C124" s="688"/>
      <c r="D124" s="688"/>
      <c r="E124" s="688"/>
      <c r="F124" s="688"/>
      <c r="G124" s="44"/>
    </row>
    <row r="125" spans="1:12" x14ac:dyDescent="0.25">
      <c r="A125" s="1323" t="s">
        <v>108</v>
      </c>
      <c r="B125" s="1323"/>
      <c r="C125" s="1323"/>
      <c r="D125" s="637"/>
      <c r="E125" s="637"/>
      <c r="F125" s="637"/>
    </row>
    <row r="126" spans="1:12" ht="15" customHeight="1" thickBot="1" x14ac:dyDescent="0.3">
      <c r="A126" s="1321" t="s">
        <v>101</v>
      </c>
      <c r="B126" s="1321"/>
      <c r="C126" s="343"/>
      <c r="D126" s="343"/>
      <c r="E126" s="343"/>
      <c r="F126" s="343"/>
    </row>
    <row r="127" spans="1:12" ht="13.5" customHeight="1" thickBot="1" x14ac:dyDescent="0.3">
      <c r="A127" s="23">
        <v>1</v>
      </c>
      <c r="B127" s="35" t="s">
        <v>183</v>
      </c>
      <c r="C127" s="648">
        <f>+C51-C102</f>
        <v>-2256</v>
      </c>
      <c r="D127" s="648">
        <f>+D51-D102</f>
        <v>-48271</v>
      </c>
      <c r="E127" s="648">
        <f>+E51-E102</f>
        <v>0</v>
      </c>
      <c r="F127" s="648">
        <f>+F51-F102</f>
        <v>-54701</v>
      </c>
    </row>
    <row r="128" spans="1:12" ht="7.5" customHeight="1" x14ac:dyDescent="0.25">
      <c r="A128" s="428"/>
      <c r="B128" s="428"/>
      <c r="C128" s="688"/>
      <c r="D128" s="688"/>
      <c r="E128" s="688"/>
      <c r="F128" s="688"/>
    </row>
  </sheetData>
  <mergeCells count="6">
    <mergeCell ref="A126:B126"/>
    <mergeCell ref="A69:C69"/>
    <mergeCell ref="A1:C1"/>
    <mergeCell ref="A2:B2"/>
    <mergeCell ref="A70:B70"/>
    <mergeCell ref="A125:C125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69" fitToWidth="3" fitToHeight="2" orientation="portrait" r:id="rId1"/>
  <headerFooter alignWithMargins="0">
    <oddHeader>&amp;C&amp;"Times New Roman CE,Félkövér"&amp;12
Csobánka Község Önkormányzat
2015. ÉVI KÖLTSÉGVETÉS KÖTELEZŐ FELADATAINAK MÉRLEGE &amp;R&amp;"Times New Roman CE,Félkövér dőlt"&amp;11 &amp;"Times New Roman CE,Félkövér"1.2. melléklet az 1/2015. (II.13.)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topLeftCell="A53" zoomScaleNormal="120" zoomScaleSheetLayoutView="100" workbookViewId="0">
      <selection activeCell="E71" sqref="E71:F71"/>
    </sheetView>
  </sheetViews>
  <sheetFormatPr defaultColWidth="9.33203125" defaultRowHeight="15.75" x14ac:dyDescent="0.25"/>
  <cols>
    <col min="1" max="1" width="9" style="433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15.95" customHeight="1" x14ac:dyDescent="0.25">
      <c r="A1" s="1324" t="s">
        <v>900</v>
      </c>
      <c r="B1" s="1324"/>
      <c r="C1" s="1324"/>
      <c r="D1" s="637"/>
      <c r="E1" s="637"/>
      <c r="F1" s="637"/>
    </row>
    <row r="2" spans="1:6" ht="15.95" customHeight="1" thickBot="1" x14ac:dyDescent="0.3">
      <c r="A2" s="1321" t="s">
        <v>99</v>
      </c>
      <c r="B2" s="132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f>+C6+C11+C20</f>
        <v>958</v>
      </c>
      <c r="D5" s="641">
        <f>+D6+D11+D20</f>
        <v>0</v>
      </c>
      <c r="E5" s="1239">
        <f>+E6+E11+E20</f>
        <v>0</v>
      </c>
      <c r="F5" s="1243">
        <f>+F6+F11+F20</f>
        <v>0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3">
        <f>+C7+C8+C9+C10</f>
        <v>958</v>
      </c>
      <c r="D6" s="644">
        <f>+D7+D8+D9+D10</f>
        <v>0</v>
      </c>
      <c r="E6" s="643">
        <f>+E7+E8+E9+E10</f>
        <v>0</v>
      </c>
      <c r="F6" s="689">
        <f>+F7+F8+F9+F10</f>
        <v>0</v>
      </c>
    </row>
    <row r="7" spans="1:6" s="1" customFormat="1" ht="12" customHeight="1" x14ac:dyDescent="0.2">
      <c r="A7" s="16" t="s">
        <v>63</v>
      </c>
      <c r="B7" s="417" t="s">
        <v>947</v>
      </c>
      <c r="C7" s="646">
        <v>958</v>
      </c>
      <c r="D7" s="647"/>
      <c r="E7" s="646"/>
      <c r="F7" s="912"/>
    </row>
    <row r="8" spans="1:6" s="1" customFormat="1" ht="12" customHeight="1" x14ac:dyDescent="0.2">
      <c r="A8" s="16" t="s">
        <v>64</v>
      </c>
      <c r="B8" s="336" t="s">
        <v>33</v>
      </c>
      <c r="C8" s="646"/>
      <c r="D8" s="647"/>
      <c r="E8" s="646"/>
      <c r="F8" s="912"/>
    </row>
    <row r="9" spans="1:6" s="1" customFormat="1" ht="12" customHeight="1" x14ac:dyDescent="0.2">
      <c r="A9" s="16" t="s">
        <v>65</v>
      </c>
      <c r="B9" s="336" t="s">
        <v>126</v>
      </c>
      <c r="C9" s="646"/>
      <c r="D9" s="647"/>
      <c r="E9" s="646"/>
      <c r="F9" s="912"/>
    </row>
    <row r="10" spans="1:6" s="1" customFormat="1" ht="12" customHeight="1" thickBot="1" x14ac:dyDescent="0.25">
      <c r="A10" s="16" t="s">
        <v>66</v>
      </c>
      <c r="B10" s="418" t="s">
        <v>127</v>
      </c>
      <c r="C10" s="646"/>
      <c r="D10" s="647"/>
      <c r="E10" s="646"/>
      <c r="F10" s="912"/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f>+C12+C13+C14+C15+C16+C17+C18+C19</f>
        <v>0</v>
      </c>
      <c r="D11" s="644">
        <f>+D12+D13+D14+D15+D16+D17+D18+D19</f>
        <v>0</v>
      </c>
      <c r="E11" s="643">
        <f>+E12+E13+E14+E15+E16+E17+E18+E19</f>
        <v>0</v>
      </c>
      <c r="F11" s="689">
        <f>+F12+F13+F14+F15+F16+F17+F18+F19</f>
        <v>0</v>
      </c>
    </row>
    <row r="12" spans="1:6" s="1" customFormat="1" ht="12" customHeight="1" x14ac:dyDescent="0.2">
      <c r="A12" s="20" t="s">
        <v>37</v>
      </c>
      <c r="B12" s="12" t="s">
        <v>133</v>
      </c>
      <c r="C12" s="663"/>
      <c r="D12" s="664"/>
      <c r="E12" s="1249"/>
      <c r="F12" s="911"/>
    </row>
    <row r="13" spans="1:6" s="1" customFormat="1" ht="12" customHeight="1" x14ac:dyDescent="0.2">
      <c r="A13" s="16" t="s">
        <v>38</v>
      </c>
      <c r="B13" s="9" t="s">
        <v>134</v>
      </c>
      <c r="C13" s="665"/>
      <c r="D13" s="647"/>
      <c r="E13" s="646"/>
      <c r="F13" s="912"/>
    </row>
    <row r="14" spans="1:6" s="1" customFormat="1" ht="12" customHeight="1" x14ac:dyDescent="0.2">
      <c r="A14" s="16" t="s">
        <v>39</v>
      </c>
      <c r="B14" s="9" t="s">
        <v>135</v>
      </c>
      <c r="C14" s="665"/>
      <c r="D14" s="647"/>
      <c r="E14" s="646"/>
      <c r="F14" s="912"/>
    </row>
    <row r="15" spans="1:6" s="1" customFormat="1" ht="12" customHeight="1" x14ac:dyDescent="0.2">
      <c r="A15" s="16" t="s">
        <v>40</v>
      </c>
      <c r="B15" s="9" t="s">
        <v>136</v>
      </c>
      <c r="C15" s="665"/>
      <c r="D15" s="647"/>
      <c r="E15" s="646"/>
      <c r="F15" s="912"/>
    </row>
    <row r="16" spans="1:6" s="1" customFormat="1" ht="12" customHeight="1" x14ac:dyDescent="0.2">
      <c r="A16" s="15" t="s">
        <v>129</v>
      </c>
      <c r="B16" s="8" t="s">
        <v>137</v>
      </c>
      <c r="C16" s="696"/>
      <c r="D16" s="697"/>
      <c r="E16" s="708"/>
      <c r="F16" s="1269"/>
    </row>
    <row r="17" spans="1:6" s="1" customFormat="1" ht="12" customHeight="1" x14ac:dyDescent="0.2">
      <c r="A17" s="16" t="s">
        <v>130</v>
      </c>
      <c r="B17" s="9" t="s">
        <v>240</v>
      </c>
      <c r="C17" s="665"/>
      <c r="D17" s="647"/>
      <c r="E17" s="646"/>
      <c r="F17" s="912"/>
    </row>
    <row r="18" spans="1:6" s="1" customFormat="1" ht="12" customHeight="1" x14ac:dyDescent="0.2">
      <c r="A18" s="16" t="s">
        <v>131</v>
      </c>
      <c r="B18" s="9" t="s">
        <v>139</v>
      </c>
      <c r="C18" s="665"/>
      <c r="D18" s="647"/>
      <c r="E18" s="646"/>
      <c r="F18" s="912"/>
    </row>
    <row r="19" spans="1:6" s="1" customFormat="1" ht="12" customHeight="1" thickBot="1" x14ac:dyDescent="0.25">
      <c r="A19" s="17" t="s">
        <v>132</v>
      </c>
      <c r="B19" s="10" t="s">
        <v>140</v>
      </c>
      <c r="C19" s="698"/>
      <c r="D19" s="699"/>
      <c r="E19" s="1285"/>
      <c r="F19" s="1287"/>
    </row>
    <row r="20" spans="1:6" s="1" customFormat="1" ht="12" customHeight="1" thickBot="1" x14ac:dyDescent="0.25">
      <c r="A20" s="23" t="s">
        <v>141</v>
      </c>
      <c r="B20" s="24" t="s">
        <v>241</v>
      </c>
      <c r="C20" s="700"/>
      <c r="D20" s="701"/>
      <c r="E20" s="1286"/>
      <c r="F20" s="1288"/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f>+C22+C23+C24+C25+C26+C27+C28+C29</f>
        <v>0</v>
      </c>
      <c r="D21" s="644">
        <f>+D22+D23+D24+D25+D26+D27+D28+D29</f>
        <v>0</v>
      </c>
      <c r="E21" s="643">
        <f>+E22+E23+E24+E25+E26+E27+E28+E29</f>
        <v>0</v>
      </c>
      <c r="F21" s="689">
        <f>+F22+F23+F24+F25+F26+F27+F28+F29</f>
        <v>0</v>
      </c>
    </row>
    <row r="22" spans="1:6" s="1" customFormat="1" ht="12" customHeight="1" x14ac:dyDescent="0.2">
      <c r="A22" s="18" t="s">
        <v>41</v>
      </c>
      <c r="B22" s="11" t="s">
        <v>838</v>
      </c>
      <c r="C22" s="671"/>
      <c r="D22" s="672"/>
      <c r="E22" s="707"/>
      <c r="F22" s="1259"/>
    </row>
    <row r="23" spans="1:6" s="1" customFormat="1" ht="12" customHeight="1" x14ac:dyDescent="0.2">
      <c r="A23" s="16" t="s">
        <v>42</v>
      </c>
      <c r="B23" s="9" t="s">
        <v>149</v>
      </c>
      <c r="C23" s="665"/>
      <c r="D23" s="647"/>
      <c r="E23" s="646"/>
      <c r="F23" s="912"/>
    </row>
    <row r="24" spans="1:6" s="1" customFormat="1" ht="12" customHeight="1" x14ac:dyDescent="0.2">
      <c r="A24" s="16" t="s">
        <v>43</v>
      </c>
      <c r="B24" s="9" t="s">
        <v>46</v>
      </c>
      <c r="C24" s="665"/>
      <c r="D24" s="647"/>
      <c r="E24" s="646"/>
      <c r="F24" s="912"/>
    </row>
    <row r="25" spans="1:6" s="1" customFormat="1" ht="12" customHeight="1" x14ac:dyDescent="0.2">
      <c r="A25" s="19" t="s">
        <v>144</v>
      </c>
      <c r="B25" s="9" t="s">
        <v>150</v>
      </c>
      <c r="C25" s="666"/>
      <c r="D25" s="667"/>
      <c r="E25" s="673"/>
      <c r="F25" s="1257"/>
    </row>
    <row r="26" spans="1:6" s="1" customFormat="1" ht="12" customHeight="1" x14ac:dyDescent="0.2">
      <c r="A26" s="19" t="s">
        <v>145</v>
      </c>
      <c r="B26" s="9" t="s">
        <v>151</v>
      </c>
      <c r="C26" s="666"/>
      <c r="D26" s="667"/>
      <c r="E26" s="673"/>
      <c r="F26" s="1257"/>
    </row>
    <row r="27" spans="1:6" s="1" customFormat="1" ht="12" customHeight="1" x14ac:dyDescent="0.2">
      <c r="A27" s="16" t="s">
        <v>146</v>
      </c>
      <c r="B27" s="9" t="s">
        <v>152</v>
      </c>
      <c r="C27" s="665"/>
      <c r="D27" s="647"/>
      <c r="E27" s="646"/>
      <c r="F27" s="912"/>
    </row>
    <row r="28" spans="1:6" s="1" customFormat="1" ht="12" customHeight="1" x14ac:dyDescent="0.2">
      <c r="A28" s="16" t="s">
        <v>147</v>
      </c>
      <c r="B28" s="9" t="s">
        <v>242</v>
      </c>
      <c r="C28" s="702"/>
      <c r="D28" s="703"/>
      <c r="E28" s="704"/>
      <c r="F28" s="1267"/>
    </row>
    <row r="29" spans="1:6" s="1" customFormat="1" ht="12" customHeight="1" thickBot="1" x14ac:dyDescent="0.25">
      <c r="A29" s="16" t="s">
        <v>148</v>
      </c>
      <c r="B29" s="14" t="s">
        <v>153</v>
      </c>
      <c r="C29" s="702"/>
      <c r="D29" s="703"/>
      <c r="E29" s="704"/>
      <c r="F29" s="1267"/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f>+C31+C37</f>
        <v>0</v>
      </c>
      <c r="D30" s="644">
        <f>+D31+D37</f>
        <v>0</v>
      </c>
      <c r="E30" s="643">
        <f>+E31+E37</f>
        <v>0</v>
      </c>
      <c r="F30" s="689">
        <f>+F31+F37</f>
        <v>0</v>
      </c>
    </row>
    <row r="31" spans="1:6" s="1" customFormat="1" ht="12" customHeight="1" x14ac:dyDescent="0.2">
      <c r="A31" s="316" t="s">
        <v>44</v>
      </c>
      <c r="B31" s="419" t="s">
        <v>378</v>
      </c>
      <c r="C31" s="651">
        <f>+C32+C33+C34+C35+C36</f>
        <v>0</v>
      </c>
      <c r="D31" s="652">
        <f>+D32+D33+D34+D35+D36</f>
        <v>0</v>
      </c>
      <c r="E31" s="651">
        <f>+E32+E33+E34+E35+E36</f>
        <v>0</v>
      </c>
      <c r="F31" s="1245">
        <f>+F32+F33+F34+F35+F36</f>
        <v>0</v>
      </c>
    </row>
    <row r="32" spans="1:6" s="1" customFormat="1" ht="12" customHeight="1" x14ac:dyDescent="0.2">
      <c r="A32" s="317" t="s">
        <v>47</v>
      </c>
      <c r="B32" s="323" t="s">
        <v>243</v>
      </c>
      <c r="C32" s="704"/>
      <c r="D32" s="703"/>
      <c r="E32" s="704"/>
      <c r="F32" s="1267"/>
    </row>
    <row r="33" spans="1:6" s="1" customFormat="1" ht="12" customHeight="1" x14ac:dyDescent="0.2">
      <c r="A33" s="317" t="s">
        <v>48</v>
      </c>
      <c r="B33" s="323" t="s">
        <v>244</v>
      </c>
      <c r="C33" s="704"/>
      <c r="D33" s="703"/>
      <c r="E33" s="704"/>
      <c r="F33" s="1267"/>
    </row>
    <row r="34" spans="1:6" s="1" customFormat="1" ht="12" customHeight="1" x14ac:dyDescent="0.2">
      <c r="A34" s="317" t="s">
        <v>49</v>
      </c>
      <c r="B34" s="323" t="s">
        <v>245</v>
      </c>
      <c r="C34" s="704"/>
      <c r="D34" s="703"/>
      <c r="E34" s="704"/>
      <c r="F34" s="1267"/>
    </row>
    <row r="35" spans="1:6" s="1" customFormat="1" ht="12" customHeight="1" x14ac:dyDescent="0.2">
      <c r="A35" s="317" t="s">
        <v>50</v>
      </c>
      <c r="B35" s="323" t="s">
        <v>246</v>
      </c>
      <c r="C35" s="704"/>
      <c r="D35" s="703"/>
      <c r="E35" s="704"/>
      <c r="F35" s="1267"/>
    </row>
    <row r="36" spans="1:6" s="1" customFormat="1" ht="12" customHeight="1" x14ac:dyDescent="0.2">
      <c r="A36" s="317" t="s">
        <v>154</v>
      </c>
      <c r="B36" s="323" t="s">
        <v>379</v>
      </c>
      <c r="C36" s="704"/>
      <c r="D36" s="703"/>
      <c r="E36" s="704"/>
      <c r="F36" s="1267"/>
    </row>
    <row r="37" spans="1:6" s="1" customFormat="1" ht="12" customHeight="1" x14ac:dyDescent="0.2">
      <c r="A37" s="317" t="s">
        <v>45</v>
      </c>
      <c r="B37" s="324" t="s">
        <v>380</v>
      </c>
      <c r="C37" s="653">
        <f>+C38+C39+C40+C41+C42</f>
        <v>0</v>
      </c>
      <c r="D37" s="654">
        <f>+D38+D39+D40+D41+D42</f>
        <v>0</v>
      </c>
      <c r="E37" s="653">
        <f>+E38+E39+E40+E41+E42</f>
        <v>0</v>
      </c>
      <c r="F37" s="1246">
        <f>+F38+F39+F40+F41+F42</f>
        <v>0</v>
      </c>
    </row>
    <row r="38" spans="1:6" s="1" customFormat="1" ht="12" customHeight="1" x14ac:dyDescent="0.2">
      <c r="A38" s="317" t="s">
        <v>53</v>
      </c>
      <c r="B38" s="323" t="s">
        <v>243</v>
      </c>
      <c r="C38" s="704"/>
      <c r="D38" s="703"/>
      <c r="E38" s="704"/>
      <c r="F38" s="1267"/>
    </row>
    <row r="39" spans="1:6" s="1" customFormat="1" ht="12" customHeight="1" x14ac:dyDescent="0.2">
      <c r="A39" s="317" t="s">
        <v>54</v>
      </c>
      <c r="B39" s="323" t="s">
        <v>244</v>
      </c>
      <c r="C39" s="704"/>
      <c r="D39" s="703"/>
      <c r="E39" s="704"/>
      <c r="F39" s="1267"/>
    </row>
    <row r="40" spans="1:6" s="1" customFormat="1" ht="12" customHeight="1" x14ac:dyDescent="0.2">
      <c r="A40" s="317" t="s">
        <v>55</v>
      </c>
      <c r="B40" s="323" t="s">
        <v>245</v>
      </c>
      <c r="C40" s="704"/>
      <c r="D40" s="703"/>
      <c r="E40" s="704"/>
      <c r="F40" s="1267"/>
    </row>
    <row r="41" spans="1:6" s="1" customFormat="1" ht="12" customHeight="1" x14ac:dyDescent="0.2">
      <c r="A41" s="317" t="s">
        <v>56</v>
      </c>
      <c r="B41" s="325" t="s">
        <v>246</v>
      </c>
      <c r="C41" s="704"/>
      <c r="D41" s="703"/>
      <c r="E41" s="704"/>
      <c r="F41" s="1267"/>
    </row>
    <row r="42" spans="1:6" s="1" customFormat="1" ht="12" customHeight="1" thickBot="1" x14ac:dyDescent="0.25">
      <c r="A42" s="318" t="s">
        <v>155</v>
      </c>
      <c r="B42" s="326" t="s">
        <v>381</v>
      </c>
      <c r="C42" s="705"/>
      <c r="D42" s="706"/>
      <c r="E42" s="705"/>
      <c r="F42" s="1268"/>
    </row>
    <row r="43" spans="1:6" s="1" customFormat="1" ht="12" customHeight="1" thickBot="1" x14ac:dyDescent="0.25">
      <c r="A43" s="23" t="s">
        <v>156</v>
      </c>
      <c r="B43" s="420" t="s">
        <v>247</v>
      </c>
      <c r="C43" s="643">
        <f>+C44+C45</f>
        <v>0</v>
      </c>
      <c r="D43" s="644">
        <f>+D44+D45</f>
        <v>0</v>
      </c>
      <c r="E43" s="643">
        <f>+E44+E45</f>
        <v>0</v>
      </c>
      <c r="F43" s="689">
        <f>+F44+F45</f>
        <v>0</v>
      </c>
    </row>
    <row r="44" spans="1:6" s="1" customFormat="1" ht="12" customHeight="1" x14ac:dyDescent="0.2">
      <c r="A44" s="18" t="s">
        <v>51</v>
      </c>
      <c r="B44" s="336" t="s">
        <v>248</v>
      </c>
      <c r="C44" s="707"/>
      <c r="D44" s="672"/>
      <c r="E44" s="707"/>
      <c r="F44" s="1259"/>
    </row>
    <row r="45" spans="1:6" s="1" customFormat="1" ht="12" customHeight="1" thickBot="1" x14ac:dyDescent="0.25">
      <c r="A45" s="15" t="s">
        <v>52</v>
      </c>
      <c r="B45" s="331" t="s">
        <v>252</v>
      </c>
      <c r="C45" s="708"/>
      <c r="D45" s="697"/>
      <c r="E45" s="708"/>
      <c r="F45" s="1269"/>
    </row>
    <row r="46" spans="1:6" s="1" customFormat="1" ht="12" customHeight="1" thickBot="1" x14ac:dyDescent="0.25">
      <c r="A46" s="23" t="s">
        <v>910</v>
      </c>
      <c r="B46" s="420" t="s">
        <v>251</v>
      </c>
      <c r="C46" s="643">
        <f>+C47+C48+C49</f>
        <v>0</v>
      </c>
      <c r="D46" s="644">
        <f>+D47+D48+D49</f>
        <v>0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709"/>
      <c r="D47" s="710"/>
      <c r="E47" s="709"/>
      <c r="F47" s="1270"/>
    </row>
    <row r="48" spans="1:6" s="1" customFormat="1" ht="12" customHeight="1" x14ac:dyDescent="0.2">
      <c r="A48" s="16" t="s">
        <v>160</v>
      </c>
      <c r="B48" s="323" t="s">
        <v>968</v>
      </c>
      <c r="C48" s="702"/>
      <c r="D48" s="703"/>
      <c r="E48" s="704"/>
      <c r="F48" s="1267"/>
    </row>
    <row r="49" spans="1:6" s="1" customFormat="1" ht="12" customHeight="1" thickBot="1" x14ac:dyDescent="0.25">
      <c r="A49" s="15" t="s">
        <v>309</v>
      </c>
      <c r="B49" s="331" t="s">
        <v>249</v>
      </c>
      <c r="C49" s="711"/>
      <c r="D49" s="712"/>
      <c r="E49" s="711"/>
      <c r="F49" s="1271"/>
    </row>
    <row r="50" spans="1:6" s="1" customFormat="1" ht="17.25" customHeight="1" thickBot="1" x14ac:dyDescent="0.25">
      <c r="A50" s="23" t="s">
        <v>161</v>
      </c>
      <c r="B50" s="421" t="s">
        <v>250</v>
      </c>
      <c r="C50" s="713"/>
      <c r="D50" s="675"/>
      <c r="E50" s="674"/>
      <c r="F50" s="898"/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f>+C6+C11+C20+C21+C30+C43+C46+C50</f>
        <v>958</v>
      </c>
      <c r="D51" s="657">
        <f>+D6+D11+D20+D21+D30+D43+D46+D50</f>
        <v>0</v>
      </c>
      <c r="E51" s="1240">
        <f>+E6+E11+E20+E21+E30+E43+E46+E50</f>
        <v>0</v>
      </c>
      <c r="F51" s="1247">
        <f>+F6+F11+F20+F21+F30+F43+F46+F50</f>
        <v>0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8">
        <f>+C53+C59</f>
        <v>0</v>
      </c>
      <c r="D52" s="659">
        <f>+D53+D59</f>
        <v>0</v>
      </c>
      <c r="E52" s="1241">
        <f>+E53+E59</f>
        <v>0</v>
      </c>
      <c r="F52" s="1248">
        <f>+F53+F59</f>
        <v>0</v>
      </c>
    </row>
    <row r="53" spans="1:6" s="1" customFormat="1" ht="12" customHeight="1" x14ac:dyDescent="0.2">
      <c r="A53" s="422" t="s">
        <v>92</v>
      </c>
      <c r="B53" s="419" t="s">
        <v>254</v>
      </c>
      <c r="C53" s="660">
        <f>+C54+C55+C56+C57+C58</f>
        <v>0</v>
      </c>
      <c r="D53" s="652">
        <f>+D54+D55+D56+D57+D58</f>
        <v>0</v>
      </c>
      <c r="E53" s="651">
        <f>+E54+E55+E56+E57+E58</f>
        <v>0</v>
      </c>
      <c r="F53" s="1245">
        <f>+F54+F55+F56+F57+F58</f>
        <v>0</v>
      </c>
    </row>
    <row r="54" spans="1:6" s="1" customFormat="1" ht="12" customHeight="1" x14ac:dyDescent="0.2">
      <c r="A54" s="328" t="s">
        <v>269</v>
      </c>
      <c r="B54" s="323" t="s">
        <v>255</v>
      </c>
      <c r="C54" s="702"/>
      <c r="D54" s="703"/>
      <c r="E54" s="704"/>
      <c r="F54" s="1267"/>
    </row>
    <row r="55" spans="1:6" s="1" customFormat="1" ht="12" customHeight="1" x14ac:dyDescent="0.2">
      <c r="A55" s="328" t="s">
        <v>270</v>
      </c>
      <c r="B55" s="323" t="s">
        <v>256</v>
      </c>
      <c r="C55" s="702"/>
      <c r="D55" s="703"/>
      <c r="E55" s="704"/>
      <c r="F55" s="1267"/>
    </row>
    <row r="56" spans="1:6" s="1" customFormat="1" ht="12" customHeight="1" x14ac:dyDescent="0.2">
      <c r="A56" s="328" t="s">
        <v>271</v>
      </c>
      <c r="B56" s="323" t="s">
        <v>257</v>
      </c>
      <c r="C56" s="702"/>
      <c r="D56" s="703"/>
      <c r="E56" s="704"/>
      <c r="F56" s="1267"/>
    </row>
    <row r="57" spans="1:6" s="1" customFormat="1" ht="12" customHeight="1" x14ac:dyDescent="0.2">
      <c r="A57" s="328" t="s">
        <v>272</v>
      </c>
      <c r="B57" s="323" t="s">
        <v>258</v>
      </c>
      <c r="C57" s="702"/>
      <c r="D57" s="703"/>
      <c r="E57" s="704"/>
      <c r="F57" s="1267"/>
    </row>
    <row r="58" spans="1:6" s="1" customFormat="1" ht="12" customHeight="1" x14ac:dyDescent="0.2">
      <c r="A58" s="328" t="s">
        <v>273</v>
      </c>
      <c r="B58" s="323" t="s">
        <v>259</v>
      </c>
      <c r="C58" s="702"/>
      <c r="D58" s="703"/>
      <c r="E58" s="704"/>
      <c r="F58" s="1267"/>
    </row>
    <row r="59" spans="1:6" s="1" customFormat="1" ht="12" customHeight="1" x14ac:dyDescent="0.2">
      <c r="A59" s="329" t="s">
        <v>93</v>
      </c>
      <c r="B59" s="324" t="s">
        <v>260</v>
      </c>
      <c r="C59" s="661">
        <f>+C60+C61+C62+C63+C64</f>
        <v>0</v>
      </c>
      <c r="D59" s="654">
        <f>+D60+D61+D62+D63+D64</f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702"/>
      <c r="D60" s="703"/>
      <c r="E60" s="704"/>
      <c r="F60" s="1267"/>
    </row>
    <row r="61" spans="1:6" s="1" customFormat="1" ht="12" customHeight="1" x14ac:dyDescent="0.2">
      <c r="A61" s="328" t="s">
        <v>275</v>
      </c>
      <c r="B61" s="323" t="s">
        <v>262</v>
      </c>
      <c r="C61" s="702"/>
      <c r="D61" s="703"/>
      <c r="E61" s="704"/>
      <c r="F61" s="1267"/>
    </row>
    <row r="62" spans="1:6" s="1" customFormat="1" ht="12" customHeight="1" x14ac:dyDescent="0.2">
      <c r="A62" s="328" t="s">
        <v>276</v>
      </c>
      <c r="B62" s="323" t="s">
        <v>263</v>
      </c>
      <c r="C62" s="702"/>
      <c r="D62" s="703"/>
      <c r="E62" s="704"/>
      <c r="F62" s="1267"/>
    </row>
    <row r="63" spans="1:6" s="1" customFormat="1" ht="12" customHeight="1" x14ac:dyDescent="0.2">
      <c r="A63" s="328" t="s">
        <v>277</v>
      </c>
      <c r="B63" s="323" t="s">
        <v>264</v>
      </c>
      <c r="C63" s="702"/>
      <c r="D63" s="703"/>
      <c r="E63" s="704"/>
      <c r="F63" s="1267"/>
    </row>
    <row r="64" spans="1:6" s="1" customFormat="1" ht="12" customHeight="1" thickBot="1" x14ac:dyDescent="0.25">
      <c r="A64" s="330" t="s">
        <v>278</v>
      </c>
      <c r="B64" s="331" t="s">
        <v>265</v>
      </c>
      <c r="C64" s="714"/>
      <c r="D64" s="715"/>
      <c r="E64" s="1265"/>
      <c r="F64" s="1272"/>
    </row>
    <row r="65" spans="1:6" s="1" customFormat="1" ht="12" customHeight="1" thickBot="1" x14ac:dyDescent="0.25">
      <c r="A65" s="332" t="s">
        <v>914</v>
      </c>
      <c r="B65" s="423" t="s">
        <v>266</v>
      </c>
      <c r="C65" s="658">
        <f>+C51+C52</f>
        <v>958</v>
      </c>
      <c r="D65" s="659">
        <f>+D51+D52</f>
        <v>0</v>
      </c>
      <c r="E65" s="1241">
        <f>+E51+E52</f>
        <v>0</v>
      </c>
      <c r="F65" s="1248">
        <f>+F51+F52</f>
        <v>0</v>
      </c>
    </row>
    <row r="66" spans="1:6" s="1" customFormat="1" ht="13.5" customHeight="1" thickBot="1" x14ac:dyDescent="0.25">
      <c r="A66" s="333" t="s">
        <v>915</v>
      </c>
      <c r="B66" s="424" t="s">
        <v>267</v>
      </c>
      <c r="C66" s="716"/>
      <c r="D66" s="717"/>
      <c r="E66" s="1266"/>
      <c r="F66" s="1273"/>
    </row>
    <row r="67" spans="1:6" s="1" customFormat="1" ht="12" customHeight="1" thickBot="1" x14ac:dyDescent="0.25">
      <c r="A67" s="332" t="s">
        <v>916</v>
      </c>
      <c r="B67" s="423" t="s">
        <v>268</v>
      </c>
      <c r="C67" s="658">
        <f>+C65+C66</f>
        <v>958</v>
      </c>
      <c r="D67" s="659">
        <f>+D65+D66</f>
        <v>0</v>
      </c>
      <c r="E67" s="1241">
        <f>+E65+E66</f>
        <v>0</v>
      </c>
      <c r="F67" s="1248">
        <f>+F65+F66</f>
        <v>0</v>
      </c>
    </row>
    <row r="68" spans="1:6" s="1" customFormat="1" ht="12.95" customHeight="1" x14ac:dyDescent="0.2">
      <c r="A68" s="6"/>
      <c r="B68" s="7"/>
      <c r="C68" s="662"/>
      <c r="D68" s="662"/>
      <c r="E68" s="662"/>
      <c r="F68" s="662"/>
    </row>
    <row r="69" spans="1:6" ht="16.5" customHeight="1" x14ac:dyDescent="0.25">
      <c r="A69" s="1324" t="s">
        <v>932</v>
      </c>
      <c r="B69" s="1324"/>
      <c r="C69" s="1324"/>
      <c r="D69" s="637"/>
      <c r="E69" s="637"/>
      <c r="F69" s="637"/>
    </row>
    <row r="70" spans="1:6" s="345" customFormat="1" ht="16.5" customHeight="1" thickBot="1" x14ac:dyDescent="0.3">
      <c r="A70" s="1322" t="s">
        <v>100</v>
      </c>
      <c r="B70" s="1322"/>
      <c r="C70" s="150"/>
      <c r="D70" s="343"/>
      <c r="E70" s="343"/>
      <c r="F70" s="343"/>
    </row>
    <row r="71" spans="1:6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1238" t="s">
        <v>1001</v>
      </c>
      <c r="F71" s="1242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1238">
        <v>3</v>
      </c>
      <c r="F72" s="1242">
        <v>4</v>
      </c>
    </row>
    <row r="73" spans="1:6" ht="12" customHeight="1" thickBot="1" x14ac:dyDescent="0.3">
      <c r="A73" s="25" t="s">
        <v>903</v>
      </c>
      <c r="B73" s="36" t="s">
        <v>163</v>
      </c>
      <c r="C73" s="640">
        <f>+C74+C75+C76+C77+C78</f>
        <v>958</v>
      </c>
      <c r="D73" s="641">
        <f>+D74+D75+D76+D77+D78</f>
        <v>0</v>
      </c>
      <c r="E73" s="1239">
        <f>+E74+E75+E76+E77+E78</f>
        <v>0</v>
      </c>
      <c r="F73" s="1243">
        <f>+F74+F75+F76+F77+F78</f>
        <v>0</v>
      </c>
    </row>
    <row r="74" spans="1:6" ht="12" customHeight="1" x14ac:dyDescent="0.25">
      <c r="A74" s="20" t="s">
        <v>57</v>
      </c>
      <c r="B74" s="12" t="s">
        <v>934</v>
      </c>
      <c r="C74" s="663"/>
      <c r="D74" s="664"/>
      <c r="E74" s="1249"/>
      <c r="F74" s="911"/>
    </row>
    <row r="75" spans="1:6" ht="12" customHeight="1" x14ac:dyDescent="0.25">
      <c r="A75" s="16" t="s">
        <v>58</v>
      </c>
      <c r="B75" s="9" t="s">
        <v>164</v>
      </c>
      <c r="C75" s="665"/>
      <c r="D75" s="647"/>
      <c r="E75" s="646"/>
      <c r="F75" s="912"/>
    </row>
    <row r="76" spans="1:6" ht="12" customHeight="1" x14ac:dyDescent="0.25">
      <c r="A76" s="16" t="s">
        <v>59</v>
      </c>
      <c r="B76" s="9" t="s">
        <v>88</v>
      </c>
      <c r="C76" s="666">
        <v>958</v>
      </c>
      <c r="D76" s="667"/>
      <c r="E76" s="673"/>
      <c r="F76" s="1257"/>
    </row>
    <row r="77" spans="1:6" ht="12" customHeight="1" x14ac:dyDescent="0.25">
      <c r="A77" s="16" t="s">
        <v>60</v>
      </c>
      <c r="B77" s="13" t="s">
        <v>165</v>
      </c>
      <c r="C77" s="666"/>
      <c r="D77" s="667"/>
      <c r="E77" s="673"/>
      <c r="F77" s="1257"/>
    </row>
    <row r="78" spans="1:6" ht="12" customHeight="1" x14ac:dyDescent="0.25">
      <c r="A78" s="16" t="s">
        <v>71</v>
      </c>
      <c r="B78" s="22" t="s">
        <v>166</v>
      </c>
      <c r="C78" s="666"/>
      <c r="D78" s="667"/>
      <c r="E78" s="673"/>
      <c r="F78" s="1257"/>
    </row>
    <row r="79" spans="1:6" ht="12" customHeight="1" x14ac:dyDescent="0.25">
      <c r="A79" s="16" t="s">
        <v>61</v>
      </c>
      <c r="B79" s="9" t="s">
        <v>188</v>
      </c>
      <c r="C79" s="666"/>
      <c r="D79" s="667"/>
      <c r="E79" s="673"/>
      <c r="F79" s="1257"/>
    </row>
    <row r="80" spans="1:6" ht="12" customHeight="1" x14ac:dyDescent="0.25">
      <c r="A80" s="16" t="s">
        <v>62</v>
      </c>
      <c r="B80" s="153" t="s">
        <v>189</v>
      </c>
      <c r="C80" s="666"/>
      <c r="D80" s="667"/>
      <c r="E80" s="673"/>
      <c r="F80" s="1257"/>
    </row>
    <row r="81" spans="1:6" ht="12" customHeight="1" x14ac:dyDescent="0.25">
      <c r="A81" s="16" t="s">
        <v>72</v>
      </c>
      <c r="B81" s="153" t="s">
        <v>279</v>
      </c>
      <c r="C81" s="666"/>
      <c r="D81" s="667"/>
      <c r="E81" s="673"/>
      <c r="F81" s="1257"/>
    </row>
    <row r="82" spans="1:6" ht="12" customHeight="1" x14ac:dyDescent="0.25">
      <c r="A82" s="16" t="s">
        <v>73</v>
      </c>
      <c r="B82" s="154" t="s">
        <v>190</v>
      </c>
      <c r="C82" s="666"/>
      <c r="D82" s="667"/>
      <c r="E82" s="673"/>
      <c r="F82" s="1257"/>
    </row>
    <row r="83" spans="1:6" ht="12" customHeight="1" x14ac:dyDescent="0.25">
      <c r="A83" s="15" t="s">
        <v>74</v>
      </c>
      <c r="B83" s="155" t="s">
        <v>191</v>
      </c>
      <c r="C83" s="666"/>
      <c r="D83" s="667"/>
      <c r="E83" s="673"/>
      <c r="F83" s="1257"/>
    </row>
    <row r="84" spans="1:6" ht="12" customHeight="1" x14ac:dyDescent="0.25">
      <c r="A84" s="16" t="s">
        <v>75</v>
      </c>
      <c r="B84" s="155" t="s">
        <v>192</v>
      </c>
      <c r="C84" s="666"/>
      <c r="D84" s="667"/>
      <c r="E84" s="673"/>
      <c r="F84" s="1257"/>
    </row>
    <row r="85" spans="1:6" ht="12" customHeight="1" thickBot="1" x14ac:dyDescent="0.3">
      <c r="A85" s="21" t="s">
        <v>77</v>
      </c>
      <c r="B85" s="156" t="s">
        <v>193</v>
      </c>
      <c r="C85" s="669"/>
      <c r="D85" s="670"/>
      <c r="E85" s="1250"/>
      <c r="F85" s="1258"/>
    </row>
    <row r="86" spans="1:6" ht="12" customHeight="1" thickBot="1" x14ac:dyDescent="0.3">
      <c r="A86" s="23" t="s">
        <v>904</v>
      </c>
      <c r="B86" s="35" t="s">
        <v>310</v>
      </c>
      <c r="C86" s="648">
        <f>+C87+C88+C89</f>
        <v>0</v>
      </c>
      <c r="D86" s="644">
        <f>+D87+D88+D89</f>
        <v>0</v>
      </c>
      <c r="E86" s="643">
        <f>+E87+E88+E89</f>
        <v>0</v>
      </c>
      <c r="F86" s="689">
        <f>+F87+F88+F89</f>
        <v>0</v>
      </c>
    </row>
    <row r="87" spans="1:6" ht="12" customHeight="1" x14ac:dyDescent="0.25">
      <c r="A87" s="18" t="s">
        <v>63</v>
      </c>
      <c r="B87" s="9" t="s">
        <v>280</v>
      </c>
      <c r="C87" s="671"/>
      <c r="D87" s="672"/>
      <c r="E87" s="707"/>
      <c r="F87" s="1259"/>
    </row>
    <row r="88" spans="1:6" ht="12" customHeight="1" x14ac:dyDescent="0.25">
      <c r="A88" s="18" t="s">
        <v>64</v>
      </c>
      <c r="B88" s="14" t="s">
        <v>168</v>
      </c>
      <c r="C88" s="665"/>
      <c r="D88" s="647"/>
      <c r="E88" s="646"/>
      <c r="F88" s="912"/>
    </row>
    <row r="89" spans="1:6" ht="12" customHeight="1" x14ac:dyDescent="0.25">
      <c r="A89" s="18" t="s">
        <v>65</v>
      </c>
      <c r="B89" s="323" t="s">
        <v>311</v>
      </c>
      <c r="C89" s="646"/>
      <c r="D89" s="647"/>
      <c r="E89" s="646"/>
      <c r="F89" s="912"/>
    </row>
    <row r="90" spans="1:6" ht="12" customHeight="1" x14ac:dyDescent="0.25">
      <c r="A90" s="18" t="s">
        <v>66</v>
      </c>
      <c r="B90" s="323" t="s">
        <v>382</v>
      </c>
      <c r="C90" s="646"/>
      <c r="D90" s="647"/>
      <c r="E90" s="646"/>
      <c r="F90" s="912"/>
    </row>
    <row r="91" spans="1:6" ht="12" customHeight="1" x14ac:dyDescent="0.25">
      <c r="A91" s="18" t="s">
        <v>67</v>
      </c>
      <c r="B91" s="323" t="s">
        <v>312</v>
      </c>
      <c r="C91" s="646"/>
      <c r="D91" s="647"/>
      <c r="E91" s="646"/>
      <c r="F91" s="912"/>
    </row>
    <row r="92" spans="1:6" x14ac:dyDescent="0.25">
      <c r="A92" s="18" t="s">
        <v>76</v>
      </c>
      <c r="B92" s="323" t="s">
        <v>313</v>
      </c>
      <c r="C92" s="646"/>
      <c r="D92" s="647"/>
      <c r="E92" s="646"/>
      <c r="F92" s="912"/>
    </row>
    <row r="93" spans="1:6" ht="12" customHeight="1" x14ac:dyDescent="0.25">
      <c r="A93" s="18" t="s">
        <v>78</v>
      </c>
      <c r="B93" s="425" t="s">
        <v>284</v>
      </c>
      <c r="C93" s="646"/>
      <c r="D93" s="647"/>
      <c r="E93" s="646"/>
      <c r="F93" s="912"/>
    </row>
    <row r="94" spans="1:6" ht="12" customHeight="1" x14ac:dyDescent="0.25">
      <c r="A94" s="18" t="s">
        <v>169</v>
      </c>
      <c r="B94" s="425" t="s">
        <v>285</v>
      </c>
      <c r="C94" s="646"/>
      <c r="D94" s="647"/>
      <c r="E94" s="646"/>
      <c r="F94" s="912"/>
    </row>
    <row r="95" spans="1:6" ht="12" customHeight="1" x14ac:dyDescent="0.25">
      <c r="A95" s="18" t="s">
        <v>170</v>
      </c>
      <c r="B95" s="425" t="s">
        <v>283</v>
      </c>
      <c r="C95" s="646"/>
      <c r="D95" s="647"/>
      <c r="E95" s="646"/>
      <c r="F95" s="912"/>
    </row>
    <row r="96" spans="1:6" ht="24" customHeight="1" thickBot="1" x14ac:dyDescent="0.3">
      <c r="A96" s="15" t="s">
        <v>171</v>
      </c>
      <c r="B96" s="426" t="s">
        <v>282</v>
      </c>
      <c r="C96" s="673"/>
      <c r="D96" s="667"/>
      <c r="E96" s="673"/>
      <c r="F96" s="1257"/>
    </row>
    <row r="97" spans="1:6" ht="12" customHeight="1" thickBot="1" x14ac:dyDescent="0.3">
      <c r="A97" s="23" t="s">
        <v>905</v>
      </c>
      <c r="B97" s="134" t="s">
        <v>314</v>
      </c>
      <c r="C97" s="648">
        <f>+C98+C99</f>
        <v>0</v>
      </c>
      <c r="D97" s="644">
        <f>+D98+D99</f>
        <v>0</v>
      </c>
      <c r="E97" s="643">
        <f>+E98+E99</f>
        <v>0</v>
      </c>
      <c r="F97" s="689">
        <f>+F98+F99</f>
        <v>0</v>
      </c>
    </row>
    <row r="98" spans="1:6" ht="12" customHeight="1" x14ac:dyDescent="0.25">
      <c r="A98" s="18" t="s">
        <v>37</v>
      </c>
      <c r="B98" s="11" t="s">
        <v>3</v>
      </c>
      <c r="C98" s="671"/>
      <c r="D98" s="672"/>
      <c r="E98" s="707"/>
      <c r="F98" s="1259"/>
    </row>
    <row r="99" spans="1:6" ht="12" customHeight="1" thickBot="1" x14ac:dyDescent="0.3">
      <c r="A99" s="19" t="s">
        <v>38</v>
      </c>
      <c r="B99" s="14" t="s">
        <v>4</v>
      </c>
      <c r="C99" s="666"/>
      <c r="D99" s="667"/>
      <c r="E99" s="673"/>
      <c r="F99" s="1257"/>
    </row>
    <row r="100" spans="1:6" s="321" customFormat="1" ht="12" customHeight="1" thickBot="1" x14ac:dyDescent="0.25">
      <c r="A100" s="327" t="s">
        <v>906</v>
      </c>
      <c r="B100" s="322" t="s">
        <v>286</v>
      </c>
      <c r="C100" s="674"/>
      <c r="D100" s="675"/>
      <c r="E100" s="674"/>
      <c r="F100" s="898"/>
    </row>
    <row r="101" spans="1:6" ht="12" customHeight="1" thickBot="1" x14ac:dyDescent="0.3">
      <c r="A101" s="319" t="s">
        <v>907</v>
      </c>
      <c r="B101" s="320" t="s">
        <v>105</v>
      </c>
      <c r="C101" s="640">
        <f>+C73+C86+C97+C100</f>
        <v>958</v>
      </c>
      <c r="D101" s="641">
        <f>+D73+D86+D97+D100</f>
        <v>0</v>
      </c>
      <c r="E101" s="1239">
        <f>+E73+E86+E97+E100</f>
        <v>0</v>
      </c>
      <c r="F101" s="1243">
        <f>+F73+F86+F97+F100</f>
        <v>0</v>
      </c>
    </row>
    <row r="102" spans="1:6" ht="12" customHeight="1" thickBot="1" x14ac:dyDescent="0.3">
      <c r="A102" s="327" t="s">
        <v>908</v>
      </c>
      <c r="B102" s="322" t="s">
        <v>383</v>
      </c>
      <c r="C102" s="648">
        <f>+C103+C111</f>
        <v>0</v>
      </c>
      <c r="D102" s="644">
        <f>+D103+D111</f>
        <v>0</v>
      </c>
      <c r="E102" s="643">
        <f>+E103+E111</f>
        <v>0</v>
      </c>
      <c r="F102" s="689">
        <f>+F103+F111</f>
        <v>0</v>
      </c>
    </row>
    <row r="103" spans="1:6" ht="12" customHeight="1" thickBot="1" x14ac:dyDescent="0.3">
      <c r="A103" s="334" t="s">
        <v>44</v>
      </c>
      <c r="B103" s="427" t="s">
        <v>388</v>
      </c>
      <c r="C103" s="648">
        <f>+C104+C105+C106+C107+C108+C109+C110</f>
        <v>0</v>
      </c>
      <c r="D103" s="644">
        <f>+D104+D105+D106+D107+D108+D109+D110</f>
        <v>0</v>
      </c>
      <c r="E103" s="643">
        <f>+E104+E105+E106+E107+E108+E109+E110</f>
        <v>0</v>
      </c>
      <c r="F103" s="689">
        <f>+F104+F105+F106+F107+F108+F109+F110</f>
        <v>0</v>
      </c>
    </row>
    <row r="104" spans="1:6" ht="12" customHeight="1" x14ac:dyDescent="0.25">
      <c r="A104" s="335" t="s">
        <v>47</v>
      </c>
      <c r="B104" s="336" t="s">
        <v>287</v>
      </c>
      <c r="C104" s="678"/>
      <c r="D104" s="679"/>
      <c r="E104" s="1252"/>
      <c r="F104" s="1261"/>
    </row>
    <row r="105" spans="1:6" ht="12" customHeight="1" x14ac:dyDescent="0.25">
      <c r="A105" s="328" t="s">
        <v>48</v>
      </c>
      <c r="B105" s="323" t="s">
        <v>288</v>
      </c>
      <c r="C105" s="680"/>
      <c r="D105" s="681"/>
      <c r="E105" s="1253"/>
      <c r="F105" s="1262"/>
    </row>
    <row r="106" spans="1:6" ht="12" customHeight="1" x14ac:dyDescent="0.25">
      <c r="A106" s="328" t="s">
        <v>49</v>
      </c>
      <c r="B106" s="323" t="s">
        <v>289</v>
      </c>
      <c r="C106" s="680"/>
      <c r="D106" s="681"/>
      <c r="E106" s="1253"/>
      <c r="F106" s="1262"/>
    </row>
    <row r="107" spans="1:6" ht="12" customHeight="1" x14ac:dyDescent="0.25">
      <c r="A107" s="328" t="s">
        <v>50</v>
      </c>
      <c r="B107" s="323" t="s">
        <v>290</v>
      </c>
      <c r="C107" s="680"/>
      <c r="D107" s="681"/>
      <c r="E107" s="1253"/>
      <c r="F107" s="1262"/>
    </row>
    <row r="108" spans="1:6" ht="12" customHeight="1" x14ac:dyDescent="0.25">
      <c r="A108" s="328" t="s">
        <v>154</v>
      </c>
      <c r="B108" s="323" t="s">
        <v>291</v>
      </c>
      <c r="C108" s="680"/>
      <c r="D108" s="681"/>
      <c r="E108" s="1253"/>
      <c r="F108" s="1262"/>
    </row>
    <row r="109" spans="1:6" ht="12" customHeight="1" x14ac:dyDescent="0.25">
      <c r="A109" s="328" t="s">
        <v>172</v>
      </c>
      <c r="B109" s="323" t="s">
        <v>292</v>
      </c>
      <c r="C109" s="680"/>
      <c r="D109" s="681"/>
      <c r="E109" s="1253"/>
      <c r="F109" s="1262"/>
    </row>
    <row r="110" spans="1:6" ht="12" customHeight="1" thickBot="1" x14ac:dyDescent="0.3">
      <c r="A110" s="337" t="s">
        <v>173</v>
      </c>
      <c r="B110" s="338" t="s">
        <v>293</v>
      </c>
      <c r="C110" s="682"/>
      <c r="D110" s="683"/>
      <c r="E110" s="1254"/>
      <c r="F110" s="1263"/>
    </row>
    <row r="111" spans="1:6" ht="12" customHeight="1" thickBot="1" x14ac:dyDescent="0.3">
      <c r="A111" s="334" t="s">
        <v>45</v>
      </c>
      <c r="B111" s="427" t="s">
        <v>389</v>
      </c>
      <c r="C111" s="648">
        <f>+C112+C113+C114+C115+C116+C117+C118+C119</f>
        <v>0</v>
      </c>
      <c r="D111" s="644">
        <f>+D112+D113+D114+D115+D116+D117+D118+D119</f>
        <v>0</v>
      </c>
      <c r="E111" s="643">
        <f>+E112+E113+E114+E115+E116+E117+E118+E119</f>
        <v>0</v>
      </c>
      <c r="F111" s="689">
        <f>+F112+F113+F114+F115+F116+F117+F118+F119</f>
        <v>0</v>
      </c>
    </row>
    <row r="112" spans="1:6" ht="12" customHeight="1" x14ac:dyDescent="0.25">
      <c r="A112" s="335" t="s">
        <v>53</v>
      </c>
      <c r="B112" s="336" t="s">
        <v>287</v>
      </c>
      <c r="C112" s="678"/>
      <c r="D112" s="679"/>
      <c r="E112" s="1252"/>
      <c r="F112" s="1261"/>
    </row>
    <row r="113" spans="1:8" ht="12" customHeight="1" x14ac:dyDescent="0.25">
      <c r="A113" s="328" t="s">
        <v>54</v>
      </c>
      <c r="B113" s="323" t="s">
        <v>294</v>
      </c>
      <c r="C113" s="680"/>
      <c r="D113" s="681"/>
      <c r="E113" s="1253"/>
      <c r="F113" s="1262"/>
    </row>
    <row r="114" spans="1:8" ht="12" customHeight="1" x14ac:dyDescent="0.25">
      <c r="A114" s="328" t="s">
        <v>55</v>
      </c>
      <c r="B114" s="323" t="s">
        <v>289</v>
      </c>
      <c r="C114" s="680"/>
      <c r="D114" s="681"/>
      <c r="E114" s="1253"/>
      <c r="F114" s="1262"/>
    </row>
    <row r="115" spans="1:8" ht="12" customHeight="1" x14ac:dyDescent="0.25">
      <c r="A115" s="328" t="s">
        <v>56</v>
      </c>
      <c r="B115" s="323" t="s">
        <v>290</v>
      </c>
      <c r="C115" s="680"/>
      <c r="D115" s="681"/>
      <c r="E115" s="1253"/>
      <c r="F115" s="1262"/>
    </row>
    <row r="116" spans="1:8" ht="12" customHeight="1" x14ac:dyDescent="0.25">
      <c r="A116" s="328" t="s">
        <v>155</v>
      </c>
      <c r="B116" s="323" t="s">
        <v>291</v>
      </c>
      <c r="C116" s="680"/>
      <c r="D116" s="681"/>
      <c r="E116" s="1253"/>
      <c r="F116" s="1262"/>
    </row>
    <row r="117" spans="1:8" ht="12" customHeight="1" x14ac:dyDescent="0.25">
      <c r="A117" s="328" t="s">
        <v>174</v>
      </c>
      <c r="B117" s="323" t="s">
        <v>295</v>
      </c>
      <c r="C117" s="680"/>
      <c r="D117" s="681"/>
      <c r="E117" s="1253"/>
      <c r="F117" s="1262"/>
    </row>
    <row r="118" spans="1:8" ht="12" customHeight="1" x14ac:dyDescent="0.25">
      <c r="A118" s="328" t="s">
        <v>175</v>
      </c>
      <c r="B118" s="323" t="s">
        <v>293</v>
      </c>
      <c r="C118" s="680"/>
      <c r="D118" s="681"/>
      <c r="E118" s="1253"/>
      <c r="F118" s="1262"/>
    </row>
    <row r="119" spans="1:8" ht="12" customHeight="1" thickBot="1" x14ac:dyDescent="0.3">
      <c r="A119" s="337" t="s">
        <v>176</v>
      </c>
      <c r="B119" s="338" t="s">
        <v>386</v>
      </c>
      <c r="C119" s="682"/>
      <c r="D119" s="683"/>
      <c r="E119" s="1254"/>
      <c r="F119" s="1263"/>
    </row>
    <row r="120" spans="1:8" ht="12" customHeight="1" thickBot="1" x14ac:dyDescent="0.3">
      <c r="A120" s="327" t="s">
        <v>909</v>
      </c>
      <c r="B120" s="423" t="s">
        <v>296</v>
      </c>
      <c r="C120" s="684">
        <f>+C101+C102</f>
        <v>958</v>
      </c>
      <c r="D120" s="685">
        <f>+D101+D102</f>
        <v>0</v>
      </c>
      <c r="E120" s="1255">
        <f>+E101+E102</f>
        <v>0</v>
      </c>
      <c r="F120" s="690">
        <f>+F101+F102</f>
        <v>0</v>
      </c>
    </row>
    <row r="121" spans="1:8" ht="15" customHeight="1" thickBot="1" x14ac:dyDescent="0.3">
      <c r="A121" s="327" t="s">
        <v>910</v>
      </c>
      <c r="B121" s="423" t="s">
        <v>297</v>
      </c>
      <c r="C121" s="686"/>
      <c r="D121" s="687"/>
      <c r="E121" s="1256"/>
      <c r="F121" s="1264"/>
      <c r="G121" s="135"/>
      <c r="H121" s="135"/>
    </row>
    <row r="122" spans="1:8" s="1" customFormat="1" ht="12.95" customHeight="1" thickBot="1" x14ac:dyDescent="0.25">
      <c r="A122" s="339" t="s">
        <v>911</v>
      </c>
      <c r="B122" s="424" t="s">
        <v>298</v>
      </c>
      <c r="C122" s="658">
        <f>+C120+C121</f>
        <v>958</v>
      </c>
      <c r="D122" s="659">
        <f>+D120+D121</f>
        <v>0</v>
      </c>
      <c r="E122" s="1241">
        <f>+E120+E121</f>
        <v>0</v>
      </c>
      <c r="F122" s="1248">
        <f>+F120+F121</f>
        <v>0</v>
      </c>
    </row>
    <row r="123" spans="1:8" ht="7.5" customHeight="1" x14ac:dyDescent="0.25">
      <c r="A123" s="428"/>
      <c r="B123" s="428"/>
      <c r="C123" s="688"/>
      <c r="D123" s="688"/>
      <c r="E123" s="688"/>
      <c r="F123" s="688"/>
    </row>
    <row r="124" spans="1:8" x14ac:dyDescent="0.25">
      <c r="A124" s="1323" t="s">
        <v>108</v>
      </c>
      <c r="B124" s="1323"/>
      <c r="C124" s="1323"/>
      <c r="D124" s="637"/>
      <c r="E124" s="637"/>
      <c r="F124" s="637"/>
    </row>
    <row r="125" spans="1:8" ht="15" customHeight="1" thickBot="1" x14ac:dyDescent="0.3">
      <c r="A125" s="1321" t="s">
        <v>101</v>
      </c>
      <c r="B125" s="1321"/>
      <c r="C125" s="343"/>
      <c r="D125" s="343"/>
      <c r="E125" s="343"/>
      <c r="F125" s="343"/>
    </row>
    <row r="126" spans="1:8" ht="13.5" customHeight="1" thickBot="1" x14ac:dyDescent="0.3">
      <c r="A126" s="23">
        <v>1</v>
      </c>
      <c r="B126" s="35" t="s">
        <v>183</v>
      </c>
      <c r="C126" s="648">
        <f>+C51-C101</f>
        <v>0</v>
      </c>
      <c r="D126" s="644">
        <f>+D51-D101</f>
        <v>0</v>
      </c>
      <c r="E126" s="645">
        <f>+E51-E101</f>
        <v>0</v>
      </c>
      <c r="F126" s="645">
        <f>+F51-F101</f>
        <v>0</v>
      </c>
    </row>
    <row r="127" spans="1:8" ht="7.5" customHeight="1" x14ac:dyDescent="0.25">
      <c r="A127" s="428"/>
      <c r="B127" s="428"/>
      <c r="C127" s="688"/>
      <c r="D127" s="688"/>
      <c r="E127" s="688"/>
      <c r="F127" s="688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77" fitToWidth="3" fitToHeight="2" orientation="portrait" r:id="rId1"/>
  <headerFooter alignWithMargins="0">
    <oddHeader>&amp;C&amp;"Times New Roman CE,Félkövér"&amp;12
Csobánka Község Önkormányzat
2015. ÉVI KÖLTSÉGVETÉS ÖNKÉNT VÁLLALT FELADATAINAK MÉRLEGE&amp;R&amp;"Times New Roman CE,Félkövér"&amp;11 1.3. melléklet az 1/2015. (II.13.)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zoomScaleNormal="120" zoomScaleSheetLayoutView="100" workbookViewId="0">
      <selection activeCell="E71" sqref="E71:E122"/>
    </sheetView>
  </sheetViews>
  <sheetFormatPr defaultColWidth="9.33203125" defaultRowHeight="15.75" x14ac:dyDescent="0.25"/>
  <cols>
    <col min="1" max="1" width="9" style="433" customWidth="1"/>
    <col min="2" max="2" width="84.83203125" style="433" customWidth="1"/>
    <col min="3" max="4" width="14.83203125" style="695" hidden="1" customWidth="1"/>
    <col min="5" max="6" width="14.83203125" style="695" customWidth="1"/>
    <col min="7" max="16384" width="9.33203125" style="43"/>
  </cols>
  <sheetData>
    <row r="1" spans="1:6" ht="15.95" customHeight="1" x14ac:dyDescent="0.25">
      <c r="A1" s="1324" t="s">
        <v>900</v>
      </c>
      <c r="B1" s="1324"/>
      <c r="C1" s="1324"/>
      <c r="D1" s="637"/>
      <c r="E1" s="637"/>
      <c r="F1" s="637"/>
    </row>
    <row r="2" spans="1:6" ht="15.95" customHeight="1" thickBot="1" x14ac:dyDescent="0.3">
      <c r="A2" s="1321" t="s">
        <v>99</v>
      </c>
      <c r="B2" s="132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8" t="s">
        <v>1085</v>
      </c>
      <c r="D3" s="639" t="s">
        <v>1086</v>
      </c>
      <c r="E3" s="1238" t="s">
        <v>1001</v>
      </c>
      <c r="F3" s="1242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8">
        <v>3</v>
      </c>
      <c r="D4" s="639">
        <v>4</v>
      </c>
      <c r="E4" s="1238">
        <v>3</v>
      </c>
      <c r="F4" s="1242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40">
        <f>+C6+C11+C20</f>
        <v>0</v>
      </c>
      <c r="D5" s="641">
        <f>+D6+D11+D20</f>
        <v>0</v>
      </c>
      <c r="E5" s="1239">
        <f>+E6+E11+E20</f>
        <v>0</v>
      </c>
      <c r="F5" s="1243">
        <f>+F6+F11+F20</f>
        <v>0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3">
        <f>+C7+C8+C9+C10</f>
        <v>0</v>
      </c>
      <c r="D6" s="644">
        <f>+D7+D8+D9+D10</f>
        <v>0</v>
      </c>
      <c r="E6" s="643">
        <f>+E7+E8+E9+E10</f>
        <v>0</v>
      </c>
      <c r="F6" s="689">
        <f>+F7+F8+F9+F10</f>
        <v>0</v>
      </c>
    </row>
    <row r="7" spans="1:6" s="1" customFormat="1" ht="12" customHeight="1" x14ac:dyDescent="0.2">
      <c r="A7" s="16" t="s">
        <v>63</v>
      </c>
      <c r="B7" s="417" t="s">
        <v>947</v>
      </c>
      <c r="C7" s="646"/>
      <c r="D7" s="647"/>
      <c r="E7" s="646"/>
      <c r="F7" s="912"/>
    </row>
    <row r="8" spans="1:6" s="1" customFormat="1" ht="12" customHeight="1" x14ac:dyDescent="0.2">
      <c r="A8" s="16" t="s">
        <v>64</v>
      </c>
      <c r="B8" s="336" t="s">
        <v>33</v>
      </c>
      <c r="C8" s="646"/>
      <c r="D8" s="647"/>
      <c r="E8" s="646"/>
      <c r="F8" s="912"/>
    </row>
    <row r="9" spans="1:6" s="1" customFormat="1" ht="12" customHeight="1" x14ac:dyDescent="0.2">
      <c r="A9" s="16" t="s">
        <v>65</v>
      </c>
      <c r="B9" s="336" t="s">
        <v>126</v>
      </c>
      <c r="C9" s="646"/>
      <c r="D9" s="647"/>
      <c r="E9" s="646"/>
      <c r="F9" s="912"/>
    </row>
    <row r="10" spans="1:6" s="1" customFormat="1" ht="12" customHeight="1" thickBot="1" x14ac:dyDescent="0.25">
      <c r="A10" s="16" t="s">
        <v>66</v>
      </c>
      <c r="B10" s="418" t="s">
        <v>127</v>
      </c>
      <c r="C10" s="646"/>
      <c r="D10" s="647"/>
      <c r="E10" s="646"/>
      <c r="F10" s="912"/>
    </row>
    <row r="11" spans="1:6" s="1" customFormat="1" ht="12" customHeight="1" thickBot="1" x14ac:dyDescent="0.25">
      <c r="A11" s="23" t="s">
        <v>905</v>
      </c>
      <c r="B11" s="24" t="s">
        <v>128</v>
      </c>
      <c r="C11" s="648">
        <f>+C12+C13+C14+C15+C16+C17+C18+C19</f>
        <v>0</v>
      </c>
      <c r="D11" s="644">
        <f>+D12+D13+D14+D15+D16+D17+D18+D19</f>
        <v>0</v>
      </c>
      <c r="E11" s="643">
        <f>+E12+E13+E14+E15+E16+E17+E18+E19</f>
        <v>0</v>
      </c>
      <c r="F11" s="689">
        <f>+F12+F13+F14+F15+F16+F17+F18+F19</f>
        <v>0</v>
      </c>
    </row>
    <row r="12" spans="1:6" s="1" customFormat="1" ht="12" customHeight="1" x14ac:dyDescent="0.2">
      <c r="A12" s="20" t="s">
        <v>37</v>
      </c>
      <c r="B12" s="12" t="s">
        <v>133</v>
      </c>
      <c r="C12" s="663"/>
      <c r="D12" s="664"/>
      <c r="E12" s="1249"/>
      <c r="F12" s="911"/>
    </row>
    <row r="13" spans="1:6" s="1" customFormat="1" ht="12" customHeight="1" x14ac:dyDescent="0.2">
      <c r="A13" s="16" t="s">
        <v>38</v>
      </c>
      <c r="B13" s="9" t="s">
        <v>134</v>
      </c>
      <c r="C13" s="665"/>
      <c r="D13" s="647"/>
      <c r="E13" s="646"/>
      <c r="F13" s="912"/>
    </row>
    <row r="14" spans="1:6" s="1" customFormat="1" ht="12" customHeight="1" x14ac:dyDescent="0.2">
      <c r="A14" s="16" t="s">
        <v>39</v>
      </c>
      <c r="B14" s="9" t="s">
        <v>135</v>
      </c>
      <c r="C14" s="665"/>
      <c r="D14" s="647"/>
      <c r="E14" s="646"/>
      <c r="F14" s="912"/>
    </row>
    <row r="15" spans="1:6" s="1" customFormat="1" ht="12" customHeight="1" x14ac:dyDescent="0.2">
      <c r="A15" s="16" t="s">
        <v>40</v>
      </c>
      <c r="B15" s="9" t="s">
        <v>136</v>
      </c>
      <c r="C15" s="665"/>
      <c r="D15" s="647"/>
      <c r="E15" s="646"/>
      <c r="F15" s="912"/>
    </row>
    <row r="16" spans="1:6" s="1" customFormat="1" ht="12" customHeight="1" x14ac:dyDescent="0.2">
      <c r="A16" s="15" t="s">
        <v>129</v>
      </c>
      <c r="B16" s="8" t="s">
        <v>137</v>
      </c>
      <c r="C16" s="696"/>
      <c r="D16" s="697"/>
      <c r="E16" s="708"/>
      <c r="F16" s="1269"/>
    </row>
    <row r="17" spans="1:6" s="1" customFormat="1" ht="12" customHeight="1" x14ac:dyDescent="0.2">
      <c r="A17" s="16" t="s">
        <v>130</v>
      </c>
      <c r="B17" s="9" t="s">
        <v>240</v>
      </c>
      <c r="C17" s="665"/>
      <c r="D17" s="647"/>
      <c r="E17" s="646"/>
      <c r="F17" s="912"/>
    </row>
    <row r="18" spans="1:6" s="1" customFormat="1" ht="12" customHeight="1" x14ac:dyDescent="0.2">
      <c r="A18" s="16" t="s">
        <v>131</v>
      </c>
      <c r="B18" s="9" t="s">
        <v>139</v>
      </c>
      <c r="C18" s="665"/>
      <c r="D18" s="647"/>
      <c r="E18" s="646"/>
      <c r="F18" s="912"/>
    </row>
    <row r="19" spans="1:6" s="1" customFormat="1" ht="12" customHeight="1" thickBot="1" x14ac:dyDescent="0.25">
      <c r="A19" s="17" t="s">
        <v>132</v>
      </c>
      <c r="B19" s="10" t="s">
        <v>140</v>
      </c>
      <c r="C19" s="698"/>
      <c r="D19" s="699"/>
      <c r="E19" s="1285"/>
      <c r="F19" s="1287"/>
    </row>
    <row r="20" spans="1:6" s="1" customFormat="1" ht="12" customHeight="1" thickBot="1" x14ac:dyDescent="0.25">
      <c r="A20" s="23" t="s">
        <v>141</v>
      </c>
      <c r="B20" s="24" t="s">
        <v>241</v>
      </c>
      <c r="C20" s="700"/>
      <c r="D20" s="701"/>
      <c r="E20" s="1286"/>
      <c r="F20" s="1288"/>
    </row>
    <row r="21" spans="1:6" s="1" customFormat="1" ht="12" customHeight="1" thickBot="1" x14ac:dyDescent="0.25">
      <c r="A21" s="23" t="s">
        <v>907</v>
      </c>
      <c r="B21" s="24" t="s">
        <v>143</v>
      </c>
      <c r="C21" s="648">
        <f>+C22+C23+C24+C25+C26+C27+C28+C29</f>
        <v>0</v>
      </c>
      <c r="D21" s="644">
        <f>+D22+D23+D24+D25+D26+D27+D28+D29</f>
        <v>0</v>
      </c>
      <c r="E21" s="643">
        <f>+E22+E23+E24+E25+E26+E27+E28+E29</f>
        <v>0</v>
      </c>
      <c r="F21" s="689">
        <f>+F22+F23+F24+F25+F26+F27+F28+F29</f>
        <v>0</v>
      </c>
    </row>
    <row r="22" spans="1:6" s="1" customFormat="1" ht="12" customHeight="1" x14ac:dyDescent="0.2">
      <c r="A22" s="18" t="s">
        <v>41</v>
      </c>
      <c r="B22" s="11" t="s">
        <v>838</v>
      </c>
      <c r="C22" s="671"/>
      <c r="D22" s="672"/>
      <c r="E22" s="707"/>
      <c r="F22" s="1259"/>
    </row>
    <row r="23" spans="1:6" s="1" customFormat="1" ht="12" customHeight="1" x14ac:dyDescent="0.2">
      <c r="A23" s="16" t="s">
        <v>42</v>
      </c>
      <c r="B23" s="9" t="s">
        <v>149</v>
      </c>
      <c r="C23" s="665"/>
      <c r="D23" s="647"/>
      <c r="E23" s="646"/>
      <c r="F23" s="912"/>
    </row>
    <row r="24" spans="1:6" s="1" customFormat="1" ht="12" customHeight="1" x14ac:dyDescent="0.2">
      <c r="A24" s="16" t="s">
        <v>43</v>
      </c>
      <c r="B24" s="9" t="s">
        <v>46</v>
      </c>
      <c r="C24" s="665"/>
      <c r="D24" s="647"/>
      <c r="E24" s="646"/>
      <c r="F24" s="912"/>
    </row>
    <row r="25" spans="1:6" s="1" customFormat="1" ht="12" customHeight="1" x14ac:dyDescent="0.2">
      <c r="A25" s="19" t="s">
        <v>144</v>
      </c>
      <c r="B25" s="9" t="s">
        <v>150</v>
      </c>
      <c r="C25" s="666"/>
      <c r="D25" s="667"/>
      <c r="E25" s="673"/>
      <c r="F25" s="1257"/>
    </row>
    <row r="26" spans="1:6" s="1" customFormat="1" ht="12" customHeight="1" x14ac:dyDescent="0.2">
      <c r="A26" s="19" t="s">
        <v>145</v>
      </c>
      <c r="B26" s="9" t="s">
        <v>151</v>
      </c>
      <c r="C26" s="666"/>
      <c r="D26" s="667"/>
      <c r="E26" s="673"/>
      <c r="F26" s="1257"/>
    </row>
    <row r="27" spans="1:6" s="1" customFormat="1" ht="12" customHeight="1" x14ac:dyDescent="0.2">
      <c r="A27" s="16" t="s">
        <v>146</v>
      </c>
      <c r="B27" s="9" t="s">
        <v>152</v>
      </c>
      <c r="C27" s="665"/>
      <c r="D27" s="647"/>
      <c r="E27" s="646"/>
      <c r="F27" s="912"/>
    </row>
    <row r="28" spans="1:6" s="1" customFormat="1" ht="12" customHeight="1" x14ac:dyDescent="0.2">
      <c r="A28" s="16" t="s">
        <v>147</v>
      </c>
      <c r="B28" s="9" t="s">
        <v>242</v>
      </c>
      <c r="C28" s="702"/>
      <c r="D28" s="703"/>
      <c r="E28" s="704"/>
      <c r="F28" s="1267"/>
    </row>
    <row r="29" spans="1:6" s="1" customFormat="1" ht="12" customHeight="1" thickBot="1" x14ac:dyDescent="0.25">
      <c r="A29" s="16" t="s">
        <v>148</v>
      </c>
      <c r="B29" s="14" t="s">
        <v>153</v>
      </c>
      <c r="C29" s="702"/>
      <c r="D29" s="703"/>
      <c r="E29" s="704"/>
      <c r="F29" s="1267"/>
    </row>
    <row r="30" spans="1:6" s="1" customFormat="1" ht="12" customHeight="1" thickBot="1" x14ac:dyDescent="0.25">
      <c r="A30" s="315" t="s">
        <v>908</v>
      </c>
      <c r="B30" s="24" t="s">
        <v>377</v>
      </c>
      <c r="C30" s="643">
        <f>+C31+C37</f>
        <v>0</v>
      </c>
      <c r="D30" s="644">
        <f>+D31+D37</f>
        <v>0</v>
      </c>
      <c r="E30" s="643">
        <f>+E31+E37</f>
        <v>0</v>
      </c>
      <c r="F30" s="689">
        <f>+F31+F37</f>
        <v>0</v>
      </c>
    </row>
    <row r="31" spans="1:6" s="1" customFormat="1" ht="12" customHeight="1" x14ac:dyDescent="0.2">
      <c r="A31" s="316" t="s">
        <v>44</v>
      </c>
      <c r="B31" s="419" t="s">
        <v>378</v>
      </c>
      <c r="C31" s="651">
        <f>+C32+C33+C34+C35+C36</f>
        <v>0</v>
      </c>
      <c r="D31" s="652">
        <f>+D32+D33+D34+D35+D36</f>
        <v>0</v>
      </c>
      <c r="E31" s="651">
        <f>+E32+E33+E34+E35+E36</f>
        <v>0</v>
      </c>
      <c r="F31" s="1245">
        <f>+F32+F33+F34+F35+F36</f>
        <v>0</v>
      </c>
    </row>
    <row r="32" spans="1:6" s="1" customFormat="1" ht="12" customHeight="1" x14ac:dyDescent="0.2">
      <c r="A32" s="317" t="s">
        <v>47</v>
      </c>
      <c r="B32" s="323" t="s">
        <v>243</v>
      </c>
      <c r="C32" s="704"/>
      <c r="D32" s="703"/>
      <c r="E32" s="704"/>
      <c r="F32" s="1267"/>
    </row>
    <row r="33" spans="1:6" s="1" customFormat="1" ht="12" customHeight="1" x14ac:dyDescent="0.2">
      <c r="A33" s="317" t="s">
        <v>48</v>
      </c>
      <c r="B33" s="323" t="s">
        <v>244</v>
      </c>
      <c r="C33" s="704"/>
      <c r="D33" s="703"/>
      <c r="E33" s="704"/>
      <c r="F33" s="1267"/>
    </row>
    <row r="34" spans="1:6" s="1" customFormat="1" ht="12" customHeight="1" x14ac:dyDescent="0.2">
      <c r="A34" s="317" t="s">
        <v>49</v>
      </c>
      <c r="B34" s="323" t="s">
        <v>245</v>
      </c>
      <c r="C34" s="704"/>
      <c r="D34" s="703"/>
      <c r="E34" s="704"/>
      <c r="F34" s="1267"/>
    </row>
    <row r="35" spans="1:6" s="1" customFormat="1" ht="12" customHeight="1" x14ac:dyDescent="0.2">
      <c r="A35" s="317" t="s">
        <v>50</v>
      </c>
      <c r="B35" s="323" t="s">
        <v>246</v>
      </c>
      <c r="C35" s="704"/>
      <c r="D35" s="703"/>
      <c r="E35" s="704"/>
      <c r="F35" s="1267"/>
    </row>
    <row r="36" spans="1:6" s="1" customFormat="1" ht="12" customHeight="1" x14ac:dyDescent="0.2">
      <c r="A36" s="317" t="s">
        <v>154</v>
      </c>
      <c r="B36" s="323" t="s">
        <v>379</v>
      </c>
      <c r="C36" s="704"/>
      <c r="D36" s="703"/>
      <c r="E36" s="704"/>
      <c r="F36" s="1267"/>
    </row>
    <row r="37" spans="1:6" s="1" customFormat="1" ht="12" customHeight="1" x14ac:dyDescent="0.2">
      <c r="A37" s="317" t="s">
        <v>45</v>
      </c>
      <c r="B37" s="324" t="s">
        <v>380</v>
      </c>
      <c r="C37" s="653">
        <f>+C38+C39+C40+C41+C42</f>
        <v>0</v>
      </c>
      <c r="D37" s="654">
        <f>+D38+D39+D40+D41+D42</f>
        <v>0</v>
      </c>
      <c r="E37" s="653">
        <f>+E38+E39+E40+E41+E42</f>
        <v>0</v>
      </c>
      <c r="F37" s="1246">
        <f>+F38+F39+F40+F41+F42</f>
        <v>0</v>
      </c>
    </row>
    <row r="38" spans="1:6" s="1" customFormat="1" ht="12" customHeight="1" x14ac:dyDescent="0.2">
      <c r="A38" s="317" t="s">
        <v>53</v>
      </c>
      <c r="B38" s="323" t="s">
        <v>243</v>
      </c>
      <c r="C38" s="704"/>
      <c r="D38" s="703"/>
      <c r="E38" s="704"/>
      <c r="F38" s="1267"/>
    </row>
    <row r="39" spans="1:6" s="1" customFormat="1" ht="12" customHeight="1" x14ac:dyDescent="0.2">
      <c r="A39" s="317" t="s">
        <v>54</v>
      </c>
      <c r="B39" s="323" t="s">
        <v>244</v>
      </c>
      <c r="C39" s="704"/>
      <c r="D39" s="703"/>
      <c r="E39" s="704"/>
      <c r="F39" s="1267"/>
    </row>
    <row r="40" spans="1:6" s="1" customFormat="1" ht="12" customHeight="1" x14ac:dyDescent="0.2">
      <c r="A40" s="317" t="s">
        <v>55</v>
      </c>
      <c r="B40" s="323" t="s">
        <v>245</v>
      </c>
      <c r="C40" s="704"/>
      <c r="D40" s="703"/>
      <c r="E40" s="704"/>
      <c r="F40" s="1267"/>
    </row>
    <row r="41" spans="1:6" s="1" customFormat="1" ht="12" customHeight="1" x14ac:dyDescent="0.2">
      <c r="A41" s="317" t="s">
        <v>56</v>
      </c>
      <c r="B41" s="325" t="s">
        <v>246</v>
      </c>
      <c r="C41" s="704"/>
      <c r="D41" s="703"/>
      <c r="E41" s="704"/>
      <c r="F41" s="1267"/>
    </row>
    <row r="42" spans="1:6" s="1" customFormat="1" ht="12" customHeight="1" thickBot="1" x14ac:dyDescent="0.25">
      <c r="A42" s="318" t="s">
        <v>155</v>
      </c>
      <c r="B42" s="326" t="s">
        <v>381</v>
      </c>
      <c r="C42" s="705"/>
      <c r="D42" s="706"/>
      <c r="E42" s="705"/>
      <c r="F42" s="1268"/>
    </row>
    <row r="43" spans="1:6" s="1" customFormat="1" ht="12" customHeight="1" thickBot="1" x14ac:dyDescent="0.25">
      <c r="A43" s="23" t="s">
        <v>156</v>
      </c>
      <c r="B43" s="420" t="s">
        <v>247</v>
      </c>
      <c r="C43" s="643">
        <f>+C44+C45</f>
        <v>0</v>
      </c>
      <c r="D43" s="644">
        <f>+D44+D45</f>
        <v>0</v>
      </c>
      <c r="E43" s="643">
        <f>+E44+E45</f>
        <v>0</v>
      </c>
      <c r="F43" s="689">
        <f>+F44+F45</f>
        <v>0</v>
      </c>
    </row>
    <row r="44" spans="1:6" s="1" customFormat="1" ht="12" customHeight="1" x14ac:dyDescent="0.2">
      <c r="A44" s="18" t="s">
        <v>51</v>
      </c>
      <c r="B44" s="336" t="s">
        <v>248</v>
      </c>
      <c r="C44" s="707"/>
      <c r="D44" s="672"/>
      <c r="E44" s="707"/>
      <c r="F44" s="1259"/>
    </row>
    <row r="45" spans="1:6" s="1" customFormat="1" ht="12" customHeight="1" thickBot="1" x14ac:dyDescent="0.25">
      <c r="A45" s="15" t="s">
        <v>52</v>
      </c>
      <c r="B45" s="331" t="s">
        <v>252</v>
      </c>
      <c r="C45" s="708"/>
      <c r="D45" s="697"/>
      <c r="E45" s="708"/>
      <c r="F45" s="1269"/>
    </row>
    <row r="46" spans="1:6" s="1" customFormat="1" ht="12" customHeight="1" thickBot="1" x14ac:dyDescent="0.25">
      <c r="A46" s="23" t="s">
        <v>910</v>
      </c>
      <c r="B46" s="420" t="s">
        <v>251</v>
      </c>
      <c r="C46" s="643">
        <f>+C47+C48+C49</f>
        <v>0</v>
      </c>
      <c r="D46" s="644">
        <f>+D47+D48+D49</f>
        <v>0</v>
      </c>
      <c r="E46" s="643">
        <f>+E47+E48+E49</f>
        <v>0</v>
      </c>
      <c r="F46" s="689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709"/>
      <c r="D47" s="710"/>
      <c r="E47" s="709"/>
      <c r="F47" s="1270"/>
    </row>
    <row r="48" spans="1:6" s="1" customFormat="1" ht="12" customHeight="1" x14ac:dyDescent="0.2">
      <c r="A48" s="16" t="s">
        <v>160</v>
      </c>
      <c r="B48" s="323" t="s">
        <v>968</v>
      </c>
      <c r="C48" s="702"/>
      <c r="D48" s="703"/>
      <c r="E48" s="704"/>
      <c r="F48" s="1267"/>
    </row>
    <row r="49" spans="1:6" s="1" customFormat="1" ht="12" customHeight="1" thickBot="1" x14ac:dyDescent="0.25">
      <c r="A49" s="15" t="s">
        <v>309</v>
      </c>
      <c r="B49" s="331" t="s">
        <v>249</v>
      </c>
      <c r="C49" s="711"/>
      <c r="D49" s="712"/>
      <c r="E49" s="711"/>
      <c r="F49" s="1271"/>
    </row>
    <row r="50" spans="1:6" s="1" customFormat="1" ht="17.25" customHeight="1" thickBot="1" x14ac:dyDescent="0.25">
      <c r="A50" s="23" t="s">
        <v>161</v>
      </c>
      <c r="B50" s="421" t="s">
        <v>250</v>
      </c>
      <c r="C50" s="713"/>
      <c r="D50" s="675"/>
      <c r="E50" s="674"/>
      <c r="F50" s="898"/>
    </row>
    <row r="51" spans="1:6" s="1" customFormat="1" ht="12" customHeight="1" thickBot="1" x14ac:dyDescent="0.25">
      <c r="A51" s="23" t="s">
        <v>912</v>
      </c>
      <c r="B51" s="27" t="s">
        <v>162</v>
      </c>
      <c r="C51" s="656">
        <f>+C6+C11+C20+C21+C30+C43+C46+C50</f>
        <v>0</v>
      </c>
      <c r="D51" s="657"/>
      <c r="E51" s="1240">
        <f>+E6+E11+E20+E21+E30+E43+E46+E50</f>
        <v>0</v>
      </c>
      <c r="F51" s="1247">
        <f>+F6+F11+F20+F21+F30+F43+F46+F50</f>
        <v>0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8">
        <f>+C53+C59</f>
        <v>0</v>
      </c>
      <c r="D52" s="659">
        <f>+D53+D59</f>
        <v>0</v>
      </c>
      <c r="E52" s="1241">
        <f>+E53+E59</f>
        <v>0</v>
      </c>
      <c r="F52" s="1248">
        <f>+F53+F59</f>
        <v>0</v>
      </c>
    </row>
    <row r="53" spans="1:6" s="1" customFormat="1" ht="12" customHeight="1" x14ac:dyDescent="0.2">
      <c r="A53" s="422" t="s">
        <v>92</v>
      </c>
      <c r="B53" s="419" t="s">
        <v>254</v>
      </c>
      <c r="C53" s="660">
        <f>+C54+C55+C56+C57+C58</f>
        <v>0</v>
      </c>
      <c r="D53" s="652">
        <f>+D54+D55+D56+D57+D58</f>
        <v>0</v>
      </c>
      <c r="E53" s="651">
        <f>+E54+E55+E56+E57+E58</f>
        <v>0</v>
      </c>
      <c r="F53" s="1245">
        <f>+F54+F55+F56+F57+F58</f>
        <v>0</v>
      </c>
    </row>
    <row r="54" spans="1:6" s="1" customFormat="1" ht="12" customHeight="1" x14ac:dyDescent="0.2">
      <c r="A54" s="328" t="s">
        <v>269</v>
      </c>
      <c r="B54" s="323" t="s">
        <v>255</v>
      </c>
      <c r="C54" s="702"/>
      <c r="D54" s="703"/>
      <c r="E54" s="704"/>
      <c r="F54" s="1267"/>
    </row>
    <row r="55" spans="1:6" s="1" customFormat="1" ht="12" customHeight="1" x14ac:dyDescent="0.2">
      <c r="A55" s="328" t="s">
        <v>270</v>
      </c>
      <c r="B55" s="323" t="s">
        <v>256</v>
      </c>
      <c r="C55" s="702"/>
      <c r="D55" s="703"/>
      <c r="E55" s="704"/>
      <c r="F55" s="1267"/>
    </row>
    <row r="56" spans="1:6" s="1" customFormat="1" ht="12" customHeight="1" x14ac:dyDescent="0.2">
      <c r="A56" s="328" t="s">
        <v>271</v>
      </c>
      <c r="B56" s="323" t="s">
        <v>257</v>
      </c>
      <c r="C56" s="702"/>
      <c r="D56" s="703"/>
      <c r="E56" s="704"/>
      <c r="F56" s="1267"/>
    </row>
    <row r="57" spans="1:6" s="1" customFormat="1" ht="12" customHeight="1" x14ac:dyDescent="0.2">
      <c r="A57" s="328" t="s">
        <v>272</v>
      </c>
      <c r="B57" s="323" t="s">
        <v>258</v>
      </c>
      <c r="C57" s="702"/>
      <c r="D57" s="703"/>
      <c r="E57" s="704"/>
      <c r="F57" s="1267"/>
    </row>
    <row r="58" spans="1:6" s="1" customFormat="1" ht="12" customHeight="1" x14ac:dyDescent="0.2">
      <c r="A58" s="328" t="s">
        <v>273</v>
      </c>
      <c r="B58" s="323" t="s">
        <v>259</v>
      </c>
      <c r="C58" s="702"/>
      <c r="D58" s="703"/>
      <c r="E58" s="704"/>
      <c r="F58" s="1267"/>
    </row>
    <row r="59" spans="1:6" s="1" customFormat="1" ht="12" customHeight="1" x14ac:dyDescent="0.2">
      <c r="A59" s="329" t="s">
        <v>93</v>
      </c>
      <c r="B59" s="324" t="s">
        <v>260</v>
      </c>
      <c r="C59" s="661">
        <f>+C60+C61+C62+C63+C64</f>
        <v>0</v>
      </c>
      <c r="D59" s="654">
        <f>+D60+D61+D62+D63+D64</f>
        <v>0</v>
      </c>
      <c r="E59" s="653">
        <f>+E60+E61+E62+E63+E64</f>
        <v>0</v>
      </c>
      <c r="F59" s="1246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702"/>
      <c r="D60" s="703"/>
      <c r="E60" s="704"/>
      <c r="F60" s="1267"/>
    </row>
    <row r="61" spans="1:6" s="1" customFormat="1" ht="12" customHeight="1" x14ac:dyDescent="0.2">
      <c r="A61" s="328" t="s">
        <v>275</v>
      </c>
      <c r="B61" s="323" t="s">
        <v>262</v>
      </c>
      <c r="C61" s="702"/>
      <c r="D61" s="703"/>
      <c r="E61" s="704"/>
      <c r="F61" s="1267"/>
    </row>
    <row r="62" spans="1:6" s="1" customFormat="1" ht="12" customHeight="1" x14ac:dyDescent="0.2">
      <c r="A62" s="328" t="s">
        <v>276</v>
      </c>
      <c r="B62" s="323" t="s">
        <v>263</v>
      </c>
      <c r="C62" s="702"/>
      <c r="D62" s="703"/>
      <c r="E62" s="704"/>
      <c r="F62" s="1267"/>
    </row>
    <row r="63" spans="1:6" s="1" customFormat="1" ht="12" customHeight="1" x14ac:dyDescent="0.2">
      <c r="A63" s="328" t="s">
        <v>277</v>
      </c>
      <c r="B63" s="323" t="s">
        <v>264</v>
      </c>
      <c r="C63" s="702"/>
      <c r="D63" s="703"/>
      <c r="E63" s="704"/>
      <c r="F63" s="1267"/>
    </row>
    <row r="64" spans="1:6" s="1" customFormat="1" ht="12" customHeight="1" thickBot="1" x14ac:dyDescent="0.25">
      <c r="A64" s="330" t="s">
        <v>278</v>
      </c>
      <c r="B64" s="331" t="s">
        <v>265</v>
      </c>
      <c r="C64" s="714"/>
      <c r="D64" s="715"/>
      <c r="E64" s="1265"/>
      <c r="F64" s="1272"/>
    </row>
    <row r="65" spans="1:6" s="1" customFormat="1" ht="12" customHeight="1" thickBot="1" x14ac:dyDescent="0.25">
      <c r="A65" s="332" t="s">
        <v>914</v>
      </c>
      <c r="B65" s="423" t="s">
        <v>266</v>
      </c>
      <c r="C65" s="658">
        <f>+C51+C52</f>
        <v>0</v>
      </c>
      <c r="D65" s="659">
        <f>+D51+D52</f>
        <v>0</v>
      </c>
      <c r="E65" s="1241">
        <f>+E51+E52</f>
        <v>0</v>
      </c>
      <c r="F65" s="1248">
        <f>+F51+F52</f>
        <v>0</v>
      </c>
    </row>
    <row r="66" spans="1:6" s="1" customFormat="1" ht="13.5" customHeight="1" thickBot="1" x14ac:dyDescent="0.25">
      <c r="A66" s="333" t="s">
        <v>915</v>
      </c>
      <c r="B66" s="424" t="s">
        <v>267</v>
      </c>
      <c r="C66" s="716"/>
      <c r="D66" s="717"/>
      <c r="E66" s="1266"/>
      <c r="F66" s="1273"/>
    </row>
    <row r="67" spans="1:6" s="1" customFormat="1" ht="12" customHeight="1" thickBot="1" x14ac:dyDescent="0.25">
      <c r="A67" s="332" t="s">
        <v>916</v>
      </c>
      <c r="B67" s="423" t="s">
        <v>268</v>
      </c>
      <c r="C67" s="658">
        <f>+C65+C66</f>
        <v>0</v>
      </c>
      <c r="D67" s="659">
        <f>+D65+D66</f>
        <v>0</v>
      </c>
      <c r="E67" s="1241">
        <f>+E65+E66</f>
        <v>0</v>
      </c>
      <c r="F67" s="1248">
        <f>+F65+F66</f>
        <v>0</v>
      </c>
    </row>
    <row r="68" spans="1:6" s="1" customFormat="1" ht="12.95" customHeight="1" x14ac:dyDescent="0.2">
      <c r="A68" s="6"/>
      <c r="B68" s="7"/>
      <c r="C68" s="662"/>
      <c r="D68" s="662"/>
      <c r="E68" s="662"/>
      <c r="F68" s="662"/>
    </row>
    <row r="69" spans="1:6" ht="16.5" customHeight="1" x14ac:dyDescent="0.25">
      <c r="A69" s="1324" t="s">
        <v>932</v>
      </c>
      <c r="B69" s="1324"/>
      <c r="C69" s="1324"/>
      <c r="D69" s="637"/>
      <c r="E69" s="637"/>
      <c r="F69" s="637"/>
    </row>
    <row r="70" spans="1:6" s="345" customFormat="1" ht="16.5" customHeight="1" thickBot="1" x14ac:dyDescent="0.3">
      <c r="A70" s="1322" t="s">
        <v>100</v>
      </c>
      <c r="B70" s="1322"/>
      <c r="C70" s="150"/>
      <c r="D70" s="343"/>
      <c r="E70" s="343"/>
      <c r="F70" s="343" t="s">
        <v>300</v>
      </c>
    </row>
    <row r="71" spans="1:6" ht="38.1" customHeight="1" thickBot="1" x14ac:dyDescent="0.3">
      <c r="A71" s="28" t="s">
        <v>901</v>
      </c>
      <c r="B71" s="29" t="s">
        <v>933</v>
      </c>
      <c r="C71" s="638" t="s">
        <v>1085</v>
      </c>
      <c r="D71" s="639" t="s">
        <v>1086</v>
      </c>
      <c r="E71" s="639" t="s">
        <v>1001</v>
      </c>
      <c r="F71" s="1242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8">
        <v>3</v>
      </c>
      <c r="D72" s="639">
        <v>4</v>
      </c>
      <c r="E72" s="639">
        <v>3</v>
      </c>
      <c r="F72" s="1242">
        <v>4</v>
      </c>
    </row>
    <row r="73" spans="1:6" ht="12" customHeight="1" thickBot="1" x14ac:dyDescent="0.3">
      <c r="A73" s="25" t="s">
        <v>903</v>
      </c>
      <c r="B73" s="36" t="s">
        <v>163</v>
      </c>
      <c r="C73" s="640">
        <f>+C74+C75+C76+C77+C78</f>
        <v>0</v>
      </c>
      <c r="D73" s="641">
        <f>+D74+D75+D76+D77+D78</f>
        <v>0</v>
      </c>
      <c r="E73" s="641">
        <f>+E74+E75+E76+E77+E78</f>
        <v>0</v>
      </c>
      <c r="F73" s="1243">
        <f>+F74+F75+F76+F77+F78</f>
        <v>0</v>
      </c>
    </row>
    <row r="74" spans="1:6" ht="12" customHeight="1" x14ac:dyDescent="0.25">
      <c r="A74" s="20" t="s">
        <v>57</v>
      </c>
      <c r="B74" s="12" t="s">
        <v>934</v>
      </c>
      <c r="C74" s="663"/>
      <c r="D74" s="664"/>
      <c r="E74" s="664"/>
      <c r="F74" s="911"/>
    </row>
    <row r="75" spans="1:6" ht="12" customHeight="1" x14ac:dyDescent="0.25">
      <c r="A75" s="16" t="s">
        <v>58</v>
      </c>
      <c r="B75" s="9" t="s">
        <v>164</v>
      </c>
      <c r="C75" s="665"/>
      <c r="D75" s="647"/>
      <c r="E75" s="647"/>
      <c r="F75" s="912"/>
    </row>
    <row r="76" spans="1:6" ht="12" customHeight="1" x14ac:dyDescent="0.25">
      <c r="A76" s="16" t="s">
        <v>59</v>
      </c>
      <c r="B76" s="9" t="s">
        <v>88</v>
      </c>
      <c r="C76" s="666"/>
      <c r="D76" s="667"/>
      <c r="E76" s="667"/>
      <c r="F76" s="1257"/>
    </row>
    <row r="77" spans="1:6" ht="12" customHeight="1" x14ac:dyDescent="0.25">
      <c r="A77" s="16" t="s">
        <v>60</v>
      </c>
      <c r="B77" s="13" t="s">
        <v>165</v>
      </c>
      <c r="C77" s="666"/>
      <c r="D77" s="667"/>
      <c r="E77" s="667"/>
      <c r="F77" s="1257"/>
    </row>
    <row r="78" spans="1:6" ht="12" customHeight="1" x14ac:dyDescent="0.25">
      <c r="A78" s="16" t="s">
        <v>71</v>
      </c>
      <c r="B78" s="22" t="s">
        <v>166</v>
      </c>
      <c r="C78" s="666"/>
      <c r="D78" s="667"/>
      <c r="E78" s="667"/>
      <c r="F78" s="1257"/>
    </row>
    <row r="79" spans="1:6" ht="12" customHeight="1" x14ac:dyDescent="0.25">
      <c r="A79" s="16" t="s">
        <v>61</v>
      </c>
      <c r="B79" s="9" t="s">
        <v>188</v>
      </c>
      <c r="C79" s="666"/>
      <c r="D79" s="667"/>
      <c r="E79" s="667"/>
      <c r="F79" s="1257"/>
    </row>
    <row r="80" spans="1:6" ht="12" customHeight="1" x14ac:dyDescent="0.25">
      <c r="A80" s="16" t="s">
        <v>62</v>
      </c>
      <c r="B80" s="153" t="s">
        <v>189</v>
      </c>
      <c r="C80" s="666"/>
      <c r="D80" s="667"/>
      <c r="E80" s="667"/>
      <c r="F80" s="1257"/>
    </row>
    <row r="81" spans="1:6" ht="12" customHeight="1" x14ac:dyDescent="0.25">
      <c r="A81" s="16" t="s">
        <v>72</v>
      </c>
      <c r="B81" s="153" t="s">
        <v>279</v>
      </c>
      <c r="C81" s="666"/>
      <c r="D81" s="667"/>
      <c r="E81" s="667"/>
      <c r="F81" s="1257"/>
    </row>
    <row r="82" spans="1:6" ht="12" customHeight="1" x14ac:dyDescent="0.25">
      <c r="A82" s="16" t="s">
        <v>73</v>
      </c>
      <c r="B82" s="154" t="s">
        <v>190</v>
      </c>
      <c r="C82" s="666"/>
      <c r="D82" s="667"/>
      <c r="E82" s="667"/>
      <c r="F82" s="1257"/>
    </row>
    <row r="83" spans="1:6" ht="12" customHeight="1" x14ac:dyDescent="0.25">
      <c r="A83" s="15" t="s">
        <v>74</v>
      </c>
      <c r="B83" s="155" t="s">
        <v>191</v>
      </c>
      <c r="C83" s="666"/>
      <c r="D83" s="667"/>
      <c r="E83" s="667"/>
      <c r="F83" s="1257"/>
    </row>
    <row r="84" spans="1:6" ht="12" customHeight="1" x14ac:dyDescent="0.25">
      <c r="A84" s="16" t="s">
        <v>75</v>
      </c>
      <c r="B84" s="155" t="s">
        <v>192</v>
      </c>
      <c r="C84" s="666"/>
      <c r="D84" s="667"/>
      <c r="E84" s="667"/>
      <c r="F84" s="1257"/>
    </row>
    <row r="85" spans="1:6" ht="12" customHeight="1" thickBot="1" x14ac:dyDescent="0.3">
      <c r="A85" s="21" t="s">
        <v>77</v>
      </c>
      <c r="B85" s="156" t="s">
        <v>193</v>
      </c>
      <c r="C85" s="669"/>
      <c r="D85" s="670"/>
      <c r="E85" s="670"/>
      <c r="F85" s="1258"/>
    </row>
    <row r="86" spans="1:6" ht="12" customHeight="1" thickBot="1" x14ac:dyDescent="0.3">
      <c r="A86" s="23" t="s">
        <v>904</v>
      </c>
      <c r="B86" s="35" t="s">
        <v>310</v>
      </c>
      <c r="C86" s="648">
        <f>+C87+C88+C89</f>
        <v>0</v>
      </c>
      <c r="D86" s="644">
        <f>+D87+D88+D89</f>
        <v>0</v>
      </c>
      <c r="E86" s="644">
        <f>+E87+E88+E89</f>
        <v>0</v>
      </c>
      <c r="F86" s="689">
        <f>+F87+F88+F89</f>
        <v>0</v>
      </c>
    </row>
    <row r="87" spans="1:6" ht="12" customHeight="1" x14ac:dyDescent="0.25">
      <c r="A87" s="18" t="s">
        <v>63</v>
      </c>
      <c r="B87" s="9" t="s">
        <v>280</v>
      </c>
      <c r="C87" s="671"/>
      <c r="D87" s="672"/>
      <c r="E87" s="672"/>
      <c r="F87" s="1259"/>
    </row>
    <row r="88" spans="1:6" ht="12" customHeight="1" x14ac:dyDescent="0.25">
      <c r="A88" s="18" t="s">
        <v>64</v>
      </c>
      <c r="B88" s="14" t="s">
        <v>168</v>
      </c>
      <c r="C88" s="665"/>
      <c r="D88" s="647"/>
      <c r="E88" s="647"/>
      <c r="F88" s="912"/>
    </row>
    <row r="89" spans="1:6" ht="12" customHeight="1" x14ac:dyDescent="0.25">
      <c r="A89" s="18" t="s">
        <v>65</v>
      </c>
      <c r="B89" s="323" t="s">
        <v>311</v>
      </c>
      <c r="C89" s="646"/>
      <c r="D89" s="647"/>
      <c r="E89" s="647"/>
      <c r="F89" s="912"/>
    </row>
    <row r="90" spans="1:6" ht="12" customHeight="1" x14ac:dyDescent="0.25">
      <c r="A90" s="18" t="s">
        <v>66</v>
      </c>
      <c r="B90" s="323" t="s">
        <v>382</v>
      </c>
      <c r="C90" s="646"/>
      <c r="D90" s="647"/>
      <c r="E90" s="647"/>
      <c r="F90" s="912"/>
    </row>
    <row r="91" spans="1:6" ht="12" customHeight="1" x14ac:dyDescent="0.25">
      <c r="A91" s="18" t="s">
        <v>67</v>
      </c>
      <c r="B91" s="323" t="s">
        <v>312</v>
      </c>
      <c r="C91" s="646"/>
      <c r="D91" s="647"/>
      <c r="E91" s="647"/>
      <c r="F91" s="912"/>
    </row>
    <row r="92" spans="1:6" x14ac:dyDescent="0.25">
      <c r="A92" s="18" t="s">
        <v>76</v>
      </c>
      <c r="B92" s="323" t="s">
        <v>313</v>
      </c>
      <c r="C92" s="646"/>
      <c r="D92" s="647"/>
      <c r="E92" s="647"/>
      <c r="F92" s="912"/>
    </row>
    <row r="93" spans="1:6" ht="12" customHeight="1" x14ac:dyDescent="0.25">
      <c r="A93" s="18" t="s">
        <v>78</v>
      </c>
      <c r="B93" s="425" t="s">
        <v>284</v>
      </c>
      <c r="C93" s="646"/>
      <c r="D93" s="647"/>
      <c r="E93" s="647"/>
      <c r="F93" s="912"/>
    </row>
    <row r="94" spans="1:6" ht="12" customHeight="1" x14ac:dyDescent="0.25">
      <c r="A94" s="18" t="s">
        <v>169</v>
      </c>
      <c r="B94" s="425" t="s">
        <v>285</v>
      </c>
      <c r="C94" s="646"/>
      <c r="D94" s="647"/>
      <c r="E94" s="647"/>
      <c r="F94" s="912"/>
    </row>
    <row r="95" spans="1:6" ht="12" customHeight="1" x14ac:dyDescent="0.25">
      <c r="A95" s="18" t="s">
        <v>170</v>
      </c>
      <c r="B95" s="425" t="s">
        <v>283</v>
      </c>
      <c r="C95" s="646"/>
      <c r="D95" s="647"/>
      <c r="E95" s="647"/>
      <c r="F95" s="912"/>
    </row>
    <row r="96" spans="1:6" ht="24" customHeight="1" thickBot="1" x14ac:dyDescent="0.3">
      <c r="A96" s="15" t="s">
        <v>171</v>
      </c>
      <c r="B96" s="426" t="s">
        <v>282</v>
      </c>
      <c r="C96" s="673"/>
      <c r="D96" s="667"/>
      <c r="E96" s="667"/>
      <c r="F96" s="1257"/>
    </row>
    <row r="97" spans="1:6" ht="12" customHeight="1" thickBot="1" x14ac:dyDescent="0.3">
      <c r="A97" s="23" t="s">
        <v>905</v>
      </c>
      <c r="B97" s="134" t="s">
        <v>314</v>
      </c>
      <c r="C97" s="648">
        <f>+C98+C99</f>
        <v>0</v>
      </c>
      <c r="D97" s="644">
        <f>+D98+D99</f>
        <v>0</v>
      </c>
      <c r="E97" s="644">
        <f>+E98+E99</f>
        <v>0</v>
      </c>
      <c r="F97" s="689">
        <f>+F98+F99</f>
        <v>0</v>
      </c>
    </row>
    <row r="98" spans="1:6" ht="12" customHeight="1" x14ac:dyDescent="0.25">
      <c r="A98" s="18" t="s">
        <v>37</v>
      </c>
      <c r="B98" s="11" t="s">
        <v>3</v>
      </c>
      <c r="C98" s="671"/>
      <c r="D98" s="672"/>
      <c r="E98" s="672"/>
      <c r="F98" s="1259"/>
    </row>
    <row r="99" spans="1:6" ht="12" customHeight="1" thickBot="1" x14ac:dyDescent="0.3">
      <c r="A99" s="19" t="s">
        <v>38</v>
      </c>
      <c r="B99" s="14" t="s">
        <v>4</v>
      </c>
      <c r="C99" s="666"/>
      <c r="D99" s="667"/>
      <c r="E99" s="667"/>
      <c r="F99" s="1257"/>
    </row>
    <row r="100" spans="1:6" s="321" customFormat="1" ht="12" customHeight="1" thickBot="1" x14ac:dyDescent="0.25">
      <c r="A100" s="327" t="s">
        <v>906</v>
      </c>
      <c r="B100" s="322" t="s">
        <v>286</v>
      </c>
      <c r="C100" s="674"/>
      <c r="D100" s="675"/>
      <c r="E100" s="675"/>
      <c r="F100" s="898"/>
    </row>
    <row r="101" spans="1:6" ht="12" customHeight="1" thickBot="1" x14ac:dyDescent="0.3">
      <c r="A101" s="319" t="s">
        <v>907</v>
      </c>
      <c r="B101" s="320" t="s">
        <v>105</v>
      </c>
      <c r="C101" s="640">
        <f>+C73+C86+C97+C100</f>
        <v>0</v>
      </c>
      <c r="D101" s="641">
        <f>+D73+D86+D97+D100</f>
        <v>0</v>
      </c>
      <c r="E101" s="641">
        <f>+E73+E86+E97+E100</f>
        <v>0</v>
      </c>
      <c r="F101" s="1243">
        <f>+F73+F86+F97+F100</f>
        <v>0</v>
      </c>
    </row>
    <row r="102" spans="1:6" ht="12" customHeight="1" thickBot="1" x14ac:dyDescent="0.3">
      <c r="A102" s="327" t="s">
        <v>908</v>
      </c>
      <c r="B102" s="322" t="s">
        <v>383</v>
      </c>
      <c r="C102" s="648">
        <f>+C103+C111</f>
        <v>0</v>
      </c>
      <c r="D102" s="644">
        <f>+D103+D111</f>
        <v>0</v>
      </c>
      <c r="E102" s="644">
        <f>+E103+E111</f>
        <v>0</v>
      </c>
      <c r="F102" s="689">
        <f>+F103+F111</f>
        <v>0</v>
      </c>
    </row>
    <row r="103" spans="1:6" ht="12" customHeight="1" thickBot="1" x14ac:dyDescent="0.3">
      <c r="A103" s="334" t="s">
        <v>44</v>
      </c>
      <c r="B103" s="427" t="s">
        <v>388</v>
      </c>
      <c r="C103" s="648">
        <f>+C104+C105+C106+C107+C108+C109+C110</f>
        <v>0</v>
      </c>
      <c r="D103" s="644">
        <f>+D104+D105+D106+D107+D108+D109+D110</f>
        <v>0</v>
      </c>
      <c r="E103" s="644">
        <f>+E104+E105+E106+E107+E108+E109+E110</f>
        <v>0</v>
      </c>
      <c r="F103" s="689">
        <f>+F104+F105+F106+F107+F108+F109+F110</f>
        <v>0</v>
      </c>
    </row>
    <row r="104" spans="1:6" ht="12" customHeight="1" x14ac:dyDescent="0.25">
      <c r="A104" s="335" t="s">
        <v>47</v>
      </c>
      <c r="B104" s="336" t="s">
        <v>287</v>
      </c>
      <c r="C104" s="678"/>
      <c r="D104" s="679"/>
      <c r="E104" s="679"/>
      <c r="F104" s="1261"/>
    </row>
    <row r="105" spans="1:6" ht="12" customHeight="1" x14ac:dyDescent="0.25">
      <c r="A105" s="328" t="s">
        <v>48</v>
      </c>
      <c r="B105" s="323" t="s">
        <v>288</v>
      </c>
      <c r="C105" s="680"/>
      <c r="D105" s="681"/>
      <c r="E105" s="681"/>
      <c r="F105" s="1262"/>
    </row>
    <row r="106" spans="1:6" ht="12" customHeight="1" x14ac:dyDescent="0.25">
      <c r="A106" s="328" t="s">
        <v>49</v>
      </c>
      <c r="B106" s="323" t="s">
        <v>289</v>
      </c>
      <c r="C106" s="680"/>
      <c r="D106" s="681"/>
      <c r="E106" s="681"/>
      <c r="F106" s="1262"/>
    </row>
    <row r="107" spans="1:6" ht="12" customHeight="1" x14ac:dyDescent="0.25">
      <c r="A107" s="328" t="s">
        <v>50</v>
      </c>
      <c r="B107" s="323" t="s">
        <v>290</v>
      </c>
      <c r="C107" s="680"/>
      <c r="D107" s="681"/>
      <c r="E107" s="681"/>
      <c r="F107" s="1262"/>
    </row>
    <row r="108" spans="1:6" ht="12" customHeight="1" x14ac:dyDescent="0.25">
      <c r="A108" s="328" t="s">
        <v>154</v>
      </c>
      <c r="B108" s="323" t="s">
        <v>291</v>
      </c>
      <c r="C108" s="680"/>
      <c r="D108" s="681"/>
      <c r="E108" s="681"/>
      <c r="F108" s="1262"/>
    </row>
    <row r="109" spans="1:6" ht="12" customHeight="1" x14ac:dyDescent="0.25">
      <c r="A109" s="328" t="s">
        <v>172</v>
      </c>
      <c r="B109" s="323" t="s">
        <v>292</v>
      </c>
      <c r="C109" s="680"/>
      <c r="D109" s="681"/>
      <c r="E109" s="681"/>
      <c r="F109" s="1262"/>
    </row>
    <row r="110" spans="1:6" ht="12" customHeight="1" thickBot="1" x14ac:dyDescent="0.3">
      <c r="A110" s="337" t="s">
        <v>173</v>
      </c>
      <c r="B110" s="338" t="s">
        <v>293</v>
      </c>
      <c r="C110" s="682"/>
      <c r="D110" s="683"/>
      <c r="E110" s="683"/>
      <c r="F110" s="1263"/>
    </row>
    <row r="111" spans="1:6" ht="12" customHeight="1" thickBot="1" x14ac:dyDescent="0.3">
      <c r="A111" s="334" t="s">
        <v>45</v>
      </c>
      <c r="B111" s="427" t="s">
        <v>389</v>
      </c>
      <c r="C111" s="648">
        <f>+C112+C113+C114+C115+C116+C117+C118+C119</f>
        <v>0</v>
      </c>
      <c r="D111" s="644">
        <f>+D112+D113+D114+D115+D116+D117+D118+D119</f>
        <v>0</v>
      </c>
      <c r="E111" s="644">
        <f>+E112+E113+E114+E115+E116+E117+E118+E119</f>
        <v>0</v>
      </c>
      <c r="F111" s="689">
        <f>+F112+F113+F114+F115+F116+F117+F118+F119</f>
        <v>0</v>
      </c>
    </row>
    <row r="112" spans="1:6" ht="12" customHeight="1" x14ac:dyDescent="0.25">
      <c r="A112" s="335" t="s">
        <v>53</v>
      </c>
      <c r="B112" s="336" t="s">
        <v>287</v>
      </c>
      <c r="C112" s="678"/>
      <c r="D112" s="679"/>
      <c r="E112" s="679"/>
      <c r="F112" s="1261"/>
    </row>
    <row r="113" spans="1:8" ht="12" customHeight="1" x14ac:dyDescent="0.25">
      <c r="A113" s="328" t="s">
        <v>54</v>
      </c>
      <c r="B113" s="323" t="s">
        <v>294</v>
      </c>
      <c r="C113" s="680"/>
      <c r="D113" s="681"/>
      <c r="E113" s="681"/>
      <c r="F113" s="1262"/>
    </row>
    <row r="114" spans="1:8" ht="12" customHeight="1" x14ac:dyDescent="0.25">
      <c r="A114" s="328" t="s">
        <v>55</v>
      </c>
      <c r="B114" s="323" t="s">
        <v>289</v>
      </c>
      <c r="C114" s="680"/>
      <c r="D114" s="681"/>
      <c r="E114" s="681"/>
      <c r="F114" s="1262"/>
    </row>
    <row r="115" spans="1:8" ht="12" customHeight="1" x14ac:dyDescent="0.25">
      <c r="A115" s="328" t="s">
        <v>56</v>
      </c>
      <c r="B115" s="323" t="s">
        <v>290</v>
      </c>
      <c r="C115" s="680"/>
      <c r="D115" s="681"/>
      <c r="E115" s="681"/>
      <c r="F115" s="1262"/>
    </row>
    <row r="116" spans="1:8" ht="12" customHeight="1" x14ac:dyDescent="0.25">
      <c r="A116" s="328" t="s">
        <v>155</v>
      </c>
      <c r="B116" s="323" t="s">
        <v>291</v>
      </c>
      <c r="C116" s="680"/>
      <c r="D116" s="681"/>
      <c r="E116" s="681"/>
      <c r="F116" s="1262"/>
    </row>
    <row r="117" spans="1:8" ht="12" customHeight="1" x14ac:dyDescent="0.25">
      <c r="A117" s="328" t="s">
        <v>174</v>
      </c>
      <c r="B117" s="323" t="s">
        <v>295</v>
      </c>
      <c r="C117" s="680"/>
      <c r="D117" s="681"/>
      <c r="E117" s="681"/>
      <c r="F117" s="1262"/>
    </row>
    <row r="118" spans="1:8" ht="12" customHeight="1" x14ac:dyDescent="0.25">
      <c r="A118" s="328" t="s">
        <v>175</v>
      </c>
      <c r="B118" s="323" t="s">
        <v>293</v>
      </c>
      <c r="C118" s="680"/>
      <c r="D118" s="681"/>
      <c r="E118" s="681"/>
      <c r="F118" s="1262"/>
    </row>
    <row r="119" spans="1:8" ht="12" customHeight="1" thickBot="1" x14ac:dyDescent="0.3">
      <c r="A119" s="337" t="s">
        <v>176</v>
      </c>
      <c r="B119" s="338" t="s">
        <v>386</v>
      </c>
      <c r="C119" s="682"/>
      <c r="D119" s="683"/>
      <c r="E119" s="683"/>
      <c r="F119" s="1263"/>
    </row>
    <row r="120" spans="1:8" ht="12" customHeight="1" thickBot="1" x14ac:dyDescent="0.3">
      <c r="A120" s="327" t="s">
        <v>909</v>
      </c>
      <c r="B120" s="423" t="s">
        <v>296</v>
      </c>
      <c r="C120" s="684">
        <f>+C101+C102</f>
        <v>0</v>
      </c>
      <c r="D120" s="685">
        <f>+D101+D102</f>
        <v>0</v>
      </c>
      <c r="E120" s="685">
        <f>+E101+E102</f>
        <v>0</v>
      </c>
      <c r="F120" s="690">
        <f>+F101+F102</f>
        <v>0</v>
      </c>
    </row>
    <row r="121" spans="1:8" ht="15" customHeight="1" thickBot="1" x14ac:dyDescent="0.3">
      <c r="A121" s="327" t="s">
        <v>910</v>
      </c>
      <c r="B121" s="423" t="s">
        <v>297</v>
      </c>
      <c r="C121" s="686"/>
      <c r="D121" s="687"/>
      <c r="E121" s="687"/>
      <c r="F121" s="1264"/>
      <c r="G121" s="135"/>
      <c r="H121" s="135"/>
    </row>
    <row r="122" spans="1:8" s="1" customFormat="1" ht="12.95" customHeight="1" thickBot="1" x14ac:dyDescent="0.25">
      <c r="A122" s="339" t="s">
        <v>911</v>
      </c>
      <c r="B122" s="424" t="s">
        <v>298</v>
      </c>
      <c r="C122" s="658">
        <f>+C120+C121</f>
        <v>0</v>
      </c>
      <c r="D122" s="659">
        <f>+D120+D121</f>
        <v>0</v>
      </c>
      <c r="E122" s="659">
        <f>+E120+E121</f>
        <v>0</v>
      </c>
      <c r="F122" s="1248">
        <f>+F120+F121</f>
        <v>0</v>
      </c>
    </row>
    <row r="123" spans="1:8" ht="7.5" customHeight="1" x14ac:dyDescent="0.25">
      <c r="A123" s="428"/>
      <c r="B123" s="428"/>
      <c r="C123" s="688"/>
      <c r="D123" s="688"/>
      <c r="E123" s="688"/>
      <c r="F123" s="688"/>
    </row>
    <row r="124" spans="1:8" x14ac:dyDescent="0.25">
      <c r="A124" s="1323" t="s">
        <v>108</v>
      </c>
      <c r="B124" s="1323"/>
      <c r="C124" s="1323"/>
      <c r="D124" s="637"/>
      <c r="E124" s="637"/>
      <c r="F124" s="637"/>
    </row>
    <row r="125" spans="1:8" ht="15" customHeight="1" thickBot="1" x14ac:dyDescent="0.3">
      <c r="A125" s="1321" t="s">
        <v>101</v>
      </c>
      <c r="B125" s="1321"/>
      <c r="C125" s="343"/>
      <c r="D125" s="343"/>
      <c r="E125" s="343" t="s">
        <v>300</v>
      </c>
      <c r="F125" s="343" t="s">
        <v>300</v>
      </c>
    </row>
    <row r="126" spans="1:8" ht="13.5" customHeight="1" thickBot="1" x14ac:dyDescent="0.3">
      <c r="A126" s="23">
        <v>1</v>
      </c>
      <c r="B126" s="35" t="s">
        <v>183</v>
      </c>
      <c r="C126" s="648">
        <f>+C51-C101</f>
        <v>0</v>
      </c>
      <c r="D126" s="689">
        <f>+D51-D101</f>
        <v>0</v>
      </c>
      <c r="E126" s="689">
        <f>+E51-E101</f>
        <v>0</v>
      </c>
      <c r="F126" s="689">
        <f>+F51-F101</f>
        <v>0</v>
      </c>
    </row>
    <row r="127" spans="1:8" ht="7.5" customHeight="1" x14ac:dyDescent="0.25">
      <c r="A127" s="428"/>
      <c r="B127" s="428"/>
      <c r="C127" s="688"/>
      <c r="D127" s="688"/>
      <c r="E127" s="688"/>
      <c r="F127" s="688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77" fitToWidth="3" fitToHeight="2" orientation="portrait" r:id="rId1"/>
  <headerFooter alignWithMargins="0">
    <oddHeader>&amp;C&amp;"Times New Roman CE,Félkövér"&amp;12
Csobánka Község Önkormányzat
 2015. ÉVI KÖLTSÉGVETÉS ÁLLAMI FELADATOK MÉRLEGE&amp;R&amp;"Times New Roman CE,Félkövér dőlt"&amp;11 &amp;"Times New Roman CE,Félkövér"1.4. melléklet az 1/2015. (II.13.)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Layout" topLeftCell="F1" zoomScaleNormal="100" zoomScaleSheetLayoutView="100" workbookViewId="0">
      <selection activeCell="L1" sqref="L1:L32"/>
    </sheetView>
  </sheetViews>
  <sheetFormatPr defaultColWidth="9.33203125" defaultRowHeight="12.75" x14ac:dyDescent="0.2"/>
  <cols>
    <col min="1" max="1" width="6.83203125" style="56" customWidth="1"/>
    <col min="2" max="2" width="50.83203125" style="205" customWidth="1"/>
    <col min="3" max="4" width="13.33203125" style="729" hidden="1" customWidth="1"/>
    <col min="5" max="6" width="13.33203125" style="729" customWidth="1"/>
    <col min="7" max="7" width="50.83203125" style="56" customWidth="1"/>
    <col min="8" max="9" width="13.33203125" style="729" hidden="1" customWidth="1"/>
    <col min="10" max="11" width="13.33203125" style="729" customWidth="1"/>
    <col min="12" max="12" width="4.83203125" style="56" customWidth="1"/>
    <col min="13" max="16384" width="9.33203125" style="56"/>
  </cols>
  <sheetData>
    <row r="1" spans="1:12" ht="39.75" customHeight="1" x14ac:dyDescent="0.2">
      <c r="B1" s="349" t="s">
        <v>109</v>
      </c>
      <c r="C1" s="719"/>
      <c r="D1" s="719"/>
      <c r="E1" s="719"/>
      <c r="F1" s="719"/>
      <c r="G1" s="350"/>
      <c r="H1" s="719"/>
      <c r="I1" s="719"/>
      <c r="J1" s="719"/>
      <c r="K1" s="719"/>
      <c r="L1" s="1327" t="s">
        <v>1216</v>
      </c>
    </row>
    <row r="2" spans="1:12" ht="14.25" thickBot="1" x14ac:dyDescent="0.25">
      <c r="H2" s="720"/>
      <c r="I2" s="720"/>
      <c r="J2" s="720"/>
      <c r="K2" s="720" t="s">
        <v>11</v>
      </c>
      <c r="L2" s="1328"/>
    </row>
    <row r="3" spans="1:12" ht="18" customHeight="1" thickBot="1" x14ac:dyDescent="0.25">
      <c r="A3" s="1325" t="s">
        <v>17</v>
      </c>
      <c r="B3" s="351" t="s">
        <v>945</v>
      </c>
      <c r="C3" s="730"/>
      <c r="D3" s="730"/>
      <c r="E3" s="731"/>
      <c r="F3" s="731"/>
      <c r="G3" s="351" t="s">
        <v>1</v>
      </c>
      <c r="H3" s="721"/>
      <c r="I3" s="721"/>
      <c r="J3" s="721"/>
      <c r="K3" s="721"/>
      <c r="L3" s="1328"/>
    </row>
    <row r="4" spans="1:12" s="352" customFormat="1" ht="26.25" thickBot="1" x14ac:dyDescent="0.25">
      <c r="A4" s="1326"/>
      <c r="B4" s="206" t="s">
        <v>12</v>
      </c>
      <c r="C4" s="723" t="s">
        <v>1085</v>
      </c>
      <c r="D4" s="723" t="s">
        <v>1086</v>
      </c>
      <c r="E4" s="723" t="s">
        <v>1206</v>
      </c>
      <c r="F4" s="723" t="s">
        <v>1196</v>
      </c>
      <c r="G4" s="206" t="s">
        <v>12</v>
      </c>
      <c r="H4" s="723" t="s">
        <v>1085</v>
      </c>
      <c r="I4" s="723" t="s">
        <v>1086</v>
      </c>
      <c r="J4" s="723" t="s">
        <v>1206</v>
      </c>
      <c r="K4" s="1210" t="s">
        <v>1196</v>
      </c>
      <c r="L4" s="1328"/>
    </row>
    <row r="5" spans="1:12" s="355" customFormat="1" ht="12" customHeight="1" thickBot="1" x14ac:dyDescent="0.25">
      <c r="A5" s="353" t="s">
        <v>903</v>
      </c>
      <c r="B5" s="354">
        <v>2</v>
      </c>
      <c r="C5" s="722" t="s">
        <v>905</v>
      </c>
      <c r="D5" s="723" t="s">
        <v>906</v>
      </c>
      <c r="E5" s="732" t="s">
        <v>905</v>
      </c>
      <c r="F5" s="732" t="s">
        <v>906</v>
      </c>
      <c r="G5" s="354" t="s">
        <v>907</v>
      </c>
      <c r="H5" s="722" t="s">
        <v>909</v>
      </c>
      <c r="I5" s="723">
        <v>8</v>
      </c>
      <c r="J5" s="724" t="s">
        <v>908</v>
      </c>
      <c r="K5" s="724" t="s">
        <v>909</v>
      </c>
      <c r="L5" s="1328"/>
    </row>
    <row r="6" spans="1:12" ht="12.95" customHeight="1" x14ac:dyDescent="0.2">
      <c r="A6" s="356" t="s">
        <v>903</v>
      </c>
      <c r="B6" s="357" t="s">
        <v>142</v>
      </c>
      <c r="C6" s="744">
        <f>'1.1.sz.mell.'!C6</f>
        <v>95825</v>
      </c>
      <c r="D6" s="733">
        <f>'1.1.sz.mell.'!D6</f>
        <v>79070</v>
      </c>
      <c r="E6" s="733">
        <f>'1.1.sz.mell.'!E6</f>
        <v>98689</v>
      </c>
      <c r="F6" s="733">
        <f>'1.1.sz.mell.'!F6</f>
        <v>88219</v>
      </c>
      <c r="G6" s="357" t="s">
        <v>13</v>
      </c>
      <c r="H6" s="744">
        <f>'1.1.sz.mell.'!C74</f>
        <v>108275</v>
      </c>
      <c r="I6" s="733">
        <f>'1.1.sz.mell.'!D74</f>
        <v>143462</v>
      </c>
      <c r="J6" s="749">
        <f>'1.1.sz.mell.'!E74</f>
        <v>128480</v>
      </c>
      <c r="K6" s="749">
        <f>'1.1.sz.mell.'!F74</f>
        <v>128757</v>
      </c>
      <c r="L6" s="1328"/>
    </row>
    <row r="7" spans="1:12" ht="12.95" customHeight="1" x14ac:dyDescent="0.2">
      <c r="A7" s="358" t="s">
        <v>904</v>
      </c>
      <c r="B7" s="359" t="s">
        <v>946</v>
      </c>
      <c r="C7" s="737">
        <f>'1.1.sz.mell.'!C11</f>
        <v>13212</v>
      </c>
      <c r="D7" s="735">
        <f>'1.1.sz.mell.'!D11</f>
        <v>13483</v>
      </c>
      <c r="E7" s="735">
        <f>'1.1.sz.mell.'!E11</f>
        <v>22409</v>
      </c>
      <c r="F7" s="735">
        <f>'1.1.sz.mell.'!F11</f>
        <v>22744</v>
      </c>
      <c r="G7" s="359" t="s">
        <v>164</v>
      </c>
      <c r="H7" s="737">
        <f>'1.1.sz.mell.'!C75</f>
        <v>25837</v>
      </c>
      <c r="I7" s="735">
        <f>'1.1.sz.mell.'!D75</f>
        <v>37659</v>
      </c>
      <c r="J7" s="750">
        <f>'1.1.sz.mell.'!E75</f>
        <v>33112</v>
      </c>
      <c r="K7" s="750">
        <f>'1.1.sz.mell.'!F75</f>
        <v>33177</v>
      </c>
      <c r="L7" s="1328"/>
    </row>
    <row r="8" spans="1:12" ht="12.95" customHeight="1" x14ac:dyDescent="0.2">
      <c r="A8" s="358" t="s">
        <v>905</v>
      </c>
      <c r="B8" s="359" t="s">
        <v>0</v>
      </c>
      <c r="C8" s="737">
        <f>'1.1.sz.mell.'!C20</f>
        <v>7833</v>
      </c>
      <c r="D8" s="735">
        <f>'1.1.sz.mell.'!D20</f>
        <v>8000</v>
      </c>
      <c r="E8" s="735">
        <f>'1.1.sz.mell.'!E20</f>
        <v>8132</v>
      </c>
      <c r="F8" s="735">
        <f>'1.1.sz.mell.'!F20</f>
        <v>8132</v>
      </c>
      <c r="G8" s="359" t="s">
        <v>328</v>
      </c>
      <c r="H8" s="737">
        <f>'1.1.sz.mell.'!C76</f>
        <v>102127</v>
      </c>
      <c r="I8" s="735">
        <f>'1.1.sz.mell.'!D76</f>
        <v>105330</v>
      </c>
      <c r="J8" s="750">
        <f>'1.1.sz.mell.'!E76</f>
        <v>88289</v>
      </c>
      <c r="K8" s="750">
        <f>'1.1.sz.mell.'!F76</f>
        <v>92071</v>
      </c>
      <c r="L8" s="1328"/>
    </row>
    <row r="9" spans="1:12" ht="12.95" customHeight="1" x14ac:dyDescent="0.2">
      <c r="A9" s="358" t="s">
        <v>906</v>
      </c>
      <c r="B9" s="360" t="s">
        <v>315</v>
      </c>
      <c r="C9" s="737">
        <f>'1.1.sz.mell.'!C21</f>
        <v>136964</v>
      </c>
      <c r="D9" s="735">
        <f>'1.1.sz.mell.'!D21</f>
        <v>154410</v>
      </c>
      <c r="E9" s="735">
        <f>'1.1.sz.mell.'!E21</f>
        <v>166940</v>
      </c>
      <c r="F9" s="735">
        <f>'1.1.sz.mell.'!F21</f>
        <v>169349</v>
      </c>
      <c r="G9" s="359" t="s">
        <v>165</v>
      </c>
      <c r="H9" s="737">
        <f>'1.1.sz.mell.'!C77</f>
        <v>17819</v>
      </c>
      <c r="I9" s="735">
        <f>'1.1.sz.mell.'!D77</f>
        <v>13626</v>
      </c>
      <c r="J9" s="750">
        <f>'1.1.sz.mell.'!E77</f>
        <v>9584</v>
      </c>
      <c r="K9" s="750">
        <f>'1.1.sz.mell.'!F77</f>
        <v>11652</v>
      </c>
      <c r="L9" s="1328"/>
    </row>
    <row r="10" spans="1:12" ht="12.95" customHeight="1" x14ac:dyDescent="0.2">
      <c r="A10" s="358" t="s">
        <v>907</v>
      </c>
      <c r="B10" s="359" t="s">
        <v>316</v>
      </c>
      <c r="C10" s="737">
        <f>'1.1.sz.mell.'!C31</f>
        <v>14598</v>
      </c>
      <c r="D10" s="735">
        <f>'1.1.sz.mell.'!D31</f>
        <v>22134</v>
      </c>
      <c r="E10" s="735">
        <f>'1.1.sz.mell.'!E31</f>
        <v>10419</v>
      </c>
      <c r="F10" s="735">
        <f>'1.1.sz.mell.'!F31</f>
        <v>10419</v>
      </c>
      <c r="G10" s="359" t="s">
        <v>166</v>
      </c>
      <c r="H10" s="737">
        <f>'1.1.sz.mell.'!C78</f>
        <v>8580</v>
      </c>
      <c r="I10" s="735">
        <f>'1.1.sz.mell.'!D78</f>
        <v>7590</v>
      </c>
      <c r="J10" s="750">
        <f>'1.1.sz.mell.'!E78</f>
        <v>6287</v>
      </c>
      <c r="K10" s="750">
        <f>'1.1.sz.mell.'!F78</f>
        <v>13199</v>
      </c>
      <c r="L10" s="1328"/>
    </row>
    <row r="11" spans="1:12" ht="12.95" customHeight="1" x14ac:dyDescent="0.2">
      <c r="A11" s="358" t="s">
        <v>908</v>
      </c>
      <c r="B11" s="359" t="s">
        <v>349</v>
      </c>
      <c r="C11" s="737"/>
      <c r="D11" s="735"/>
      <c r="E11" s="735"/>
      <c r="F11" s="735"/>
      <c r="G11" s="359" t="s">
        <v>935</v>
      </c>
      <c r="H11" s="737">
        <f>'1.1.sz.mell.'!C98</f>
        <v>0</v>
      </c>
      <c r="I11" s="735">
        <v>11026</v>
      </c>
      <c r="J11" s="750">
        <f>'1.1.sz.mell.'!E98</f>
        <v>6592</v>
      </c>
      <c r="K11" s="750">
        <f>'9. sz. mell'!G90</f>
        <v>11208</v>
      </c>
      <c r="L11" s="1328"/>
    </row>
    <row r="12" spans="1:12" ht="12.95" customHeight="1" x14ac:dyDescent="0.2">
      <c r="A12" s="358" t="s">
        <v>909</v>
      </c>
      <c r="B12" s="359" t="s">
        <v>317</v>
      </c>
      <c r="C12" s="737"/>
      <c r="D12" s="735"/>
      <c r="E12" s="735">
        <f>'1.2.sz.mell. _köt'!E44</f>
        <v>209</v>
      </c>
      <c r="F12" s="735">
        <f>'1.2.sz.mell. _köt'!F44</f>
        <v>209</v>
      </c>
      <c r="G12" s="359" t="s">
        <v>898</v>
      </c>
      <c r="H12" s="737"/>
      <c r="I12" s="735"/>
      <c r="J12" s="750"/>
      <c r="K12" s="750"/>
      <c r="L12" s="1328"/>
    </row>
    <row r="13" spans="1:12" ht="12.95" customHeight="1" x14ac:dyDescent="0.2">
      <c r="A13" s="358" t="s">
        <v>910</v>
      </c>
      <c r="B13" s="359" t="s">
        <v>318</v>
      </c>
      <c r="C13" s="737"/>
      <c r="D13" s="735"/>
      <c r="E13" s="735"/>
      <c r="F13" s="735"/>
      <c r="G13" s="49"/>
      <c r="H13" s="737"/>
      <c r="I13" s="735"/>
      <c r="J13" s="750"/>
      <c r="K13" s="750"/>
      <c r="L13" s="1328"/>
    </row>
    <row r="14" spans="1:12" ht="12.95" customHeight="1" x14ac:dyDescent="0.2">
      <c r="A14" s="358" t="s">
        <v>911</v>
      </c>
      <c r="B14" s="364" t="s">
        <v>319</v>
      </c>
      <c r="C14" s="737"/>
      <c r="D14" s="735"/>
      <c r="E14" s="735"/>
      <c r="F14" s="735"/>
      <c r="G14" s="49"/>
      <c r="H14" s="737"/>
      <c r="I14" s="735"/>
      <c r="J14" s="750"/>
      <c r="K14" s="750"/>
      <c r="L14" s="1328"/>
    </row>
    <row r="15" spans="1:12" ht="12.95" customHeight="1" x14ac:dyDescent="0.2">
      <c r="A15" s="358" t="s">
        <v>912</v>
      </c>
      <c r="B15" s="503" t="s">
        <v>575</v>
      </c>
      <c r="C15" s="737">
        <v>-12762</v>
      </c>
      <c r="D15" s="735"/>
      <c r="E15" s="735">
        <v>-34454</v>
      </c>
      <c r="F15" s="735">
        <f>-40082-5986</f>
        <v>-46068</v>
      </c>
      <c r="G15" s="49"/>
      <c r="H15" s="737"/>
      <c r="I15" s="735"/>
      <c r="J15" s="750"/>
      <c r="K15" s="750"/>
      <c r="L15" s="1328"/>
    </row>
    <row r="16" spans="1:12" ht="12.95" customHeight="1" x14ac:dyDescent="0.2">
      <c r="A16" s="358" t="s">
        <v>913</v>
      </c>
      <c r="B16" s="49"/>
      <c r="C16" s="737"/>
      <c r="D16" s="735"/>
      <c r="E16" s="735"/>
      <c r="F16" s="735"/>
      <c r="G16" s="49"/>
      <c r="H16" s="737"/>
      <c r="I16" s="735"/>
      <c r="J16" s="750"/>
      <c r="K16" s="750"/>
      <c r="L16" s="1328"/>
    </row>
    <row r="17" spans="1:12" ht="12.95" customHeight="1" thickBot="1" x14ac:dyDescent="0.25">
      <c r="A17" s="358" t="s">
        <v>914</v>
      </c>
      <c r="B17" s="57"/>
      <c r="C17" s="745"/>
      <c r="D17" s="738"/>
      <c r="E17" s="738"/>
      <c r="F17" s="738"/>
      <c r="G17" s="49"/>
      <c r="H17" s="745"/>
      <c r="I17" s="738"/>
      <c r="J17" s="751"/>
      <c r="K17" s="751"/>
      <c r="L17" s="1328"/>
    </row>
    <row r="18" spans="1:12" ht="15.95" customHeight="1" thickBot="1" x14ac:dyDescent="0.25">
      <c r="A18" s="361" t="s">
        <v>915</v>
      </c>
      <c r="B18" s="136" t="s">
        <v>342</v>
      </c>
      <c r="C18" s="746">
        <f>+C6+C7+C8+C9+C10+C12+C13+C14+C15+C16+C17</f>
        <v>255670</v>
      </c>
      <c r="D18" s="593">
        <f>+D6+D7+D8+D9+D10+D12+D13+D14+D15+D16+D17</f>
        <v>277097</v>
      </c>
      <c r="E18" s="593">
        <f>+E6+E7+E8+E9+E10+E12+E13+E14+E15+E16+E17</f>
        <v>272344</v>
      </c>
      <c r="F18" s="593">
        <f>+F6+F7+F8+F9+F10+F12+F13+F14+F15+F16+F17</f>
        <v>253004</v>
      </c>
      <c r="G18" s="136" t="s">
        <v>341</v>
      </c>
      <c r="H18" s="746">
        <f>SUM(H6:H17)</f>
        <v>262638</v>
      </c>
      <c r="I18" s="593">
        <f>SUM(I6:I17)</f>
        <v>318693</v>
      </c>
      <c r="J18" s="368">
        <f>SUM(J6:J17)</f>
        <v>272344</v>
      </c>
      <c r="K18" s="368">
        <f>SUM(K6:K17)</f>
        <v>290064</v>
      </c>
      <c r="L18" s="1328"/>
    </row>
    <row r="19" spans="1:12" ht="12.95" customHeight="1" x14ac:dyDescent="0.2">
      <c r="A19" s="362" t="s">
        <v>916</v>
      </c>
      <c r="B19" s="363" t="s">
        <v>320</v>
      </c>
      <c r="C19" s="754">
        <f>+C20+C21+C22+C23</f>
        <v>26281</v>
      </c>
      <c r="D19" s="739">
        <f>+D20+D21+D22+D23</f>
        <v>41596</v>
      </c>
      <c r="E19" s="739">
        <f>+E20+E21+E22+E23</f>
        <v>0</v>
      </c>
      <c r="F19" s="739">
        <f>+F20+F21+F22+F23</f>
        <v>42764</v>
      </c>
      <c r="G19" s="364" t="s">
        <v>177</v>
      </c>
      <c r="H19" s="747"/>
      <c r="I19" s="742"/>
      <c r="J19" s="752"/>
      <c r="K19" s="752"/>
      <c r="L19" s="1328"/>
    </row>
    <row r="20" spans="1:12" ht="12.95" customHeight="1" x14ac:dyDescent="0.2">
      <c r="A20" s="365" t="s">
        <v>917</v>
      </c>
      <c r="B20" s="364" t="s">
        <v>255</v>
      </c>
      <c r="C20" s="737">
        <v>26281</v>
      </c>
      <c r="D20" s="735">
        <v>41596</v>
      </c>
      <c r="E20" s="735"/>
      <c r="F20" s="735">
        <f>60405-'2.2.sz.mell  '!F20</f>
        <v>42764</v>
      </c>
      <c r="G20" s="364" t="s">
        <v>178</v>
      </c>
      <c r="H20" s="737"/>
      <c r="I20" s="735"/>
      <c r="J20" s="750"/>
      <c r="K20" s="750"/>
      <c r="L20" s="1328"/>
    </row>
    <row r="21" spans="1:12" ht="12.95" customHeight="1" x14ac:dyDescent="0.2">
      <c r="A21" s="365" t="s">
        <v>918</v>
      </c>
      <c r="B21" s="364" t="s">
        <v>256</v>
      </c>
      <c r="C21" s="737"/>
      <c r="D21" s="735"/>
      <c r="E21" s="735"/>
      <c r="F21" s="735"/>
      <c r="G21" s="364" t="s">
        <v>106</v>
      </c>
      <c r="H21" s="737">
        <f>'1.1.sz.mell.'!C107</f>
        <v>0</v>
      </c>
      <c r="I21" s="735"/>
      <c r="J21" s="750"/>
      <c r="K21" s="750"/>
      <c r="L21" s="1328"/>
    </row>
    <row r="22" spans="1:12" ht="12.95" customHeight="1" x14ac:dyDescent="0.2">
      <c r="A22" s="365" t="s">
        <v>919</v>
      </c>
      <c r="B22" s="364" t="s">
        <v>321</v>
      </c>
      <c r="C22" s="737"/>
      <c r="D22" s="735"/>
      <c r="E22" s="735"/>
      <c r="F22" s="735"/>
      <c r="G22" s="364" t="s">
        <v>107</v>
      </c>
      <c r="H22" s="737"/>
      <c r="I22" s="735"/>
      <c r="J22" s="750"/>
      <c r="K22" s="750"/>
      <c r="L22" s="1328"/>
    </row>
    <row r="23" spans="1:12" ht="12.95" customHeight="1" x14ac:dyDescent="0.2">
      <c r="A23" s="365" t="s">
        <v>920</v>
      </c>
      <c r="B23" s="364" t="s">
        <v>322</v>
      </c>
      <c r="C23" s="737"/>
      <c r="D23" s="735"/>
      <c r="E23" s="735"/>
      <c r="F23" s="735"/>
      <c r="G23" s="363" t="s">
        <v>329</v>
      </c>
      <c r="H23" s="737"/>
      <c r="I23" s="735"/>
      <c r="J23" s="750"/>
      <c r="K23" s="750"/>
      <c r="L23" s="1328"/>
    </row>
    <row r="24" spans="1:12" ht="12.95" customHeight="1" x14ac:dyDescent="0.2">
      <c r="A24" s="365" t="s">
        <v>921</v>
      </c>
      <c r="B24" s="364" t="s">
        <v>323</v>
      </c>
      <c r="C24" s="755">
        <f>+C25+C26</f>
        <v>0</v>
      </c>
      <c r="D24" s="741">
        <f>+D25+D26</f>
        <v>0</v>
      </c>
      <c r="E24" s="741">
        <f>+E25+E26</f>
        <v>0</v>
      </c>
      <c r="F24" s="741">
        <f>+F25+F26</f>
        <v>0</v>
      </c>
      <c r="G24" s="364" t="s">
        <v>179</v>
      </c>
      <c r="H24" s="737"/>
      <c r="I24" s="735"/>
      <c r="J24" s="750"/>
      <c r="K24" s="750"/>
      <c r="L24" s="1328"/>
    </row>
    <row r="25" spans="1:12" ht="12.95" customHeight="1" x14ac:dyDescent="0.2">
      <c r="A25" s="362" t="s">
        <v>922</v>
      </c>
      <c r="B25" s="363" t="s">
        <v>324</v>
      </c>
      <c r="C25" s="747"/>
      <c r="D25" s="742"/>
      <c r="E25" s="742"/>
      <c r="F25" s="742"/>
      <c r="G25" s="357" t="s">
        <v>180</v>
      </c>
      <c r="H25" s="747"/>
      <c r="I25" s="742"/>
      <c r="J25" s="752"/>
      <c r="K25" s="752"/>
      <c r="L25" s="1328"/>
    </row>
    <row r="26" spans="1:12" ht="12.95" customHeight="1" thickBot="1" x14ac:dyDescent="0.25">
      <c r="A26" s="365" t="s">
        <v>923</v>
      </c>
      <c r="B26" s="364" t="s">
        <v>265</v>
      </c>
      <c r="C26" s="737"/>
      <c r="D26" s="735"/>
      <c r="E26" s="735"/>
      <c r="F26" s="735"/>
      <c r="G26" s="49" t="s">
        <v>1209</v>
      </c>
      <c r="H26" s="737"/>
      <c r="I26" s="735"/>
      <c r="J26" s="750"/>
      <c r="K26" s="750">
        <v>5704</v>
      </c>
      <c r="L26" s="1328"/>
    </row>
    <row r="27" spans="1:12" ht="21.75" thickBot="1" x14ac:dyDescent="0.25">
      <c r="A27" s="361" t="s">
        <v>924</v>
      </c>
      <c r="B27" s="136" t="s">
        <v>339</v>
      </c>
      <c r="C27" s="746">
        <f>+C19+C24</f>
        <v>26281</v>
      </c>
      <c r="D27" s="593">
        <f>+D19+D24</f>
        <v>41596</v>
      </c>
      <c r="E27" s="593">
        <f>+E19+E24</f>
        <v>0</v>
      </c>
      <c r="F27" s="593">
        <f>+F19+F24</f>
        <v>42764</v>
      </c>
      <c r="G27" s="136" t="s">
        <v>340</v>
      </c>
      <c r="H27" s="746">
        <f>SUM(H19:H26)</f>
        <v>0</v>
      </c>
      <c r="I27" s="593">
        <f>SUM(I19:I26)</f>
        <v>0</v>
      </c>
      <c r="J27" s="368">
        <f>SUM(J19:J26)</f>
        <v>0</v>
      </c>
      <c r="K27" s="368">
        <f>SUM(K19:K26)</f>
        <v>5704</v>
      </c>
      <c r="L27" s="1328"/>
    </row>
    <row r="28" spans="1:12" ht="24.75" thickBot="1" x14ac:dyDescent="0.25">
      <c r="A28" s="361" t="s">
        <v>925</v>
      </c>
      <c r="B28" s="366" t="s">
        <v>327</v>
      </c>
      <c r="C28" s="746">
        <f>+C18+C27</f>
        <v>281951</v>
      </c>
      <c r="D28" s="593">
        <f>+D18+D27</f>
        <v>318693</v>
      </c>
      <c r="E28" s="593">
        <f>+E18+E27</f>
        <v>272344</v>
      </c>
      <c r="F28" s="593">
        <f>+F18+F27</f>
        <v>295768</v>
      </c>
      <c r="G28" s="366" t="s">
        <v>330</v>
      </c>
      <c r="H28" s="746">
        <f>+H18+H27</f>
        <v>262638</v>
      </c>
      <c r="I28" s="593">
        <f>+I18+I27</f>
        <v>318693</v>
      </c>
      <c r="J28" s="368">
        <f>+J18+J27</f>
        <v>272344</v>
      </c>
      <c r="K28" s="368">
        <f>+K18+K27</f>
        <v>295768</v>
      </c>
      <c r="L28" s="1328"/>
    </row>
    <row r="29" spans="1:12" ht="18" customHeight="1" thickBot="1" x14ac:dyDescent="0.25">
      <c r="A29" s="361" t="s">
        <v>926</v>
      </c>
      <c r="B29" s="136" t="s">
        <v>325</v>
      </c>
      <c r="C29" s="748"/>
      <c r="D29" s="743">
        <f>'1.1.sz.mell.'!D66</f>
        <v>0</v>
      </c>
      <c r="E29" s="743"/>
      <c r="F29" s="743"/>
      <c r="G29" s="136" t="s">
        <v>331</v>
      </c>
      <c r="H29" s="748"/>
      <c r="I29" s="743">
        <f>'1.1.sz.mell.'!D122</f>
        <v>0</v>
      </c>
      <c r="J29" s="753"/>
      <c r="K29" s="753"/>
      <c r="L29" s="1328"/>
    </row>
    <row r="30" spans="1:12" ht="13.5" thickBot="1" x14ac:dyDescent="0.25">
      <c r="A30" s="361" t="s">
        <v>927</v>
      </c>
      <c r="B30" s="367" t="s">
        <v>326</v>
      </c>
      <c r="C30" s="591">
        <f>+C28+C29</f>
        <v>281951</v>
      </c>
      <c r="D30" s="593">
        <f>+D28+D29</f>
        <v>318693</v>
      </c>
      <c r="E30" s="593">
        <f>+E28+E29</f>
        <v>272344</v>
      </c>
      <c r="F30" s="593">
        <f>+F28+F29</f>
        <v>295768</v>
      </c>
      <c r="G30" s="367" t="s">
        <v>332</v>
      </c>
      <c r="H30" s="591">
        <f>+H28+H29</f>
        <v>262638</v>
      </c>
      <c r="I30" s="593">
        <f>+I28+I29</f>
        <v>318693</v>
      </c>
      <c r="J30" s="368">
        <f>+J28+J29</f>
        <v>272344</v>
      </c>
      <c r="K30" s="368">
        <f>+K28+K29</f>
        <v>295768</v>
      </c>
      <c r="L30" s="1328"/>
    </row>
    <row r="31" spans="1:12" ht="13.5" thickBot="1" x14ac:dyDescent="0.25">
      <c r="A31" s="361" t="s">
        <v>928</v>
      </c>
      <c r="B31" s="367" t="s">
        <v>122</v>
      </c>
      <c r="C31" s="591">
        <v>0</v>
      </c>
      <c r="D31" s="593" t="str">
        <f>IF(D18-L18&lt;0,L18-D18,"-")</f>
        <v>-</v>
      </c>
      <c r="E31" s="593" t="str">
        <f>IF(E18-M18&lt;0,M18-E18,"-")</f>
        <v>-</v>
      </c>
      <c r="F31" s="593" t="str">
        <f>IF(F18-N18&lt;0,N18-F18,"-")</f>
        <v>-</v>
      </c>
      <c r="G31" s="367" t="s">
        <v>123</v>
      </c>
      <c r="H31" s="591" t="str">
        <f>IF(C18-H18&gt;0,C18-H18,"-")</f>
        <v>-</v>
      </c>
      <c r="I31" s="593" t="str">
        <f>IF(D18-I18&gt;0,D18-I18,"-")</f>
        <v>-</v>
      </c>
      <c r="J31" s="368" t="str">
        <f>IF(E18-J18&gt;0,E18-J18,"-")</f>
        <v>-</v>
      </c>
      <c r="K31" s="368" t="str">
        <f>IF(F18-K18&gt;0,F18-K18,"-")</f>
        <v>-</v>
      </c>
      <c r="L31" s="1328"/>
    </row>
    <row r="32" spans="1:12" ht="13.5" thickBot="1" x14ac:dyDescent="0.25">
      <c r="A32" s="361" t="s">
        <v>929</v>
      </c>
      <c r="B32" s="367" t="s">
        <v>333</v>
      </c>
      <c r="C32" s="591" t="str">
        <f>IF(C18+C19-H28&lt;0,H28-(C18+C19),"-")</f>
        <v>-</v>
      </c>
      <c r="D32" s="593" t="str">
        <f>IF(D18+D19-L28&lt;0,L28-(D18+D19),"-")</f>
        <v>-</v>
      </c>
      <c r="E32" s="593" t="str">
        <f>IF(E18+E19-M28&lt;0,M28-(E18+E19),"-")</f>
        <v>-</v>
      </c>
      <c r="F32" s="593" t="str">
        <f>IF(F18+F19-N28&lt;0,N28-(F18+F19),"-")</f>
        <v>-</v>
      </c>
      <c r="G32" s="367" t="s">
        <v>334</v>
      </c>
      <c r="H32" s="591">
        <f>IF(C18+C19-H28&gt;0,C18+C19-H28,"-")</f>
        <v>19313</v>
      </c>
      <c r="I32" s="593" t="str">
        <f>IF(D18+D19-I28&gt;0,D18+D19-I28,"-")</f>
        <v>-</v>
      </c>
      <c r="J32" s="593" t="str">
        <f>IF(E18+E19-J28&gt;0,E18+E19-J28,"-")</f>
        <v>-</v>
      </c>
      <c r="K32" s="593" t="str">
        <f>IF(F18+F19-K28&gt;0,F18+F19-K28,"-")</f>
        <v>-</v>
      </c>
      <c r="L32" s="1328"/>
    </row>
  </sheetData>
  <mergeCells count="2">
    <mergeCell ref="A3:A4"/>
    <mergeCell ref="L1:L3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3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topLeftCell="F1" zoomScale="115" zoomScaleSheetLayoutView="115" workbookViewId="0">
      <selection activeCell="L1" sqref="L1:L36"/>
    </sheetView>
  </sheetViews>
  <sheetFormatPr defaultColWidth="9.33203125" defaultRowHeight="12.75" x14ac:dyDescent="0.2"/>
  <cols>
    <col min="1" max="1" width="6.83203125" style="56" customWidth="1"/>
    <col min="2" max="2" width="50.83203125" style="205" customWidth="1"/>
    <col min="3" max="4" width="13.33203125" style="729" hidden="1" customWidth="1"/>
    <col min="5" max="6" width="13.33203125" style="729" customWidth="1"/>
    <col min="7" max="7" width="50.83203125" style="56" customWidth="1"/>
    <col min="8" max="9" width="13.33203125" style="729" hidden="1" customWidth="1"/>
    <col min="10" max="11" width="13.33203125" style="729" customWidth="1"/>
    <col min="12" max="12" width="4.83203125" style="56" customWidth="1"/>
    <col min="13" max="16384" width="9.33203125" style="56"/>
  </cols>
  <sheetData>
    <row r="1" spans="1:12" ht="31.5" x14ac:dyDescent="0.2">
      <c r="B1" s="349" t="s">
        <v>110</v>
      </c>
      <c r="C1" s="719"/>
      <c r="D1" s="719"/>
      <c r="E1" s="719"/>
      <c r="F1" s="719"/>
      <c r="G1" s="350"/>
      <c r="H1" s="719"/>
      <c r="I1" s="719"/>
      <c r="J1" s="719"/>
      <c r="K1" s="719"/>
      <c r="L1" s="1327" t="s">
        <v>1217</v>
      </c>
    </row>
    <row r="2" spans="1:12" ht="14.25" thickBot="1" x14ac:dyDescent="0.25">
      <c r="H2" s="720"/>
      <c r="I2" s="720" t="s">
        <v>11</v>
      </c>
      <c r="J2" s="720"/>
      <c r="K2" s="720"/>
      <c r="L2" s="1328"/>
    </row>
    <row r="3" spans="1:12" ht="13.5" thickBot="1" x14ac:dyDescent="0.25">
      <c r="A3" s="1329" t="s">
        <v>17</v>
      </c>
      <c r="B3" s="351" t="s">
        <v>945</v>
      </c>
      <c r="C3" s="730"/>
      <c r="D3" s="730"/>
      <c r="E3" s="731"/>
      <c r="F3" s="731"/>
      <c r="G3" s="351" t="s">
        <v>1</v>
      </c>
      <c r="H3" s="721"/>
      <c r="I3" s="721"/>
      <c r="J3" s="721"/>
      <c r="K3" s="721"/>
      <c r="L3" s="1328"/>
    </row>
    <row r="4" spans="1:12" s="352" customFormat="1" ht="26.25" thickBot="1" x14ac:dyDescent="0.25">
      <c r="A4" s="1330"/>
      <c r="B4" s="206" t="s">
        <v>12</v>
      </c>
      <c r="C4" s="723" t="s">
        <v>1085</v>
      </c>
      <c r="D4" s="723" t="s">
        <v>1086</v>
      </c>
      <c r="E4" s="723" t="s">
        <v>1206</v>
      </c>
      <c r="F4" s="732" t="s">
        <v>1196</v>
      </c>
      <c r="G4" s="206" t="s">
        <v>12</v>
      </c>
      <c r="H4" s="723" t="s">
        <v>1085</v>
      </c>
      <c r="I4" s="723" t="s">
        <v>1086</v>
      </c>
      <c r="J4" s="723" t="s">
        <v>1206</v>
      </c>
      <c r="K4" s="1210" t="s">
        <v>1196</v>
      </c>
      <c r="L4" s="1328"/>
    </row>
    <row r="5" spans="1:12" s="1237" customFormat="1" thickBot="1" x14ac:dyDescent="0.25">
      <c r="A5" s="1231" t="s">
        <v>903</v>
      </c>
      <c r="B5" s="1232" t="s">
        <v>904</v>
      </c>
      <c r="C5" s="1233" t="s">
        <v>905</v>
      </c>
      <c r="D5" s="1233" t="s">
        <v>906</v>
      </c>
      <c r="E5" s="1234" t="s">
        <v>905</v>
      </c>
      <c r="F5" s="1234" t="s">
        <v>906</v>
      </c>
      <c r="G5" s="1232" t="s">
        <v>907</v>
      </c>
      <c r="H5" s="1235" t="s">
        <v>909</v>
      </c>
      <c r="I5" s="1233">
        <v>8</v>
      </c>
      <c r="J5" s="1236" t="s">
        <v>908</v>
      </c>
      <c r="K5" s="1236" t="s">
        <v>909</v>
      </c>
      <c r="L5" s="1328"/>
    </row>
    <row r="6" spans="1:12" x14ac:dyDescent="0.2">
      <c r="A6" s="356" t="s">
        <v>903</v>
      </c>
      <c r="B6" s="357" t="s">
        <v>369</v>
      </c>
      <c r="C6" s="733">
        <v>7184</v>
      </c>
      <c r="D6" s="733"/>
      <c r="E6" s="733"/>
      <c r="F6" s="733"/>
      <c r="G6" s="357" t="s">
        <v>280</v>
      </c>
      <c r="H6" s="744">
        <f>'1.1.sz.mell.'!C88</f>
        <v>14406</v>
      </c>
      <c r="I6" s="733">
        <f>'1.1.sz.mell.'!D88</f>
        <v>10099</v>
      </c>
      <c r="J6" s="725">
        <f>'1.1.sz.mell.'!E88</f>
        <v>9602</v>
      </c>
      <c r="K6" s="725">
        <f>'1.1.sz.mell.'!F88</f>
        <v>25576</v>
      </c>
      <c r="L6" s="1328"/>
    </row>
    <row r="7" spans="1:12" ht="22.5" x14ac:dyDescent="0.2">
      <c r="A7" s="358" t="s">
        <v>904</v>
      </c>
      <c r="B7" s="359" t="s">
        <v>343</v>
      </c>
      <c r="C7" s="735">
        <f>'1.1.sz.mell.'!C48</f>
        <v>0</v>
      </c>
      <c r="D7" s="735">
        <f>'1.1.sz.mell.'!D48</f>
        <v>414</v>
      </c>
      <c r="E7" s="735">
        <f>'1.1.sz.mell.'!E48</f>
        <v>0</v>
      </c>
      <c r="F7" s="735">
        <f>'1.1.sz.mell.'!F48</f>
        <v>0</v>
      </c>
      <c r="G7" s="359" t="s">
        <v>168</v>
      </c>
      <c r="H7" s="737">
        <f>'1.1.sz.mell.'!C89</f>
        <v>3307</v>
      </c>
      <c r="I7" s="735">
        <f>'1.1.sz.mell.'!D89</f>
        <v>8076</v>
      </c>
      <c r="J7" s="726">
        <f>'1.1.sz.mell.'!E89</f>
        <v>36867</v>
      </c>
      <c r="K7" s="726">
        <f>'1.1.sz.mell.'!F89</f>
        <v>26670</v>
      </c>
      <c r="L7" s="1328"/>
    </row>
    <row r="8" spans="1:12" x14ac:dyDescent="0.2">
      <c r="A8" s="358" t="s">
        <v>905</v>
      </c>
      <c r="B8" s="359" t="s">
        <v>104</v>
      </c>
      <c r="C8" s="735"/>
      <c r="D8" s="735"/>
      <c r="E8" s="735"/>
      <c r="F8" s="735"/>
      <c r="G8" s="359" t="s">
        <v>311</v>
      </c>
      <c r="H8" s="737"/>
      <c r="I8" s="735"/>
      <c r="J8" s="726"/>
      <c r="K8" s="726">
        <f>SUM(K9:K14)</f>
        <v>2053</v>
      </c>
      <c r="L8" s="1328"/>
    </row>
    <row r="9" spans="1:12" ht="15" customHeight="1" x14ac:dyDescent="0.2">
      <c r="A9" s="358" t="s">
        <v>906</v>
      </c>
      <c r="B9" s="359" t="s">
        <v>151</v>
      </c>
      <c r="C9" s="735"/>
      <c r="D9" s="735"/>
      <c r="E9" s="735"/>
      <c r="F9" s="735"/>
      <c r="G9" s="359" t="s">
        <v>350</v>
      </c>
      <c r="H9" s="737"/>
      <c r="I9" s="735"/>
      <c r="J9" s="726"/>
      <c r="K9" s="726"/>
      <c r="L9" s="1328"/>
    </row>
    <row r="10" spans="1:12" ht="15" customHeight="1" x14ac:dyDescent="0.2">
      <c r="A10" s="358" t="s">
        <v>907</v>
      </c>
      <c r="B10" s="359" t="s">
        <v>242</v>
      </c>
      <c r="C10" s="735"/>
      <c r="D10" s="735"/>
      <c r="E10" s="735"/>
      <c r="F10" s="735"/>
      <c r="G10" s="359" t="s">
        <v>351</v>
      </c>
      <c r="H10" s="737"/>
      <c r="I10" s="735"/>
      <c r="J10" s="726"/>
      <c r="K10" s="726">
        <f>'9. sz. mell'!G82</f>
        <v>209</v>
      </c>
      <c r="L10" s="1328"/>
    </row>
    <row r="11" spans="1:12" x14ac:dyDescent="0.2">
      <c r="A11" s="358" t="s">
        <v>908</v>
      </c>
      <c r="B11" s="359" t="s">
        <v>344</v>
      </c>
      <c r="C11" s="737"/>
      <c r="D11" s="737"/>
      <c r="E11" s="735"/>
      <c r="F11" s="735"/>
      <c r="G11" s="371" t="s">
        <v>352</v>
      </c>
      <c r="H11" s="737"/>
      <c r="I11" s="735"/>
      <c r="J11" s="726"/>
      <c r="K11" s="726"/>
      <c r="L11" s="1328"/>
    </row>
    <row r="12" spans="1:12" x14ac:dyDescent="0.2">
      <c r="A12" s="358" t="s">
        <v>909</v>
      </c>
      <c r="B12" s="359" t="s">
        <v>345</v>
      </c>
      <c r="C12" s="735"/>
      <c r="D12" s="735"/>
      <c r="E12" s="735"/>
      <c r="F12" s="735"/>
      <c r="G12" s="371" t="s">
        <v>284</v>
      </c>
      <c r="H12" s="737"/>
      <c r="I12" s="735"/>
      <c r="J12" s="726"/>
      <c r="K12" s="726"/>
      <c r="L12" s="1328"/>
    </row>
    <row r="13" spans="1:12" x14ac:dyDescent="0.2">
      <c r="A13" s="358" t="s">
        <v>910</v>
      </c>
      <c r="B13" s="359" t="s">
        <v>348</v>
      </c>
      <c r="C13" s="735">
        <f>'1.1.sz.mell.'!C37</f>
        <v>1453</v>
      </c>
      <c r="D13" s="735">
        <f>'1.1.sz.mell.'!D37</f>
        <v>15761</v>
      </c>
      <c r="E13" s="735">
        <f>'1.1.sz.mell.'!E37</f>
        <v>12015</v>
      </c>
      <c r="F13" s="735">
        <f>'1.1.sz.mell.'!F37</f>
        <v>12015</v>
      </c>
      <c r="G13" s="372" t="s">
        <v>285</v>
      </c>
      <c r="H13" s="737"/>
      <c r="I13" s="735"/>
      <c r="J13" s="726"/>
      <c r="K13" s="726"/>
      <c r="L13" s="1328"/>
    </row>
    <row r="14" spans="1:12" ht="15" customHeight="1" x14ac:dyDescent="0.2">
      <c r="A14" s="358" t="s">
        <v>911</v>
      </c>
      <c r="B14" s="373" t="s">
        <v>367</v>
      </c>
      <c r="C14" s="737">
        <v>1453</v>
      </c>
      <c r="D14" s="737"/>
      <c r="E14" s="735">
        <v>5532</v>
      </c>
      <c r="F14" s="735">
        <v>5532</v>
      </c>
      <c r="G14" s="371" t="s">
        <v>353</v>
      </c>
      <c r="H14" s="737"/>
      <c r="I14" s="735"/>
      <c r="J14" s="726"/>
      <c r="K14" s="726">
        <v>1844</v>
      </c>
      <c r="L14" s="1328"/>
    </row>
    <row r="15" spans="1:12" ht="29.25" customHeight="1" x14ac:dyDescent="0.2">
      <c r="A15" s="358" t="s">
        <v>912</v>
      </c>
      <c r="B15" s="359" t="s">
        <v>346</v>
      </c>
      <c r="C15" s="737">
        <v>1037</v>
      </c>
      <c r="D15" s="737"/>
      <c r="E15" s="735"/>
      <c r="F15" s="735"/>
      <c r="G15" s="371" t="s">
        <v>354</v>
      </c>
      <c r="H15" s="737"/>
      <c r="I15" s="735"/>
      <c r="J15" s="726"/>
      <c r="K15" s="726"/>
      <c r="L15" s="1328"/>
    </row>
    <row r="16" spans="1:12" x14ac:dyDescent="0.2">
      <c r="A16" s="358" t="s">
        <v>913</v>
      </c>
      <c r="B16" s="359" t="s">
        <v>347</v>
      </c>
      <c r="C16" s="737"/>
      <c r="D16" s="737"/>
      <c r="E16" s="735"/>
      <c r="F16" s="735"/>
      <c r="G16" s="359" t="s">
        <v>935</v>
      </c>
      <c r="H16" s="737"/>
      <c r="I16" s="735">
        <v>2817</v>
      </c>
      <c r="J16" s="726"/>
      <c r="K16" s="726">
        <f>'9. sz. mell'!G91</f>
        <v>21425</v>
      </c>
      <c r="L16" s="1328"/>
    </row>
    <row r="17" spans="1:12" ht="13.5" thickBot="1" x14ac:dyDescent="0.25">
      <c r="A17" s="434" t="s">
        <v>914</v>
      </c>
      <c r="B17" s="435" t="s">
        <v>834</v>
      </c>
      <c r="C17" s="747">
        <v>12762</v>
      </c>
      <c r="D17" s="747"/>
      <c r="E17" s="742">
        <v>34454</v>
      </c>
      <c r="F17" s="742">
        <f>40082+5986</f>
        <v>46068</v>
      </c>
      <c r="G17" s="435" t="s">
        <v>898</v>
      </c>
      <c r="H17" s="747"/>
      <c r="I17" s="742">
        <v>1858</v>
      </c>
      <c r="J17" s="727"/>
      <c r="K17" s="727"/>
      <c r="L17" s="1328"/>
    </row>
    <row r="18" spans="1:12" ht="13.5" thickBot="1" x14ac:dyDescent="0.25">
      <c r="A18" s="361" t="s">
        <v>915</v>
      </c>
      <c r="B18" s="136" t="s">
        <v>94</v>
      </c>
      <c r="C18" s="593">
        <f>+C6+C7+C8+C9+C10+C11+C12+C13+C15+C16+C17</f>
        <v>22436</v>
      </c>
      <c r="D18" s="593">
        <f>+D6+D7+D8+D9+D10+D11+D12+D13+D15+D16+D17</f>
        <v>16175</v>
      </c>
      <c r="E18" s="593">
        <f>+E6+E7+E8+E9+E10+E11+E12+E13+E15+E16+E17</f>
        <v>46469</v>
      </c>
      <c r="F18" s="593">
        <f>+F6+F7+F8+F9+F10+F11+F12+F13+F15+F16+F17</f>
        <v>58083</v>
      </c>
      <c r="G18" s="136" t="s">
        <v>95</v>
      </c>
      <c r="H18" s="746">
        <f>+H6+H7+H8+H16+H17</f>
        <v>17713</v>
      </c>
      <c r="I18" s="593">
        <f>+I6+I7+I8+I16+I17</f>
        <v>22850</v>
      </c>
      <c r="J18" s="592">
        <f>+J6+J7+J8+J16+J17</f>
        <v>46469</v>
      </c>
      <c r="K18" s="592">
        <f>+K6+K7+K8+K16+K17</f>
        <v>75724</v>
      </c>
      <c r="L18" s="1328"/>
    </row>
    <row r="19" spans="1:12" x14ac:dyDescent="0.2">
      <c r="A19" s="374" t="s">
        <v>916</v>
      </c>
      <c r="B19" s="375" t="s">
        <v>366</v>
      </c>
      <c r="C19" s="756">
        <f>+C20+C21+C22+C23+C24</f>
        <v>26316</v>
      </c>
      <c r="D19" s="756">
        <f>+D20+D21+D22+D23+D24</f>
        <v>6675</v>
      </c>
      <c r="E19" s="757"/>
      <c r="F19" s="757">
        <f>SUM(F20:F24)</f>
        <v>17641</v>
      </c>
      <c r="G19" s="364" t="s">
        <v>177</v>
      </c>
      <c r="H19" s="744">
        <v>11</v>
      </c>
      <c r="I19" s="733"/>
      <c r="J19" s="725"/>
      <c r="K19" s="725"/>
      <c r="L19" s="1328"/>
    </row>
    <row r="20" spans="1:12" x14ac:dyDescent="0.2">
      <c r="A20" s="358" t="s">
        <v>917</v>
      </c>
      <c r="B20" s="376" t="s">
        <v>355</v>
      </c>
      <c r="C20" s="735">
        <v>26316</v>
      </c>
      <c r="D20" s="735">
        <v>6675</v>
      </c>
      <c r="E20" s="736"/>
      <c r="F20" s="736">
        <f>1844+15797</f>
        <v>17641</v>
      </c>
      <c r="G20" s="364" t="s">
        <v>181</v>
      </c>
      <c r="H20" s="737"/>
      <c r="I20" s="735"/>
      <c r="J20" s="726"/>
      <c r="K20" s="726"/>
      <c r="L20" s="1328"/>
    </row>
    <row r="21" spans="1:12" x14ac:dyDescent="0.2">
      <c r="A21" s="374" t="s">
        <v>918</v>
      </c>
      <c r="B21" s="376" t="s">
        <v>356</v>
      </c>
      <c r="C21" s="735"/>
      <c r="D21" s="735"/>
      <c r="E21" s="736"/>
      <c r="F21" s="736"/>
      <c r="G21" s="364" t="s">
        <v>106</v>
      </c>
      <c r="H21" s="737"/>
      <c r="I21" s="735"/>
      <c r="J21" s="726"/>
      <c r="K21" s="726"/>
      <c r="L21" s="1328"/>
    </row>
    <row r="22" spans="1:12" x14ac:dyDescent="0.2">
      <c r="A22" s="358" t="s">
        <v>919</v>
      </c>
      <c r="B22" s="376" t="s">
        <v>357</v>
      </c>
      <c r="C22" s="735"/>
      <c r="D22" s="735"/>
      <c r="E22" s="736"/>
      <c r="F22" s="736"/>
      <c r="G22" s="364" t="s">
        <v>107</v>
      </c>
      <c r="H22" s="737">
        <f>'1.1.sz.mell.'!C114</f>
        <v>0</v>
      </c>
      <c r="I22" s="735"/>
      <c r="J22" s="726"/>
      <c r="K22" s="726"/>
      <c r="L22" s="1328"/>
    </row>
    <row r="23" spans="1:12" x14ac:dyDescent="0.2">
      <c r="A23" s="374" t="s">
        <v>920</v>
      </c>
      <c r="B23" s="376" t="s">
        <v>358</v>
      </c>
      <c r="C23" s="735"/>
      <c r="D23" s="735"/>
      <c r="E23" s="740"/>
      <c r="F23" s="740"/>
      <c r="G23" s="363" t="s">
        <v>329</v>
      </c>
      <c r="H23" s="737"/>
      <c r="I23" s="735"/>
      <c r="J23" s="726"/>
      <c r="K23" s="726"/>
      <c r="L23" s="1328"/>
    </row>
    <row r="24" spans="1:12" x14ac:dyDescent="0.2">
      <c r="A24" s="358" t="s">
        <v>921</v>
      </c>
      <c r="B24" s="377" t="s">
        <v>359</v>
      </c>
      <c r="C24" s="735"/>
      <c r="D24" s="735"/>
      <c r="E24" s="736"/>
      <c r="F24" s="736"/>
      <c r="G24" s="364" t="s">
        <v>182</v>
      </c>
      <c r="H24" s="737"/>
      <c r="I24" s="735"/>
      <c r="J24" s="726"/>
      <c r="K24" s="726"/>
      <c r="L24" s="1328"/>
    </row>
    <row r="25" spans="1:12" x14ac:dyDescent="0.2">
      <c r="A25" s="374" t="s">
        <v>922</v>
      </c>
      <c r="B25" s="378" t="s">
        <v>360</v>
      </c>
      <c r="C25" s="741">
        <f>+C26+C27+C28+C29+C30</f>
        <v>0</v>
      </c>
      <c r="D25" s="741">
        <f>+D26+D27+D28+D29+D30</f>
        <v>0</v>
      </c>
      <c r="E25" s="757"/>
      <c r="F25" s="757"/>
      <c r="G25" s="379" t="s">
        <v>180</v>
      </c>
      <c r="H25" s="737"/>
      <c r="I25" s="735"/>
      <c r="J25" s="726"/>
      <c r="K25" s="726"/>
      <c r="L25" s="1328"/>
    </row>
    <row r="26" spans="1:12" x14ac:dyDescent="0.2">
      <c r="A26" s="358" t="s">
        <v>923</v>
      </c>
      <c r="B26" s="377" t="s">
        <v>361</v>
      </c>
      <c r="C26" s="735">
        <f>'1.1.sz.mell.'!C60</f>
        <v>0</v>
      </c>
      <c r="D26" s="735"/>
      <c r="E26" s="734"/>
      <c r="F26" s="734"/>
      <c r="G26" s="379" t="s">
        <v>368</v>
      </c>
      <c r="H26" s="737"/>
      <c r="I26" s="735"/>
      <c r="J26" s="726"/>
      <c r="K26" s="726"/>
      <c r="L26" s="1328"/>
    </row>
    <row r="27" spans="1:12" x14ac:dyDescent="0.2">
      <c r="A27" s="374" t="s">
        <v>924</v>
      </c>
      <c r="B27" s="377" t="s">
        <v>362</v>
      </c>
      <c r="C27" s="735"/>
      <c r="D27" s="735"/>
      <c r="E27" s="734"/>
      <c r="F27" s="734"/>
      <c r="G27" s="370"/>
      <c r="H27" s="737"/>
      <c r="I27" s="735"/>
      <c r="J27" s="726"/>
      <c r="K27" s="726"/>
      <c r="L27" s="1328"/>
    </row>
    <row r="28" spans="1:12" x14ac:dyDescent="0.2">
      <c r="A28" s="358" t="s">
        <v>925</v>
      </c>
      <c r="B28" s="376" t="s">
        <v>363</v>
      </c>
      <c r="C28" s="735"/>
      <c r="D28" s="735"/>
      <c r="E28" s="734"/>
      <c r="F28" s="734"/>
      <c r="G28" s="133"/>
      <c r="H28" s="737"/>
      <c r="I28" s="735"/>
      <c r="J28" s="726"/>
      <c r="K28" s="726"/>
      <c r="L28" s="1328"/>
    </row>
    <row r="29" spans="1:12" x14ac:dyDescent="0.2">
      <c r="A29" s="374" t="s">
        <v>926</v>
      </c>
      <c r="B29" s="380" t="s">
        <v>364</v>
      </c>
      <c r="C29" s="735"/>
      <c r="D29" s="735"/>
      <c r="E29" s="736"/>
      <c r="F29" s="736"/>
      <c r="G29" s="49"/>
      <c r="H29" s="737"/>
      <c r="I29" s="735"/>
      <c r="J29" s="726"/>
      <c r="K29" s="726"/>
      <c r="L29" s="1328"/>
    </row>
    <row r="30" spans="1:12" ht="13.5" thickBot="1" x14ac:dyDescent="0.25">
      <c r="A30" s="358" t="s">
        <v>927</v>
      </c>
      <c r="B30" s="381" t="s">
        <v>365</v>
      </c>
      <c r="C30" s="735"/>
      <c r="D30" s="735"/>
      <c r="E30" s="734"/>
      <c r="F30" s="734"/>
      <c r="G30" s="133"/>
      <c r="H30" s="737"/>
      <c r="I30" s="735"/>
      <c r="J30" s="726"/>
      <c r="K30" s="726"/>
      <c r="L30" s="1328"/>
    </row>
    <row r="31" spans="1:12" ht="21.75" thickBot="1" x14ac:dyDescent="0.25">
      <c r="A31" s="361" t="s">
        <v>928</v>
      </c>
      <c r="B31" s="136" t="s">
        <v>413</v>
      </c>
      <c r="C31" s="593">
        <f>+C19+C25</f>
        <v>26316</v>
      </c>
      <c r="D31" s="593">
        <f>+D19+D25</f>
        <v>6675</v>
      </c>
      <c r="E31" s="593">
        <f>+E19+E25</f>
        <v>0</v>
      </c>
      <c r="F31" s="593">
        <f>+F19+F25</f>
        <v>17641</v>
      </c>
      <c r="G31" s="136" t="s">
        <v>414</v>
      </c>
      <c r="H31" s="746">
        <f>SUM(H19:H30)</f>
        <v>11</v>
      </c>
      <c r="I31" s="593">
        <f>SUM(I19:I30)</f>
        <v>0</v>
      </c>
      <c r="J31" s="592">
        <f>SUM(J19:J30)</f>
        <v>0</v>
      </c>
      <c r="K31" s="592">
        <f>SUM(K19:K30)</f>
        <v>0</v>
      </c>
      <c r="L31" s="1328"/>
    </row>
    <row r="32" spans="1:12" ht="24.75" thickBot="1" x14ac:dyDescent="0.25">
      <c r="A32" s="361" t="s">
        <v>929</v>
      </c>
      <c r="B32" s="366" t="s">
        <v>411</v>
      </c>
      <c r="C32" s="593">
        <f>+C18+C31</f>
        <v>48752</v>
      </c>
      <c r="D32" s="593">
        <f>+D18+D31</f>
        <v>22850</v>
      </c>
      <c r="E32" s="593">
        <f>+E18+E31</f>
        <v>46469</v>
      </c>
      <c r="F32" s="593">
        <f>+F18+F31</f>
        <v>75724</v>
      </c>
      <c r="G32" s="366" t="s">
        <v>415</v>
      </c>
      <c r="H32" s="746">
        <f>+H18+H31</f>
        <v>17724</v>
      </c>
      <c r="I32" s="593">
        <f>+I18+I31</f>
        <v>22850</v>
      </c>
      <c r="J32" s="592">
        <f>+J18+J31</f>
        <v>46469</v>
      </c>
      <c r="K32" s="592">
        <f>+K18+K31</f>
        <v>75724</v>
      </c>
      <c r="L32" s="1328"/>
    </row>
    <row r="33" spans="1:12" ht="13.5" thickBot="1" x14ac:dyDescent="0.25">
      <c r="A33" s="361" t="s">
        <v>930</v>
      </c>
      <c r="B33" s="136" t="s">
        <v>325</v>
      </c>
      <c r="C33" s="743">
        <v>341</v>
      </c>
      <c r="D33" s="743"/>
      <c r="E33" s="743"/>
      <c r="F33" s="743"/>
      <c r="G33" s="136" t="s">
        <v>331</v>
      </c>
      <c r="H33" s="748">
        <v>6015</v>
      </c>
      <c r="I33" s="743"/>
      <c r="J33" s="728"/>
      <c r="K33" s="728"/>
      <c r="L33" s="1328"/>
    </row>
    <row r="34" spans="1:12" ht="13.5" thickBot="1" x14ac:dyDescent="0.25">
      <c r="A34" s="361" t="s">
        <v>931</v>
      </c>
      <c r="B34" s="367" t="s">
        <v>412</v>
      </c>
      <c r="C34" s="591">
        <f>+C32+C33</f>
        <v>49093</v>
      </c>
      <c r="D34" s="593">
        <f>+D32+D33</f>
        <v>22850</v>
      </c>
      <c r="E34" s="593">
        <f>+E32+E33</f>
        <v>46469</v>
      </c>
      <c r="F34" s="593">
        <f>+F32+F33</f>
        <v>75724</v>
      </c>
      <c r="G34" s="367" t="s">
        <v>416</v>
      </c>
      <c r="H34" s="591">
        <f>+H32+H33</f>
        <v>23739</v>
      </c>
      <c r="I34" s="593">
        <f>+I32+I33</f>
        <v>22850</v>
      </c>
      <c r="J34" s="592">
        <f>+J32+J33</f>
        <v>46469</v>
      </c>
      <c r="K34" s="592">
        <f>+K32+K33</f>
        <v>75724</v>
      </c>
      <c r="L34" s="1328"/>
    </row>
    <row r="35" spans="1:12" ht="13.5" thickBot="1" x14ac:dyDescent="0.25">
      <c r="A35" s="361" t="s">
        <v>86</v>
      </c>
      <c r="B35" s="367" t="s">
        <v>122</v>
      </c>
      <c r="C35" s="591" t="str">
        <f>IF(C18-H18&lt;0,H18-C18,"-")</f>
        <v>-</v>
      </c>
      <c r="D35" s="593" t="str">
        <f>IF(D18-L18&lt;0,L18-D18,"-")</f>
        <v>-</v>
      </c>
      <c r="E35" s="593" t="str">
        <f>IF(E18-M18&lt;0,M18-E18,"-")</f>
        <v>-</v>
      </c>
      <c r="F35" s="593" t="str">
        <f>IF(F18-N18&lt;0,N18-F18,"-")</f>
        <v>-</v>
      </c>
      <c r="G35" s="367" t="s">
        <v>123</v>
      </c>
      <c r="H35" s="591">
        <f>IF(C18-H18&gt;0,C18-H18,"-")</f>
        <v>4723</v>
      </c>
      <c r="I35" s="593" t="str">
        <f>IF(D18-I18&gt;0,D18-I18,"-")</f>
        <v>-</v>
      </c>
      <c r="J35" s="592" t="str">
        <f>IF(E18-J18&gt;0,E18-J18,"-")</f>
        <v>-</v>
      </c>
      <c r="K35" s="592" t="str">
        <f>IF(F18-K18&gt;0,F18-K18,"-")</f>
        <v>-</v>
      </c>
      <c r="L35" s="1328"/>
    </row>
    <row r="36" spans="1:12" ht="13.5" thickBot="1" x14ac:dyDescent="0.25">
      <c r="A36" s="361" t="s">
        <v>87</v>
      </c>
      <c r="B36" s="367" t="s">
        <v>333</v>
      </c>
      <c r="C36" s="591" t="str">
        <f>IF(C18+C19-H32&lt;0,H32-(C18+C19),"-")</f>
        <v>-</v>
      </c>
      <c r="D36" s="593" t="str">
        <f>IF(D18+D19-L32&lt;0,L32-(D18+D19),"-")</f>
        <v>-</v>
      </c>
      <c r="E36" s="593">
        <f>J34-E34</f>
        <v>0</v>
      </c>
      <c r="F36" s="593">
        <f>K34-F34</f>
        <v>0</v>
      </c>
      <c r="G36" s="367" t="s">
        <v>334</v>
      </c>
      <c r="H36" s="591">
        <f>IF(C18+C19-H32&gt;0,C18+C19-H32,"-")</f>
        <v>31028</v>
      </c>
      <c r="I36" s="593" t="str">
        <f>IF(D18+D19-I32&gt;0,D18+D19-I32,"-")</f>
        <v>-</v>
      </c>
      <c r="J36" s="592" t="str">
        <f>IF(E18+E19-J32&gt;0,E18+E19-J32,"-")</f>
        <v>-</v>
      </c>
      <c r="K36" s="592" t="str">
        <f>IF(F18+F19-K32&gt;0,F18+F19-K32,"-")</f>
        <v>-</v>
      </c>
      <c r="L36" s="1328"/>
    </row>
    <row r="39" spans="1:12" x14ac:dyDescent="0.2">
      <c r="C39" s="729">
        <f>C34+'2.1.sz.mell  '!C30</f>
        <v>331044</v>
      </c>
      <c r="D39" s="729">
        <f>D34+'2.1.sz.mell  '!D30</f>
        <v>341543</v>
      </c>
      <c r="E39" s="729">
        <f>E34+'2.1.sz.mell  '!E30</f>
        <v>318813</v>
      </c>
      <c r="F39" s="729">
        <f>F34+'2.1.sz.mell  '!F30</f>
        <v>371492</v>
      </c>
      <c r="G39" s="729"/>
      <c r="H39" s="729">
        <f>H34+'2.1.sz.mell  '!H30</f>
        <v>286377</v>
      </c>
      <c r="I39" s="729">
        <f>I34+'2.1.sz.mell  '!I30</f>
        <v>341543</v>
      </c>
      <c r="J39" s="729">
        <f>J34+'2.1.sz.mell  '!J30</f>
        <v>318813</v>
      </c>
      <c r="K39" s="729">
        <f>K34+'2.1.sz.mell  '!K30</f>
        <v>371492</v>
      </c>
      <c r="L39" s="729">
        <f>L34+'2.1.sz.mell  '!L30</f>
        <v>0</v>
      </c>
    </row>
    <row r="40" spans="1:12" x14ac:dyDescent="0.2">
      <c r="C40" s="729">
        <f>'1.1.sz.mell.'!C67-'2.2.sz.mell  '!C39</f>
        <v>0</v>
      </c>
      <c r="H40" s="729">
        <f>'1.1.sz.mell.'!C123-H39</f>
        <v>0</v>
      </c>
    </row>
    <row r="41" spans="1:12" x14ac:dyDescent="0.2">
      <c r="E41" s="729">
        <f>'1.1.sz.mell.'!E67-'2.1.sz.mell  '!E30-'2.2.sz.mell  '!E34</f>
        <v>0</v>
      </c>
    </row>
  </sheetData>
  <mergeCells count="2">
    <mergeCell ref="A3:A4"/>
    <mergeCell ref="L1:L36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23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</vt:lpstr>
      <vt:lpstr>9. sz. mell</vt:lpstr>
      <vt:lpstr>9.1. sz. mell</vt:lpstr>
      <vt:lpstr>9.2. sz. mell</vt:lpstr>
      <vt:lpstr>9.3. sz. mell</vt:lpstr>
      <vt:lpstr>9.4. sz. mell</vt:lpstr>
      <vt:lpstr>9.5. sz. mell</vt:lpstr>
      <vt:lpstr>10. sz. mell.</vt:lpstr>
      <vt:lpstr>11.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'11. sz. mell.'!Nyomtatási_cím</vt:lpstr>
      <vt:lpstr>'1a sz tájékoztató t.'!Nyomtatási_cím</vt:lpstr>
      <vt:lpstr>'1b. sz tájékoztató t.'!Nyomtatási_cím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'10. sz. mell.'!Nyomtatási_terület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'5.sz.mell.'!Nyomtatási_terület</vt:lpstr>
      <vt:lpstr>'7.sz.mell.'!Nyomtatási_terület</vt:lpstr>
      <vt:lpstr>'8. sz. mell.'!Nyomtatási_terület</vt:lpstr>
      <vt:lpstr>'9.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2015-06-16T06:47:00Z</cp:lastPrinted>
  <dcterms:created xsi:type="dcterms:W3CDTF">1999-10-30T10:30:45Z</dcterms:created>
  <dcterms:modified xsi:type="dcterms:W3CDTF">2015-08-12T09:48:09Z</dcterms:modified>
</cp:coreProperties>
</file>